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g"/>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comments1.xml" ContentType="application/vnd.openxmlformats-officedocument.spreadsheetml.comments+xml"/>
  <Override PartName="/xl/drawings/drawing1.xml" ContentType="application/vnd.openxmlformats-officedocument.drawing+xml"/>
  <Override PartName="/xl/worksheets/sheet3.xml" ContentType="application/vnd.openxmlformats-officedocument.spreadsheetml.worksheet+xml"/>
  <Override PartName="/xl/drawings/drawing2.xml" ContentType="application/vnd.openxmlformats-officedocument.drawing+xml"/>
  <Override PartName="/xl/worksheets/sheet4.xml" ContentType="application/vnd.openxmlformats-officedocument.spreadsheetml.worksheet+xml"/>
  <Override PartName="/xl/drawings/drawing3.xml" ContentType="application/vnd.openxmlformats-officedocument.drawing+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drawings/drawing4.xml" ContentType="application/vnd.openxmlformats-officedocument.drawing+xml"/>
  <Override PartName="/xl/worksheets/sheet36.xml" ContentType="application/vnd.openxmlformats-officedocument.spreadsheetml.worksheet+xml"/>
  <Override PartName="/xl/drawings/drawing5.xml" ContentType="application/vnd.openxmlformats-officedocument.drawing+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drawings/drawing6.xml" ContentType="application/vnd.openxmlformats-officedocument.drawing+xml"/>
  <Override PartName="/xl/worksheets/sheet48.xml" ContentType="application/vnd.openxmlformats-officedocument.spreadsheetml.worksheet+xml"/>
  <Override PartName="/xl/drawings/drawing7.xml" ContentType="application/vnd.openxmlformats-officedocument.drawing+xml"/>
  <Override PartName="/xl/worksheets/sheet49.xml" ContentType="application/vnd.openxmlformats-officedocument.spreadsheetml.worksheet+xml"/>
  <Override PartName="/xl/drawings/drawing8.xml" ContentType="application/vnd.openxmlformats-officedocument.drawing+xml"/>
  <Override PartName="/xl/worksheets/sheet50.xml" ContentType="application/vnd.openxmlformats-officedocument.spreadsheetml.worksheet+xml"/>
  <Override PartName="/xl/worksheets/sheet51.xml" ContentType="application/vnd.openxmlformats-officedocument.spreadsheetml.worksheet+xml"/>
  <Override PartName="/xl/comments2.xml" ContentType="application/vnd.openxmlformats-officedocument.spreadsheetml.comments+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comments3.xml" ContentType="application/vnd.openxmlformats-officedocument.spreadsheetml.comments+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2" firstSheet="1" activeTab="57"/>
  </bookViews>
  <sheets>
    <sheet name="Инструкция" sheetId="1" r:id="rId2"/>
    <sheet name="Титульный" sheetId="2" r:id="rId3"/>
    <sheet name="Список территорий" sheetId="3" r:id="rId4"/>
    <sheet name="Дифференциация" sheetId="4" state="hidden" r:id="rId5"/>
    <sheet name="Перечень тарифов" sheetId="5" r:id="rId6"/>
    <sheet name="Дифференциация тариф показатель" sheetId="6" state="hidden" r:id="rId7"/>
    <sheet name="Общая информация об организации" sheetId="7" state="hidden" r:id="rId8"/>
    <sheet name="Общая информация по ВД" sheetId="8" state="hidden" r:id="rId9"/>
    <sheet name="Виды объектов" sheetId="9" state="hidden" r:id="rId10"/>
    <sheet name="Сведения по территориям" sheetId="10" state="hidden" r:id="rId11"/>
    <sheet name="ТС. Т-ТЭ | &gt;=25МВт" sheetId="11" state="hidden" r:id="rId12"/>
    <sheet name="ТС. Т-ТЭ | ТСО" sheetId="12" r:id="rId13"/>
    <sheet name="ТС. Т-ТЭ | предел" sheetId="13" state="hidden" r:id="rId14"/>
    <sheet name="ТС. Т-ТЭ | индикат" sheetId="14" state="hidden" r:id="rId15"/>
    <sheet name="ТС. Резерв мощности" sheetId="15" state="hidden" r:id="rId16"/>
    <sheet name="ТС. Т-ТН" sheetId="16" state="hidden" r:id="rId17"/>
    <sheet name="ТС. Т-передача ТЭ" sheetId="17" state="hidden" r:id="rId18"/>
    <sheet name="ТС. Т-передача ТН" sheetId="18" state="hidden" r:id="rId19"/>
    <sheet name="ТС. Т-гор.вода" sheetId="19" state="hidden" r:id="rId20"/>
    <sheet name="ТС. Т-подкл" sheetId="20" state="hidden" r:id="rId21"/>
    <sheet name="ХВС. Т-пит" sheetId="21" state="hidden" r:id="rId22"/>
    <sheet name="ХВС. Т-тех" sheetId="22" state="hidden" r:id="rId23"/>
    <sheet name="ХВС. Т-транс" sheetId="23" state="hidden" r:id="rId24"/>
    <sheet name="ХВС. Т-подвоз" sheetId="24" state="hidden" r:id="rId25"/>
    <sheet name="ТС. Т-подкл(инд)" sheetId="25" state="hidden" r:id="rId26"/>
    <sheet name="ХВС. Т-подкл" sheetId="26" state="hidden" r:id="rId27"/>
    <sheet name="ВО. Т-во" sheetId="27" state="hidden" r:id="rId28"/>
    <sheet name="ВО. Т-транс" sheetId="28" state="hidden" r:id="rId29"/>
    <sheet name="ВО. Т-подкл" sheetId="29" state="hidden" r:id="rId30"/>
    <sheet name="ГВС. Т-гор.вода" sheetId="30" state="hidden" r:id="rId31"/>
    <sheet name="ГВС. Т-транс" sheetId="31" state="hidden" r:id="rId32"/>
    <sheet name="ГВС. Т-подкл" sheetId="32" state="hidden" r:id="rId33"/>
    <sheet name="Показатели ФХД" sheetId="33" state="hidden" r:id="rId34"/>
    <sheet name="Показатели ФХД &gt;20%" sheetId="34" state="hidden" r:id="rId35"/>
    <sheet name="Показатели ОТЭП" sheetId="35" state="hidden" r:id="rId36"/>
    <sheet name="Стандарты качества" sheetId="36" state="hidden" r:id="rId37"/>
    <sheet name="ТКО. Показатели ФХД" sheetId="37" state="hidden" r:id="rId38"/>
    <sheet name="ТКО. Транс. Показатели ФХД" sheetId="38" state="hidden" r:id="rId39"/>
    <sheet name="Показатели КНЭ" sheetId="39" state="hidden" r:id="rId40"/>
    <sheet name="Ограничения" sheetId="40" state="hidden" r:id="rId41"/>
    <sheet name="ИП" sheetId="41" state="hidden" r:id="rId42"/>
    <sheet name="ИП. Детализация" sheetId="42" state="hidden" r:id="rId43"/>
    <sheet name="ИП. Финансовый план" sheetId="43" state="hidden" r:id="rId44"/>
    <sheet name="ИП. КНЭ" sheetId="44" state="hidden" r:id="rId45"/>
    <sheet name="ТП" sheetId="45" state="hidden" r:id="rId46"/>
    <sheet name="Договоры" sheetId="46" state="hidden" r:id="rId47"/>
    <sheet name="Порядок ТП" sheetId="47" state="hidden" r:id="rId48"/>
    <sheet name="Предложение" sheetId="48" r:id="rId49"/>
    <sheet name="Сведения о закупках" sheetId="49" r:id="rId50"/>
    <sheet name="Потребительские характеристики" sheetId="50" state="hidden" r:id="rId51"/>
    <sheet name="TEHSHEET" sheetId="51" state="hidden" r:id="rId52"/>
    <sheet name="Орган регулирования" sheetId="52" state="hidden" r:id="rId53"/>
    <sheet name="Перечень организаций" sheetId="53" state="hidden" r:id="rId54"/>
    <sheet name="Дела об установлении тарифов" sheetId="54" state="hidden" r:id="rId55"/>
    <sheet name="Дела об утверждении ПУЦ" sheetId="55" state="hidden" r:id="rId56"/>
    <sheet name="Привлечение к ответственности" sheetId="56" state="hidden" r:id="rId57"/>
    <sheet name="ЭД" sheetId="57" state="hidden" r:id="rId58"/>
    <sheet name="Сведения об изменении" sheetId="58" r:id="rId59"/>
    <sheet name="Комментарии" sheetId="59" r:id="rId60"/>
    <sheet name="Проверка" sheetId="60" state="hidden" r:id="rId61"/>
    <sheet name="et_union_hor" sheetId="61" state="hidden" r:id="rId62"/>
    <sheet name="DATA_FORMS" sheetId="62" state="hidden" r:id="rId63"/>
    <sheet name="DATA_NPA" sheetId="63" state="hidden" r:id="rId64"/>
    <sheet name="Т-ТЭ | потр" sheetId="64" state="hidden" r:id="rId65"/>
    <sheet name="modMainProcedures" sheetId="65" state="hidden" r:id="rId66"/>
    <sheet name="modB_FHD" sheetId="66" state="hidden" r:id="rId67"/>
    <sheet name="modB_FHD20" sheetId="67" state="hidden" r:id="rId68"/>
    <sheet name="modB_KNE" sheetId="68" state="hidden" r:id="rId69"/>
    <sheet name="modIP_MAIN" sheetId="69" state="hidden" r:id="rId70"/>
    <sheet name="modIP_QRE" sheetId="70" state="hidden" r:id="rId71"/>
    <sheet name="modIP_DETAILED" sheetId="71" state="hidden" r:id="rId72"/>
    <sheet name="et_union_vert" sheetId="72" state="hidden" r:id="rId73"/>
    <sheet name="Легенда" sheetId="73" state="hidden" r:id="rId74"/>
    <sheet name="modfrmListIP" sheetId="74" state="hidden" r:id="rId75"/>
    <sheet name="modfrmActivity" sheetId="75" state="hidden" r:id="rId76"/>
    <sheet name="REESTR_ORG" sheetId="76" state="hidden" r:id="rId77"/>
    <sheet name="REESTR_MO" sheetId="77" state="hidden" r:id="rId78"/>
    <sheet name="REESTR_IP" sheetId="78" state="hidden" r:id="rId79"/>
    <sheet name="REESTR_OBJ_INFR" sheetId="79" state="hidden" r:id="rId80"/>
    <sheet name="REESTR_DS" sheetId="80" state="hidden" r:id="rId81"/>
    <sheet name="REESTR_VT" sheetId="81" state="hidden" r:id="rId82"/>
    <sheet name="REESTR_VED" sheetId="82" state="hidden" r:id="rId83"/>
    <sheet name="REESTR_MO_FILTER" sheetId="83" state="hidden" r:id="rId84"/>
    <sheet name="REESTR_LINK" sheetId="84" state="hidden" r:id="rId85"/>
    <sheet name="modSheetMain" sheetId="85" state="hidden" r:id="rId86"/>
    <sheet name="modfrmReportMode" sheetId="86" state="hidden" r:id="rId87"/>
    <sheet name="modfrmReestrObj" sheetId="87" state="hidden" r:id="rId88"/>
    <sheet name="AllSheetsInThisWorkbook" sheetId="88" state="hidden" r:id="rId89"/>
    <sheet name="modInfo" sheetId="89" state="hidden" r:id="rId90"/>
  </sheets>
  <definedNames>
    <definedName name="anscount">1</definedName>
    <definedName name="B_FHD_CHECK_INDEX_1">'Показатели ФХД'!$L$66</definedName>
    <definedName name="B_FHD_CHECK_INDEX_2">'Показатели ФХД'!$L$68</definedName>
    <definedName name="B_FHD_COSTS_INDEX_1">'Показатели ФХД'!$H$65:$J$65</definedName>
    <definedName name="B_FHD_COSTS_INDEX_2">'Показатели ФХД'!$H$67:$J$67</definedName>
    <definedName name="B_FHD_DATA_TOP80_ACTIVITY">'Показатели ФХД'!$H$81:$J$81</definedName>
    <definedName name="B_FHD_diff_1">'Показатели ФХД'!$I$25:$I$27</definedName>
    <definedName name="B_FHD_FLAG_DIFFERENTIATION">'Показатели ФХД'!$H$24:$J$24</definedName>
    <definedName name="B_FHD_FLAG_INDEX_1">'Показатели ФХД'!$H$66:$J$66</definedName>
    <definedName name="B_FHD_FLAG_INDEX_2">'Показатели ФХД'!$H$68:$J$68</definedName>
    <definedName name="B_FHD_TKO_DATA_TOP80_ACTIVITY">'ТКО. Показатели ФХД'!$H$43:$J$43</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ФХД'!$H$35:$J$35</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&gt;20%'!$D$13:$S$23</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&gt;20%'!$V$11:$V$23</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ОТЭП'!$L$9:$O$9</definedName>
    <definedName name="B_OTEP_HEAT_DATA_TOP80_ACTIVITY">'Показатели ОТЭП'!$L$15:$O$15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ТСО'!$70:$72</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ТСО'!$73:$76</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ONLY_REG_ORG_P1">'Показатели ФХД'!$56:$57</definedName>
    <definedName name="BLOCK_POK_FHD_HEAT_ONLY_REG_ORG_P2">'Показатели ФХД'!$80:$131</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территорий'!$E$15:$I$15</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IFFERENTIATION_AREA">Дифференциация!$I$12:$I$16</definedName>
    <definedName name="DIFFERENTIATION_AREA_ID">Дифференциация!$U$11:$U$17</definedName>
    <definedName name="DIFFERENTIATION_CheckC">Дифференциация!$D$12:$M$16</definedName>
    <definedName name="DIFFERENTIATION_fieldMarker">Дифференциация!$W$12:$W$16</definedName>
    <definedName name="DIFFERENTIATION_ID">TEHSHEET!$E$57</definedName>
    <definedName name="DIFFERENTIATION_ID_DIFF">Дифференциация!$O$12:$O$16</definedName>
    <definedName name="DIFFERENTIATION_SYSTEM">Дифференциация!$M$12:$M$16</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Дифференциация!$Q$12:$Q$16</definedName>
    <definedName name="DIFFERENTIATION_UNMERGE_SYSTEM">Дифференциация!$R$12:$R$16</definedName>
    <definedName name="DIFFERENTIATION_UNMERGE_VD">Дифференциация!$P$12:$P$16</definedName>
    <definedName name="DIFFERENTIATION_VD">Дифференциация!$E$12:$E$16</definedName>
    <definedName name="DIFFERENTIATION_VD_ID">Дифференциация!$V$11:$V$17</definedName>
    <definedName name="ED_DATE">ЭД!$G$12:$G$13</definedName>
    <definedName name="ED_DATE_PARKING">ЭД!$I$5</definedName>
    <definedName name="ED_LINK">ЭД!$H$12:$H$13</definedName>
    <definedName name="EndDateList">TEHSHEET!$H$46:$H$53</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Ограничения!$F$36:$K$36</definedName>
    <definedName name="flag_Q_LIMIT_p4">Ограничения!$F$38:$K$38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Комментарии!$C$11:$C$12</definedName>
    <definedName name="pDel_DIFFERENTIATION_AREA">Дифференциация!$G$12:$G$16</definedName>
    <definedName name="pDel_DIFFERENTIATION_SYSTEM">Дифференциация!$K$12:$K$16</definedName>
    <definedName name="pDel_DIFFERENTIATION_VD">Дифференциация!$C$12:$C$16</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территорий'!$C$12:$C$15</definedName>
    <definedName name="pDel_LT_MO">'Список территорий'!$D$11:$D$15</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ФХД'!$J$24</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&gt;20%'!$D$23</definedName>
    <definedName name="pIns_B_KNE_DIFFERENTIATION">'Показатели КНЭ'!$K$6</definedName>
    <definedName name="pIns_B_OTEP_2">'Показатели ОТЭП'!$J$18</definedName>
    <definedName name="pIns_B_OTEP_DIFFERENTIATION">'Показатели ОТЭП'!$N$9</definedName>
    <definedName name="pIns_B_STANDARTS">'Стандарты качества'!$J$13</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территорий'!$G$15</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ТСО'!$T$69</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Ограничения!$K$25</definedName>
    <definedName name="pIns_Q_PH_DIFFERENTIATION">'Потребительские характеристики'!$K$8</definedName>
    <definedName name="pIns_Q_TP_1">ТП!$E$22</definedName>
    <definedName name="pIns_Q_TP_DIFFERENTIATION">ТП!$I$8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Ограничения!$K$26</definedName>
    <definedName name="pNote_Q_PH">'Потребительские характеристики'!$K$9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ТСО'!$45:$66</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ТСО'!$46:$65</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ТСО'!$43:$68</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ТСО'!$44:$67</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Ограничения!$E$32:$K$39</definedName>
    <definedName name="Q_LIMIT_diff_1">Ограничения!$I$26:$J$28</definedName>
    <definedName name="Q_LIMIT_p3">Ограничения!$F$36:$K$37</definedName>
    <definedName name="Q_LIMIT_p4">Ограничения!$F$38:$K$39</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ФХД'!$J$131</definedName>
    <definedName name="tblEnd_1_B_FHD_TKO">'ТКО. Показатели ФХД'!$J$47</definedName>
    <definedName name="tblEnd_1_B_FHD_TKO_TRANS">'ТКО. Транс. Показатели ФХД'!$J$38</definedName>
    <definedName name="tblEnd_1_B_KNE">'Показатели КНЭ'!$J$101</definedName>
    <definedName name="tblEnd_1_B_OTEP">'Показатели ОТЭП'!$N$34</definedName>
    <definedName name="tblEnd_1_B_STANDARTS">'Стандарты качества'!$L$13</definedName>
    <definedName name="tblEnd_1_CHANGE_INFO">'Сведения об изменении'!$E$14</definedName>
    <definedName name="tblEnd_1_DIFFERENTIATION">Дифференциация!$M$17</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ТП'!$H$41</definedName>
    <definedName name="tblEnd_1_P_T_TERMS">Договоры!$F$28</definedName>
    <definedName name="tblEnd_1_Q_LIMIT">Ограничения!$K$40</definedName>
    <definedName name="tblEnd_1_Q_PH">'Потребительские характеристики'!$K$21</definedName>
    <definedName name="tblEnd_1_Q_TP">ТП!$I$23</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ТСО'!$AL$70</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территорий'!$I$16</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территорий'!$E$11:$I$15</definedName>
    <definedName name="TERRITORY_ID">TEHSHEET!$E$56</definedName>
    <definedName name="TERRITORY_LIST_ID">'Список территорий'!$F$11:$F$15</definedName>
    <definedName name="TERRITORY_MO_LIST">'Список территорий'!$H$11:$H$15</definedName>
    <definedName name="TERRITORY_MR_LIST">'Список территорий'!$G$11:$G$15</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Дифференциация!$F$12:$F$16</definedName>
    <definedName name="Y_N_DIFFERENTIATION_SYSTEM">Дифференциация!$J$12:$J$16</definedName>
    <definedName name="YEAR_IP_LIST">TEHSHEET!$BE$2:$BE$72</definedName>
    <definedName name="year_list">TEHSHEET!$C$2:$C$6</definedName>
    <definedName name="year_list1">TEHSHEET!$B$2:$B$27</definedName>
    <definedName name="REESTR_IP_RANGE">REESTR_IP!$A$2</definedName>
    <definedName name="VD_LIST">REESTR_VED!$A$2:$B$11</definedName>
    <definedName name="VD_ID_LIST">REESTR_VED!$A$2:$A$11</definedName>
    <definedName name="VD_NAME_LIST">REESTR_VED!$B$2:$B$11</definedName>
    <definedName name="et_B_FHD20_1">et_union_hor!$127:$135</definedName>
    <definedName name="DESCRIPTION_TERRITORY">REESTR_DS!$B$2</definedName>
    <definedName name="_xlnm._FilterDatabase" localSheetId="59">Проверка!$B$4:$E$5</definedName>
  </definedNames>
  <calcPr calcId="0" iterate="1" iterateCount="100" iterateDelta="0.001"/>
</workbook>
</file>

<file path=xl/comments1.xml><?xml version="1.0" encoding="utf-8"?>
<comments xmlns="http://schemas.openxmlformats.org/spreadsheetml/2006/main">
  <authors>
    <author>Author</author>
  </authors>
  <commentList>
    <comment ref="E37" author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text>
        <r>
          <rPr>
            <sz val="9"/>
            <color indexed="81"/>
            <rFont val="Tahoma"/>
            <family val="2"/>
          </rPr>
          <t>Тип организации</t>
        </r>
      </text>
    </comment>
    <comment ref="L6" author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text>
        <r>
          <rPr>
            <sz val="9"/>
            <color indexed="81"/>
            <rFont val="Arial"/>
            <family val="2"/>
          </rPr>
          <t>сюда же для некоторых формул может входить:
- VOTV
- HOTVSNA</t>
        </r>
      </text>
    </comment>
    <comment ref="U2" author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<sst xmlns="http://schemas.openxmlformats.org/spreadsheetml/2006/main" count="18973" uniqueCount="4739">
  <si>
    <t xml:space="preserve"> (требуется обновление)</t>
  </si>
  <si>
    <t>Код отчёта: PP110.OPEN.INFO.REQUEST.HEAT.EIAS</t>
  </si>
  <si>
    <t>Версия отчёта: 1.1.1</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</si>
  <si>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</si>
  <si>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</si>
  <si>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</si>
  <si>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</si>
  <si>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</si>
  <si>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</si>
  <si>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</si>
  <si>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</si>
  <si>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</si>
  <si>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</si>
  <si>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26448893</t>
  </si>
  <si>
    <t>Flag_Row_Size</t>
  </si>
  <si>
    <t>Субъект РФ</t>
  </si>
  <si>
    <t>Ростовская область</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</si>
  <si>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</si>
  <si>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</si>
  <si>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</si>
  <si>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</si>
  <si>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</si>
  <si>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</si>
  <si>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</si>
  <si>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</si>
  <si>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</si>
  <si>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</si>
  <si>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</si>
  <si>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
  </si>
  <si>
    <t>Дата предоставления информации</t>
  </si>
  <si>
    <t>BALANCE, QUARTER, TERMS</t>
  </si>
  <si>
    <t>Год</t>
  </si>
  <si>
    <t>Отчётный период (год)</t>
  </si>
  <si>
    <t>QUARTER</t>
  </si>
  <si>
    <t>Квартал</t>
  </si>
  <si>
    <t>Отчётный период (квартал)</t>
  </si>
  <si>
    <t>Тип отчёта</t>
  </si>
  <si>
    <t>изменения в раскрытой ранее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</si>
  <si>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</si>
  <si>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</si>
  <si>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</si>
  <si>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50/19-2/1190</t>
  </si>
  <si>
    <t>Наименование органа регулирования, принявшего решение об утверждении тарифов</t>
  </si>
  <si>
    <t>Источник официального опубликования решения</t>
  </si>
  <si>
    <t>Открывается, если Тип отчёта "изменения в раскрытой ранее информации"</t>
  </si>
  <si>
    <t>50/18-01/261</t>
  </si>
  <si>
    <t>Наименование органа регулирования, принявшего решение об изменении тарифов</t>
  </si>
  <si>
    <t>МУП г. Азова "Теплоэнерго"</t>
  </si>
  <si>
    <t>Наименование (описание) обособленного подразделения</t>
  </si>
  <si>
    <t>ИНН</t>
  </si>
  <si>
    <t>6140028670</t>
  </si>
  <si>
    <t>КПП</t>
  </si>
  <si>
    <t>614001001</t>
  </si>
  <si>
    <t>Тип теплоснабжающей организации</t>
  </si>
  <si>
    <t>Регулируемая организация</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</si>
  <si>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</si>
  <si>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</si>
  <si>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</si>
  <si>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</si>
  <si>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</si>
  <si>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charset val="204"/>
        <family val="2"/>
        <rFont val="Tahoma"/>
        <sz val="9"/>
      </rPr>
      <t>с (!)</t>
    </r>
    <r>
      <rPr>
        <charset val="204"/>
        <family val="2"/>
        <rFont val="Tahoma"/>
        <sz val="9"/>
      </rPr>
      <t xml:space="preserve"> разбивкой по поставщикам</t>
    </r>
  </si>
  <si>
    <r>
      <t xml:space="preserve">Тариф на горячую воду предлагается </t>
    </r>
    <r>
      <rPr>
        <b/>
        <charset val="204"/>
        <family val="2"/>
        <rFont val="Tahoma"/>
        <sz val="9"/>
      </rPr>
      <t>без (!)</t>
    </r>
    <r>
      <rPr>
        <charset val="204"/>
        <family val="2"/>
        <rFont val="Tahoma"/>
        <sz val="9"/>
      </rPr>
      <t xml:space="preserve"> разбивки на компоненты</t>
    </r>
  </si>
  <si>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</si>
  <si>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</si>
  <si>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</si>
  <si>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</si>
  <si>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</si>
  <si>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да</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</si>
  <si>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</si>
  <si>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</si>
  <si>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</si>
  <si>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346780, Ростовская область, город Азов, ул. Дружбы, 7</t>
  </si>
  <si>
    <t>Фамилия, имя, отчество руководителя</t>
  </si>
  <si>
    <t>Бондаренко Александр Сергеевич</t>
  </si>
  <si>
    <t>Ответственный за заполнение формы</t>
  </si>
  <si>
    <t>Фамилия, имя, отчество</t>
  </si>
  <si>
    <t>Ильенко Анна Георгиевна</t>
  </si>
  <si>
    <t>Должность</t>
  </si>
  <si>
    <t>главный экономист</t>
  </si>
  <si>
    <t>Контактный телефон</t>
  </si>
  <si>
    <t>(86342)63902</t>
  </si>
  <si>
    <t>E-mail</t>
  </si>
  <si>
    <t>ympts@bk.ru</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</si>
  <si>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</si>
  <si>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</si>
  <si>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</si>
  <si>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</si>
  <si>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</si>
  <si>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</si>
  <si>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</si>
  <si>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</si>
  <si>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</si>
  <si>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</si>
  <si>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</si>
  <si>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</si>
  <si>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</si>
  <si>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</si>
  <si>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</si>
  <si>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</si>
  <si>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</si>
  <si>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83</t>
  </si>
  <si>
    <t>Город Азов</t>
  </si>
  <si>
    <t>60704000</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</si>
  <si>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</si>
  <si>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</si>
  <si>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</si>
  <si>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</si>
  <si>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</si>
  <si>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</si>
  <si>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</si>
  <si>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</si>
  <si>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2</t>
  </si>
  <si>
    <t>5</t>
  </si>
  <si>
    <t>8</t>
  </si>
  <si>
    <t>ID_DIFF</t>
  </si>
  <si>
    <t>VD</t>
  </si>
  <si>
    <t>AREA</t>
  </si>
  <si>
    <t>SYSTEM</t>
  </si>
  <si>
    <t>diff_1</t>
  </si>
  <si>
    <t>a</t>
  </si>
  <si>
    <t>Добавить централизованную систему</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</si>
  <si>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</si>
  <si>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</si>
  <si>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</si>
  <si>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</si>
  <si>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</si>
  <si>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</si>
  <si>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</si>
  <si>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</si>
  <si>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</si>
  <si>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</si>
  <si>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</si>
  <si>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</si>
  <si>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</si>
  <si>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</si>
  <si>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</si>
  <si>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</si>
  <si>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</si>
  <si>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</si>
  <si>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</si>
  <si>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</si>
  <si>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</si>
  <si>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</si>
  <si>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</si>
  <si>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</si>
  <si>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</si>
  <si>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</si>
  <si>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</si>
  <si>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</si>
  <si>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</si>
  <si>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</si>
  <si>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</si>
  <si>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</si>
  <si>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</si>
  <si>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</si>
  <si>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</si>
  <si>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</si>
  <si>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</si>
  <si>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</si>
  <si>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</si>
  <si>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</si>
  <si>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Тарифы на тепловую энергию (мощность), поставляемую теплоснабжающими организациями потребителям, другим теплоснабжающим организациям</t>
  </si>
  <si>
    <t>Тариф на тепловую энергию</t>
  </si>
  <si>
    <t>"4190064"; "4190068"; "4190070"</t>
  </si>
  <si>
    <t>pIns_PT_VTAR_B</t>
  </si>
  <si>
    <t>pt_ntar_2</t>
  </si>
  <si>
    <t>pt_ter_2</t>
  </si>
  <si>
    <t>pt_cs_2</t>
  </si>
  <si>
    <t>pt_ist_te_2</t>
  </si>
  <si>
    <t>Добавить источник для дифференциации</t>
  </si>
  <si>
    <t>Добавить централизованную систему для дифференциации</t>
  </si>
  <si>
    <t>Добавить территорию для дифференциации</t>
  </si>
  <si>
    <t>Добавить наименование тарифа</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</si>
  <si>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</si>
  <si>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</si>
  <si>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</si>
  <si>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</si>
  <si>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</si>
  <si>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</si>
  <si>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</si>
  <si>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</si>
  <si>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</si>
  <si>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</si>
  <si>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</si>
  <si>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</si>
  <si>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</si>
  <si>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</si>
  <si>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</si>
  <si>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</si>
  <si>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</si>
  <si>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</si>
  <si>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</si>
  <si>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</si>
  <si>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</si>
  <si>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</si>
  <si>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</si>
  <si>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</si>
  <si>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</si>
  <si>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</si>
  <si>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</si>
  <si>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</si>
  <si>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</si>
  <si>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</si>
  <si>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</si>
  <si>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</si>
  <si>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</si>
  <si>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</si>
  <si>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</si>
  <si>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</si>
  <si>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</si>
  <si>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</si>
  <si>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</si>
  <si>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</si>
  <si>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</si>
  <si>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</si>
  <si>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</si>
  <si>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</si>
  <si>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</si>
  <si>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</si>
  <si>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</si>
  <si>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</si>
  <si>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</si>
  <si>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</si>
  <si>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</si>
  <si>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</si>
  <si>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</si>
  <si>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</si>
  <si>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</si>
  <si>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</si>
  <si>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</si>
  <si>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</si>
  <si>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</si>
  <si>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</si>
  <si>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</si>
  <si>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</si>
  <si>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</si>
  <si>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</si>
  <si>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</si>
  <si>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</si>
  <si>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</si>
  <si>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</si>
  <si>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</si>
  <si>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</si>
  <si>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</si>
  <si>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</si>
  <si>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</si>
  <si>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</si>
  <si>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</si>
  <si>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</si>
  <si>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</si>
  <si>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</si>
  <si>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</si>
  <si>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</si>
  <si>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</si>
  <si>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</si>
  <si>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</si>
  <si>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</si>
  <si>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</si>
  <si>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</si>
  <si>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</si>
  <si>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</si>
  <si>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</si>
  <si>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</si>
  <si>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</si>
  <si>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</si>
  <si>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</si>
  <si>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</si>
  <si>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</si>
  <si>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</si>
  <si>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</si>
  <si>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</si>
  <si>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</si>
  <si>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</si>
  <si>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</si>
  <si>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</si>
  <si>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</si>
  <si>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</si>
  <si>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</si>
  <si>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</si>
  <si>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</si>
  <si>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</si>
  <si>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</si>
  <si>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</si>
  <si>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</si>
  <si>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</si>
  <si>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</si>
  <si>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</si>
  <si>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</si>
  <si>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</si>
  <si>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</si>
  <si>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</si>
  <si>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</si>
  <si>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</si>
  <si>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</si>
  <si>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</si>
  <si>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</si>
  <si>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</si>
  <si>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</si>
  <si>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</si>
  <si>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</si>
  <si>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</si>
  <si>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</si>
  <si>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</si>
  <si>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</si>
  <si>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</si>
  <si>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</si>
  <si>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</si>
  <si>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</si>
  <si>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</si>
  <si>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</si>
  <si>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</si>
  <si>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</si>
  <si>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</si>
  <si>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</si>
  <si>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</si>
  <si>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</si>
  <si>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</si>
  <si>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</si>
  <si>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</si>
  <si>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</si>
  <si>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</si>
  <si>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</si>
  <si>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</si>
  <si>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</si>
  <si>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</si>
  <si>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</si>
  <si>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</si>
  <si>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</si>
  <si>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</si>
  <si>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</si>
  <si>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</si>
  <si>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</si>
  <si>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</si>
  <si>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</si>
  <si>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</si>
  <si>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</si>
  <si>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</si>
  <si>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</si>
  <si>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</si>
  <si>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</si>
  <si>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</si>
  <si>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</si>
  <si>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</si>
  <si>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</si>
  <si>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</si>
  <si>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</si>
  <si>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</si>
  <si>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</si>
  <si>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</si>
  <si>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</si>
  <si>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</si>
  <si>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</si>
  <si>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</si>
  <si>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</si>
  <si>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</si>
  <si>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</si>
  <si>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</si>
  <si>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</si>
  <si>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</si>
  <si>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</si>
  <si>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</si>
  <si>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</si>
  <si>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</si>
  <si>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</si>
  <si>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</si>
  <si>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</si>
  <si>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</si>
  <si>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</si>
  <si>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</si>
  <si>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</si>
  <si>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</si>
  <si>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</si>
  <si>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</si>
  <si>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</si>
  <si>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</si>
  <si>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</si>
  <si>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</si>
  <si>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</si>
  <si>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</si>
  <si>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</si>
  <si>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</si>
  <si>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</si>
  <si>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</si>
  <si>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</si>
  <si>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</si>
  <si>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</si>
  <si>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</si>
  <si>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</si>
  <si>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</si>
  <si>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</si>
  <si>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</si>
  <si>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</si>
  <si>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</si>
  <si>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</si>
  <si>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</si>
  <si>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</si>
  <si>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</si>
  <si>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</si>
  <si>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</si>
  <si>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</si>
  <si>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</si>
  <si>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</si>
  <si>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</si>
  <si>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</si>
  <si>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</si>
  <si>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</si>
  <si>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</si>
  <si>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</si>
  <si>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</si>
  <si>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</si>
  <si>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</si>
  <si>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</si>
  <si>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</si>
  <si>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</si>
  <si>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</si>
  <si>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</si>
  <si>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</si>
  <si>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</si>
  <si>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</si>
  <si>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</si>
  <si>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</si>
  <si>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</si>
  <si>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</si>
  <si>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</si>
  <si>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</si>
  <si>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</si>
  <si>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</si>
  <si>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</si>
  <si>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</si>
  <si>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</si>
  <si>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</si>
  <si>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</si>
  <si>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</si>
  <si>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</si>
  <si>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</si>
  <si>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</si>
  <si>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</si>
  <si>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</si>
  <si>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</si>
  <si>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</si>
  <si>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</si>
  <si>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</si>
  <si>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</si>
  <si>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</si>
  <si>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</si>
  <si>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</si>
  <si>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</si>
  <si>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</si>
  <si>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</si>
  <si>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</si>
  <si>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Период действия</t>
  </si>
  <si>
    <t>без дифференциации</t>
  </si>
  <si>
    <t>организации-перепродавцы</t>
  </si>
  <si>
    <t>вода</t>
  </si>
  <si>
    <t>×</t>
  </si>
  <si>
    <t>бюджетные организации</t>
  </si>
  <si>
    <t>прочие</t>
  </si>
  <si>
    <t>население</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</si>
  <si>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</si>
  <si>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</si>
  <si>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</si>
  <si>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</si>
  <si>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</si>
  <si>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</si>
  <si>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</si>
  <si>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</si>
  <si>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</si>
  <si>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</si>
  <si>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</si>
  <si>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</si>
  <si>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</si>
  <si>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</si>
  <si>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</si>
  <si>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</si>
  <si>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</si>
  <si>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</si>
  <si>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</si>
  <si>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</si>
  <si>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</si>
  <si>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</si>
  <si>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</si>
  <si>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</si>
  <si>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</si>
  <si>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</si>
  <si>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</si>
  <si>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</si>
  <si>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</si>
  <si>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</si>
  <si>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</si>
  <si>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</si>
  <si>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</si>
  <si>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</si>
  <si>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</si>
  <si>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</si>
  <si>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</si>
  <si>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</si>
  <si>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</si>
  <si>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</si>
  <si>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</si>
  <si>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</si>
  <si>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</si>
  <si>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</si>
  <si>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</si>
  <si>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</si>
  <si>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</si>
  <si>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</si>
  <si>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</si>
  <si>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</si>
  <si>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</si>
  <si>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</si>
  <si>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</si>
  <si>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</si>
  <si>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</si>
  <si>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</si>
  <si>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</si>
  <si>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</si>
  <si>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</si>
  <si>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</si>
  <si>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</si>
  <si>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</si>
  <si>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</si>
  <si>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</si>
  <si>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</si>
  <si>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</si>
  <si>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</si>
  <si>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</si>
  <si>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</si>
  <si>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</si>
  <si>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</si>
  <si>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</si>
  <si>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</si>
  <si>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</si>
  <si>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</si>
  <si>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</si>
  <si>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</si>
  <si>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</si>
  <si>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</si>
  <si>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</si>
  <si>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</si>
  <si>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</si>
  <si>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</si>
  <si>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</si>
  <si>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</si>
  <si>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</si>
  <si>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</si>
  <si>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</si>
  <si>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</si>
  <si>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</si>
  <si>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</si>
  <si>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</si>
  <si>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</si>
  <si>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</si>
  <si>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</si>
  <si>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</si>
  <si>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</si>
  <si>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</si>
  <si>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</si>
  <si>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</si>
  <si>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</si>
  <si>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</si>
  <si>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</si>
  <si>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</si>
  <si>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</si>
  <si>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</si>
  <si>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</si>
  <si>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</si>
  <si>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</si>
  <si>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</si>
  <si>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</si>
  <si>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</si>
  <si>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</si>
  <si>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</si>
  <si>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</si>
  <si>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</si>
  <si>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</si>
  <si>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</si>
  <si>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</si>
  <si>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</si>
  <si>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</si>
  <si>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</si>
  <si>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</si>
  <si>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</si>
  <si>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</si>
  <si>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</si>
  <si>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</si>
  <si>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</si>
  <si>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</si>
  <si>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</si>
  <si>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</si>
  <si>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</si>
  <si>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</si>
  <si>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</si>
  <si>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</si>
  <si>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</si>
  <si>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</si>
  <si>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</si>
  <si>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</si>
  <si>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</si>
  <si>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</si>
  <si>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</si>
  <si>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</si>
  <si>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</si>
  <si>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</si>
  <si>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</si>
  <si>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</si>
  <si>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</si>
  <si>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</si>
  <si>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</si>
  <si>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</si>
  <si>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</si>
  <si>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</si>
  <si>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</si>
  <si>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</si>
  <si>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</si>
  <si>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</si>
  <si>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</si>
  <si>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</si>
  <si>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</si>
  <si>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</si>
  <si>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</si>
  <si>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</si>
  <si>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</si>
  <si>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</si>
  <si>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</si>
  <si>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</si>
  <si>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</si>
  <si>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</si>
  <si>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</si>
  <si>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</si>
  <si>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</si>
  <si>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</si>
  <si>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</si>
  <si>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</si>
  <si>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</si>
  <si>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</si>
  <si>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</si>
  <si>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</si>
  <si>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</si>
  <si>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</si>
  <si>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</si>
  <si>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</si>
  <si>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</si>
  <si>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</si>
  <si>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</si>
  <si>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</si>
  <si>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</si>
  <si>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</si>
  <si>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</si>
  <si>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</si>
  <si>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</si>
  <si>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</si>
  <si>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</si>
  <si>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</si>
  <si>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</si>
  <si>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</si>
  <si>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</si>
  <si>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</si>
  <si>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</si>
  <si>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</si>
  <si>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</si>
  <si>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</si>
  <si>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</si>
  <si>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</si>
  <si>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</si>
  <si>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</si>
  <si>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</si>
  <si>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</si>
  <si>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</si>
  <si>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</si>
  <si>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</si>
  <si>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</si>
  <si>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</si>
  <si>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</si>
  <si>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</si>
  <si>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</si>
  <si>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</si>
  <si>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</si>
  <si>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</si>
  <si>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</si>
  <si>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</si>
  <si>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</si>
  <si>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</si>
  <si>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</si>
  <si>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</si>
  <si>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</si>
  <si>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</si>
  <si>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</si>
  <si>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</si>
  <si>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</si>
  <si>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</si>
  <si>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</si>
  <si>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</si>
  <si>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</si>
  <si>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</si>
  <si>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</si>
  <si>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</si>
  <si>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</si>
  <si>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</si>
  <si>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</si>
  <si>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</si>
  <si>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</si>
  <si>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</si>
  <si>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</si>
  <si>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</si>
  <si>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</si>
  <si>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</si>
  <si>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</si>
  <si>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</si>
  <si>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</si>
  <si>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</si>
  <si>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</si>
  <si>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</si>
  <si>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</si>
  <si>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</si>
  <si>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</si>
  <si>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</si>
  <si>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</si>
  <si>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</si>
  <si>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</si>
  <si>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</si>
  <si>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</si>
  <si>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</si>
  <si>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</si>
  <si>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</si>
  <si>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</si>
  <si>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</si>
  <si>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</si>
  <si>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</si>
  <si>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</si>
  <si>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</si>
  <si>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</si>
  <si>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</si>
  <si>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</si>
  <si>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</si>
  <si>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</si>
  <si>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</si>
  <si>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</si>
  <si>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</si>
  <si>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</si>
  <si>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</si>
  <si>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</si>
  <si>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</si>
  <si>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</si>
  <si>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</si>
  <si>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</si>
  <si>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</si>
  <si>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</si>
  <si>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</si>
  <si>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</si>
  <si>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</si>
  <si>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</si>
  <si>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</si>
  <si>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</si>
  <si>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</si>
  <si>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</si>
  <si>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</si>
  <si>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</si>
  <si>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</si>
  <si>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</si>
  <si>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</si>
  <si>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</si>
  <si>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</si>
  <si>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</si>
  <si>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</si>
  <si>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</si>
  <si>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</si>
  <si>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</si>
  <si>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</si>
  <si>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</si>
  <si>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</si>
  <si>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</si>
  <si>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</si>
  <si>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</si>
  <si>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</si>
  <si>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</si>
  <si>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</si>
  <si>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</si>
  <si>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</si>
  <si>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</si>
  <si>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</si>
  <si>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</si>
  <si>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</si>
  <si>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</si>
  <si>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</si>
  <si>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</si>
  <si>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</si>
  <si>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</si>
  <si>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</si>
  <si>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</si>
  <si>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</si>
  <si>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</si>
  <si>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</si>
  <si>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</si>
  <si>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</si>
  <si>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</si>
  <si>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</si>
  <si>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</si>
  <si>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</si>
  <si>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</si>
  <si>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</si>
  <si>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</si>
  <si>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</si>
  <si>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</si>
  <si>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</si>
  <si>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</si>
  <si>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</si>
  <si>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</si>
  <si>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</si>
  <si>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</si>
  <si>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</si>
  <si>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</si>
  <si>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</si>
  <si>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</si>
  <si>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</si>
  <si>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</si>
  <si>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</si>
  <si>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</si>
  <si>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</si>
  <si>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</si>
  <si>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</si>
  <si>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</si>
  <si>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</si>
  <si>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</si>
  <si>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</si>
  <si>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</si>
  <si>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</si>
  <si>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</si>
  <si>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</si>
  <si>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</si>
  <si>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</si>
  <si>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</si>
  <si>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</si>
  <si>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</si>
  <si>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</si>
  <si>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</si>
  <si>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</si>
  <si>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</si>
  <si>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</si>
  <si>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</si>
  <si>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</si>
  <si>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</si>
  <si>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</si>
  <si>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</si>
  <si>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</si>
  <si>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</si>
  <si>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</si>
  <si>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</si>
  <si>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</si>
  <si>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</si>
  <si>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</si>
  <si>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</si>
  <si>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</si>
  <si>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</si>
  <si>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</si>
  <si>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</si>
  <si>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</si>
  <si>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</si>
  <si>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</si>
  <si>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</si>
  <si>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</si>
  <si>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</si>
  <si>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</si>
  <si>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</si>
  <si>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</si>
  <si>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</si>
  <si>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</si>
  <si>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</si>
  <si>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</si>
  <si>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</si>
  <si>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</si>
  <si>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</si>
  <si>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</si>
  <si>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</si>
  <si>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</si>
  <si>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</si>
  <si>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</si>
  <si>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</si>
  <si>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</si>
  <si>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</si>
  <si>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</si>
  <si>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</si>
  <si>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</si>
  <si>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</si>
  <si>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</si>
  <si>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</si>
  <si>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</si>
  <si>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</si>
  <si>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</si>
  <si>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</si>
  <si>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</si>
  <si>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</si>
  <si>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</si>
  <si>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</si>
  <si>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</si>
  <si>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</si>
  <si>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</si>
  <si>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</si>
  <si>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</si>
  <si>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</si>
  <si>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</si>
  <si>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</si>
  <si>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</si>
  <si>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</si>
  <si>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</si>
  <si>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</si>
  <si>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</si>
  <si>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</si>
  <si>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</si>
  <si>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</si>
  <si>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</si>
  <si>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</si>
  <si>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</si>
  <si>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</si>
  <si>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</si>
  <si>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</si>
  <si>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</si>
  <si>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</si>
  <si>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</si>
  <si>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</si>
  <si>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</si>
  <si>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</si>
  <si>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</si>
  <si>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</si>
  <si>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</si>
  <si>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</si>
  <si>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</si>
  <si>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</si>
  <si>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</si>
  <si>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</si>
  <si>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</si>
  <si>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</si>
  <si>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</si>
  <si>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</si>
  <si>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</si>
  <si>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</si>
  <si>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</si>
  <si>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</si>
  <si>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</si>
  <si>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</si>
  <si>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</si>
  <si>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</si>
  <si>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</si>
  <si>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</si>
  <si>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</si>
  <si>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</si>
  <si>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</si>
  <si>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</si>
  <si>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</si>
  <si>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</si>
  <si>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</si>
  <si>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</si>
  <si>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</si>
  <si>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</si>
  <si>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</si>
  <si>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</si>
  <si>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</si>
  <si>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</si>
  <si>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</si>
  <si>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</si>
  <si>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</si>
  <si>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</si>
  <si>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</si>
  <si>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</si>
  <si>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</si>
  <si>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</si>
  <si>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</si>
  <si>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</si>
  <si>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</si>
  <si>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</si>
  <si>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</si>
  <si>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</si>
  <si>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</si>
  <si>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</si>
  <si>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</si>
  <si>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</si>
  <si>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</si>
  <si>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</si>
  <si>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</si>
  <si>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</si>
  <si>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</si>
  <si>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</si>
  <si>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</si>
  <si>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</si>
  <si>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</si>
  <si>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</si>
  <si>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</si>
  <si>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</si>
  <si>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</si>
  <si>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</si>
  <si>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</si>
  <si>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</si>
  <si>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</si>
  <si>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</si>
  <si>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</si>
  <si>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</si>
  <si>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</si>
  <si>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</si>
  <si>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</si>
  <si>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</si>
  <si>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</si>
  <si>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</si>
  <si>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</si>
  <si>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</si>
  <si>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</si>
  <si>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</si>
  <si>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</si>
  <si>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</si>
  <si>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</si>
  <si>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</si>
  <si>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</si>
  <si>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</si>
  <si>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</si>
  <si>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</si>
  <si>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</si>
  <si>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</si>
  <si>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</si>
  <si>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</si>
  <si>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</si>
  <si>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</si>
  <si>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</si>
  <si>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</si>
  <si>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</si>
  <si>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charset val="204"/>
        <family val="2"/>
        <rFont val="Tahoma"/>
        <sz val="9"/>
        <vertAlign val="superscript"/>
      </rPr>
      <t>1</t>
    </r>
    <r>
      <rPr>
        <charset val="204"/>
        <family val="2"/>
        <rFont val="Tahoma"/>
        <sz val="9"/>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</si>
  <si>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</si>
  <si>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</si>
  <si>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</si>
  <si>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</si>
  <si>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</si>
  <si>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</si>
  <si>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</si>
  <si>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</si>
  <si>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</si>
  <si>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</si>
  <si>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</si>
  <si>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</si>
  <si>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</si>
  <si>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</si>
  <si>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</si>
  <si>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</si>
  <si>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</si>
  <si>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</si>
  <si>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</si>
  <si>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</si>
  <si>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</si>
  <si>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</si>
  <si>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</si>
  <si>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</si>
  <si>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</si>
  <si>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</si>
  <si>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</si>
  <si>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</si>
  <si>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</si>
  <si>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</si>
  <si>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</si>
  <si>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</si>
  <si>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</si>
  <si>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</si>
  <si>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</si>
  <si>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</si>
  <si>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</si>
  <si>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</si>
  <si>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</si>
  <si>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</si>
  <si>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</si>
  <si>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</si>
  <si>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</si>
  <si>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</si>
  <si>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</si>
  <si>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</si>
  <si>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</si>
  <si>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</si>
  <si>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</si>
  <si>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</si>
  <si>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</si>
  <si>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</si>
  <si>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</si>
  <si>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</si>
  <si>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</si>
  <si>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</si>
  <si>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</si>
  <si>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</si>
  <si>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</si>
  <si>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</si>
  <si>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</si>
  <si>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</si>
  <si>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</si>
  <si>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</si>
  <si>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</si>
  <si>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</si>
  <si>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</si>
  <si>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</si>
  <si>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</si>
  <si>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</si>
  <si>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</si>
  <si>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</si>
  <si>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</si>
  <si>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</si>
  <si>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</si>
  <si>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</si>
  <si>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</si>
  <si>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</si>
  <si>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</si>
  <si>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</si>
  <si>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</si>
  <si>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</si>
  <si>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</si>
  <si>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</si>
  <si>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</si>
  <si>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</si>
  <si>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</si>
  <si>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</si>
  <si>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</si>
  <si>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</si>
  <si>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</si>
  <si>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</si>
  <si>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</si>
  <si>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</si>
  <si>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</si>
  <si>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</si>
  <si>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</si>
  <si>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</si>
  <si>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</si>
  <si>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</si>
  <si>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</si>
  <si>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</si>
  <si>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</si>
  <si>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</si>
  <si>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</si>
  <si>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</si>
  <si>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</si>
  <si>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</si>
  <si>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</si>
  <si>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</si>
  <si>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</si>
  <si>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</si>
  <si>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</si>
  <si>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</si>
  <si>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</si>
  <si>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</si>
  <si>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</si>
  <si>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</si>
  <si>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</si>
  <si>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</si>
  <si>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</si>
  <si>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</si>
  <si>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</si>
  <si>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</si>
  <si>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</si>
  <si>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</si>
  <si>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</si>
  <si>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</si>
  <si>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</si>
  <si>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</si>
  <si>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</si>
  <si>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</si>
  <si>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</si>
  <si>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</si>
  <si>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</si>
  <si>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метод индексации установленных тарифов</t>
  </si>
  <si>
    <t>https://portal.eias.ru/Portal/DownloadPage.aspx?type=12&amp;guid=223a87f5-760a-4728-be44-a8019d3dfe94</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</si>
  <si>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</si>
  <si>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</si>
  <si>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</si>
  <si>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МУП "Теплоэнерго" осуществляет закупки в соответствии с Федеральным законом "О закупках товаров, работ, услуг отдельными видами юридических лиц" от 18.07.2011 "223-ФЗ</t>
  </si>
  <si>
    <t xml:space="preserve">https://zakupki.gov.ru/epz/orderclause/card/common-info.html?orderClauseInfoId=891900 </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</si>
  <si>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</si>
  <si>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 xml:space="preserve">Положение о закупках товаров, работ, услуг для нужд МУП «Теплоэнерго» размещено на сайте 
Единая информационная система в сфере закупок </t>
  </si>
  <si>
    <t>https://zakupki.gov.ru/epz/orderclause/card/common-info.html?orderClauseInfoId=891900</t>
  </si>
  <si>
    <t xml:space="preserve">План - закупок МУП "Теплоэнерго" на 2024 год размещен на сайте Единая информационная система в сфере закупок </t>
  </si>
  <si>
    <t xml:space="preserve">https://zakupki.gov.ru/epz/orderplan/purchase-plan/card/common-info.html?id=927421&amp;infoId=8043977 </t>
  </si>
  <si>
    <t>Информация о законченных закупочных процедурах</t>
  </si>
  <si>
    <t>https://zakupki.gov.ru/epz/order/extendedsearch/results.html?searchString=6140028670&amp;morphology=on&amp;search-filter=%D0%94%D0%B0%D1%82%D0%B5+%D1%80%D0%B0%D0%B7%D0%BC%D0%B5%D1%89%D0%B5%D0%BD%D0%B8%D1%8F&amp;</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</si>
  <si>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</si>
  <si>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</si>
  <si>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</si>
  <si>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</si>
  <si>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</si>
  <si>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</si>
  <si>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</si>
  <si>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</si>
  <si>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</si>
  <si>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</si>
  <si>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</si>
  <si>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</si>
  <si>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</si>
  <si>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</si>
  <si>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</si>
  <si>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</si>
  <si>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</si>
  <si>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</si>
  <si>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</si>
  <si>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</si>
  <si>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</si>
  <si>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</si>
  <si>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</si>
  <si>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</si>
  <si>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</si>
  <si>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</si>
  <si>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</si>
  <si>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</si>
  <si>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</si>
  <si>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</si>
  <si>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</si>
  <si>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</si>
  <si>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</si>
  <si>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</si>
  <si>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</si>
  <si>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</si>
  <si>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</si>
  <si>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</si>
  <si>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</si>
  <si>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</si>
  <si>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</si>
  <si>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</si>
  <si>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</si>
  <si>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</si>
  <si>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</si>
  <si>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</si>
  <si>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</si>
  <si>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</si>
  <si>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</si>
  <si>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</si>
  <si>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</si>
  <si>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</si>
  <si>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</si>
  <si>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</si>
  <si>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</si>
  <si>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</si>
  <si>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</si>
  <si>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</si>
  <si>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первичное раскрытие информации</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</si>
  <si>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</si>
  <si>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</si>
  <si>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</si>
  <si>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</si>
  <si>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</si>
  <si>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</si>
  <si>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</si>
  <si>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</si>
  <si>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</si>
  <si>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</si>
  <si>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</si>
  <si>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</si>
  <si>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</si>
  <si>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газ природный по регулируемой цене</t>
  </si>
  <si>
    <t>тыс м3</t>
  </si>
  <si>
    <t>Январь</t>
  </si>
  <si>
    <t>Амурская область</t>
  </si>
  <si>
    <t>февраль</t>
  </si>
  <si>
    <t>II квартал</t>
  </si>
  <si>
    <t>На сайте регулирующего органа</t>
  </si>
  <si>
    <t>УСН</t>
  </si>
  <si>
    <t>Передача</t>
  </si>
  <si>
    <t>пар</t>
  </si>
  <si>
    <t>к коллектору источника тепловой энергии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</si>
  <si>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</si>
  <si>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</si>
  <si>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</si>
  <si>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</si>
  <si>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</si>
  <si>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</si>
  <si>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</si>
  <si>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</si>
  <si>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</si>
  <si>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</si>
  <si>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</si>
  <si>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</si>
  <si>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</si>
  <si>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</si>
  <si>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</si>
  <si>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</si>
  <si>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</si>
  <si>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</si>
  <si>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</si>
  <si>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</si>
  <si>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</si>
  <si>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</si>
  <si>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</si>
  <si>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</si>
  <si>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</si>
  <si>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</si>
  <si>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</si>
  <si>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</si>
  <si>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</si>
  <si>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</si>
  <si>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</si>
  <si>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</si>
  <si>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</si>
  <si>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</si>
  <si>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</si>
  <si>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</si>
  <si>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</si>
  <si>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</si>
  <si>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</si>
  <si>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</si>
  <si>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</si>
  <si>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</si>
  <si>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</si>
  <si>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</si>
  <si>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</si>
  <si>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</si>
  <si>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</si>
  <si>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</si>
  <si>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</si>
  <si>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</si>
  <si>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</si>
  <si>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</si>
  <si>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</si>
  <si>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</si>
  <si>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</si>
  <si>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</si>
  <si>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</si>
  <si>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</si>
  <si>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</si>
  <si>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</si>
  <si>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</si>
  <si>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</si>
  <si>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</si>
  <si>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</si>
  <si>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</si>
  <si>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</si>
  <si>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</si>
  <si>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</si>
  <si>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</si>
  <si>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</si>
  <si>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</si>
  <si>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</si>
  <si>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</si>
  <si>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</si>
  <si>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</si>
  <si>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</si>
  <si>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</si>
  <si>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</si>
  <si>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</si>
  <si>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</si>
  <si>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</si>
  <si>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</si>
  <si>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</si>
  <si>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</si>
  <si>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</si>
  <si>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</si>
  <si>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</si>
  <si>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</si>
  <si>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</si>
  <si>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</si>
  <si>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</si>
  <si>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</si>
  <si>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</si>
  <si>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</si>
  <si>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</si>
  <si>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</si>
  <si>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</si>
  <si>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</si>
  <si>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</si>
  <si>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</si>
  <si>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</si>
  <si>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</si>
  <si>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</si>
  <si>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</si>
  <si>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</si>
  <si>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</si>
  <si>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</si>
  <si>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</si>
  <si>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</si>
  <si>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</si>
  <si>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</si>
  <si>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</si>
  <si>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</si>
  <si>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</si>
  <si>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</si>
  <si>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</si>
  <si>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</si>
  <si>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</si>
  <si>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</si>
  <si>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</si>
  <si>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</si>
  <si>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</si>
  <si>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</si>
  <si>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</si>
  <si>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</si>
  <si>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</si>
  <si>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</si>
  <si>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</si>
  <si>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</si>
  <si>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</si>
  <si>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</si>
  <si>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</si>
  <si>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</si>
  <si>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</si>
  <si>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</si>
  <si>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</si>
  <si>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</si>
  <si>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</si>
  <si>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</si>
  <si>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</si>
  <si>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</si>
  <si>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</si>
  <si>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</si>
  <si>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</si>
  <si>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</si>
  <si>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</si>
  <si>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</si>
  <si>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</si>
  <si>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</si>
  <si>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</si>
  <si>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</si>
  <si>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</si>
  <si>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</si>
  <si>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</si>
  <si>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</si>
  <si>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</si>
  <si>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</si>
  <si>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</si>
  <si>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</si>
  <si>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</si>
  <si>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</si>
  <si>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</si>
  <si>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</si>
  <si>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</si>
  <si>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</si>
  <si>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</si>
  <si>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</si>
  <si>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</si>
  <si>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</si>
  <si>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</si>
  <si>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</si>
  <si>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</si>
  <si>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</si>
  <si>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</si>
  <si>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</si>
  <si>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</si>
  <si>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</si>
  <si>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</si>
  <si>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</si>
  <si>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</si>
  <si>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</si>
  <si>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</si>
  <si>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</si>
  <si>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</si>
  <si>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</si>
  <si>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</si>
  <si>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</si>
  <si>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</si>
  <si>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</si>
  <si>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</si>
  <si>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</si>
  <si>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</si>
  <si>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</si>
  <si>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</si>
  <si>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</si>
  <si>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</si>
  <si>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</si>
  <si>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</si>
  <si>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</si>
  <si>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</si>
  <si>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</si>
  <si>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</si>
  <si>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</si>
  <si>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</si>
  <si>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</si>
  <si>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</si>
  <si>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</si>
  <si>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</si>
  <si>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</si>
  <si>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</si>
  <si>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</si>
  <si>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</si>
  <si>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</si>
  <si>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</si>
  <si>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</si>
  <si>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</si>
  <si>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</si>
  <si>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</si>
  <si>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</si>
  <si>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</si>
  <si>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</si>
  <si>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</si>
  <si>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</si>
  <si>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</si>
  <si>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</si>
  <si>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</si>
  <si>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</si>
  <si>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</si>
  <si>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</si>
  <si>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</si>
  <si>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</si>
  <si>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</si>
  <si>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</si>
  <si>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</si>
  <si>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</si>
  <si>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</si>
  <si>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</si>
  <si>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</si>
  <si>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</si>
  <si>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</si>
  <si>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</si>
  <si>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</si>
  <si>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</si>
  <si>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</si>
  <si>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</si>
  <si>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</si>
  <si>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</si>
  <si>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</si>
  <si>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</si>
  <si>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</si>
  <si>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</si>
  <si>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</si>
  <si>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</si>
  <si>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</si>
  <si>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</si>
  <si>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</si>
  <si>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</si>
  <si>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</si>
  <si>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</si>
  <si>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</si>
  <si>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</si>
  <si>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</si>
  <si>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</si>
  <si>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</si>
  <si>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</si>
  <si>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</si>
  <si>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</si>
  <si>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</si>
  <si>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</si>
  <si>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</si>
  <si>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</si>
  <si>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</si>
  <si>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</si>
  <si>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</si>
  <si>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</si>
  <si>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</si>
  <si>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</si>
  <si>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</si>
  <si>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</si>
  <si>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</si>
  <si>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</si>
  <si>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</si>
  <si>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</si>
  <si>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</si>
  <si>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</si>
  <si>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</si>
  <si>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</si>
  <si>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</si>
  <si>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</si>
  <si>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</si>
  <si>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</si>
  <si>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</si>
  <si>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</si>
  <si>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</si>
  <si>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</si>
  <si>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</si>
  <si>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</si>
  <si>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</si>
  <si>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</si>
  <si>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</si>
  <si>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</si>
  <si>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</si>
  <si>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</si>
  <si>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</si>
  <si>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</si>
  <si>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</si>
  <si>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</si>
  <si>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</si>
  <si>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</si>
  <si>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</si>
  <si>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</si>
  <si>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</si>
  <si>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</si>
  <si>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</si>
  <si>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</si>
  <si>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</si>
  <si>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</si>
  <si>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</si>
  <si>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</si>
  <si>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</si>
  <si>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</si>
  <si>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</si>
  <si>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</si>
  <si>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</si>
  <si>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</si>
  <si>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</si>
  <si>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</si>
  <si>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</si>
  <si>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</si>
  <si>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</si>
  <si>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</si>
  <si>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</si>
  <si>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</si>
  <si>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</si>
  <si>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</si>
  <si>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</si>
  <si>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</si>
  <si>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</si>
  <si>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</si>
  <si>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</si>
  <si>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</si>
  <si>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</si>
  <si>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</si>
  <si>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</si>
  <si>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</si>
  <si>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</si>
  <si>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</si>
  <si>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</si>
  <si>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</si>
  <si>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</si>
  <si>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</si>
  <si>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</si>
  <si>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</si>
  <si>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</si>
  <si>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</si>
  <si>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</si>
  <si>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</si>
  <si>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</si>
  <si>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</si>
  <si>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</si>
  <si>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</si>
  <si>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</si>
  <si>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</si>
  <si>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</si>
  <si>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</si>
  <si>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</si>
  <si>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</si>
  <si>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</si>
  <si>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</si>
  <si>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</si>
  <si>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</si>
  <si>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</si>
  <si>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</si>
  <si>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</si>
  <si>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</si>
  <si>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</si>
  <si>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</si>
  <si>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</si>
  <si>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</si>
  <si>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</si>
  <si>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</si>
  <si>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</si>
  <si>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</si>
  <si>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</si>
  <si>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</si>
  <si>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</si>
  <si>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</si>
  <si>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</si>
  <si>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</si>
  <si>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</si>
  <si>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</si>
  <si>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</si>
  <si>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</si>
  <si>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</si>
  <si>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R</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</si>
  <si>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</si>
  <si>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</si>
  <si>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</si>
  <si>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</si>
  <si>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</si>
  <si>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</si>
  <si>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</si>
  <si>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</si>
  <si>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</si>
  <si>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</si>
  <si>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</si>
  <si>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Q</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</si>
  <si>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</si>
  <si>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</si>
  <si>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</si>
  <si>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</si>
  <si>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</si>
  <si>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</si>
  <si>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</si>
  <si>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</si>
  <si>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</si>
  <si>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</si>
  <si>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</si>
  <si>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</si>
  <si>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</si>
  <si>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</si>
  <si>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</si>
  <si>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</si>
  <si>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</si>
  <si>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</si>
  <si>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</si>
  <si>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</si>
  <si>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</si>
  <si>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P</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</si>
  <si>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</si>
  <si>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</si>
  <si>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</si>
  <si>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</si>
  <si>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</si>
  <si>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</si>
  <si>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</si>
  <si>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</si>
  <si>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</si>
  <si>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</si>
  <si>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</si>
  <si>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</si>
  <si>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</si>
  <si>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</si>
  <si>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</si>
  <si>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</si>
  <si>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</si>
  <si>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</si>
  <si>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</si>
  <si>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</si>
  <si>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</si>
  <si>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</si>
  <si>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</si>
  <si>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</si>
  <si>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</si>
  <si>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</si>
  <si>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</si>
  <si>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</si>
  <si>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</si>
  <si>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</si>
  <si>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</si>
  <si>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</si>
  <si>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</si>
  <si>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</si>
  <si>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</si>
  <si>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</si>
  <si>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</si>
  <si>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</si>
  <si>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</si>
  <si>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</si>
  <si>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</si>
  <si>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</si>
  <si>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</si>
  <si>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</si>
  <si>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</si>
  <si>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</si>
  <si>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</si>
  <si>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</si>
  <si>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</si>
  <si>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</si>
  <si>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</si>
  <si>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</si>
  <si>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</si>
  <si>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</si>
  <si>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</si>
  <si>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</si>
  <si>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</si>
  <si>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</si>
  <si>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</si>
  <si>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</si>
  <si>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</si>
  <si>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</si>
  <si>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</si>
  <si>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</si>
  <si>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</si>
  <si>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</si>
  <si>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</si>
  <si>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</si>
  <si>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</si>
  <si>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</si>
  <si>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</si>
  <si>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</si>
  <si>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</si>
  <si>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</si>
  <si>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</si>
  <si>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</si>
  <si>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</si>
  <si>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</si>
  <si>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</si>
  <si>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</si>
  <si>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</si>
  <si>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</si>
  <si>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</si>
  <si>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</si>
  <si>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</si>
  <si>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</si>
  <si>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</si>
  <si>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</si>
  <si>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</si>
  <si>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</si>
  <si>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</si>
  <si>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</si>
  <si>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</si>
  <si>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</si>
  <si>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</si>
  <si>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</si>
  <si>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</si>
  <si>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</si>
  <si>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</si>
  <si>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</si>
  <si>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</si>
  <si>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</si>
  <si>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</si>
  <si>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</si>
  <si>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</si>
  <si>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</si>
  <si>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</si>
  <si>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</si>
  <si>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</si>
  <si>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</si>
  <si>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</si>
  <si>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</si>
  <si>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</si>
  <si>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</si>
  <si>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</si>
  <si>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</si>
  <si>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</si>
  <si>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</si>
  <si>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</si>
  <si>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</si>
  <si>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</si>
  <si>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</si>
  <si>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</si>
  <si>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</si>
  <si>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</si>
  <si>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</si>
  <si>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</si>
  <si>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</si>
  <si>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</si>
  <si>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</si>
  <si>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</si>
  <si>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</si>
  <si>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</si>
  <si>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</si>
  <si>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</si>
  <si>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</si>
  <si>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</si>
  <si>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</si>
  <si>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</si>
  <si>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</si>
  <si>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</si>
  <si>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</si>
  <si>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</si>
  <si>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</si>
  <si>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</si>
  <si>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</si>
  <si>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</si>
  <si>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</si>
  <si>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</si>
  <si>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</si>
  <si>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</si>
  <si>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</si>
  <si>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</si>
  <si>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</si>
  <si>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</si>
  <si>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</si>
  <si>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</si>
  <si>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</si>
  <si>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</si>
  <si>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</si>
  <si>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</si>
  <si>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</si>
  <si>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</si>
  <si>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</si>
  <si>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</si>
  <si>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</si>
  <si>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</si>
  <si>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</si>
  <si>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</si>
  <si>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</si>
  <si>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</si>
  <si>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</si>
  <si>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</si>
  <si>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</si>
  <si>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</si>
  <si>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</si>
  <si>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</si>
  <si>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</si>
  <si>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</si>
  <si>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</si>
  <si>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</si>
  <si>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</si>
  <si>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</si>
  <si>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</si>
  <si>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</si>
  <si>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</si>
  <si>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</si>
  <si>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</si>
  <si>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</si>
  <si>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</si>
  <si>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</si>
  <si>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</si>
  <si>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</si>
  <si>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</si>
  <si>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</si>
  <si>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</si>
  <si>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</si>
  <si>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</si>
  <si>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</si>
  <si>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</si>
  <si>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</si>
  <si>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</si>
  <si>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</si>
  <si>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</si>
  <si>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</si>
  <si>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</si>
  <si>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</si>
  <si>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</si>
  <si>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</si>
  <si>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</si>
  <si>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</si>
  <si>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</si>
  <si>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</si>
  <si>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charset val="204"/>
        <family val="2"/>
        <rFont val="Tahoma"/>
        <sz val="9"/>
        <vertAlign val="superscript"/>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</si>
  <si>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</si>
  <si>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</si>
  <si>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</si>
  <si>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</si>
  <si>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</si>
  <si>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charset val="204"/>
        <family val="2"/>
        <rFont val="Tahoma"/>
        <sz val="9"/>
        <vertAlign val="superscript"/>
      </rPr>
      <t>2</t>
    </r>
    <r>
      <rPr>
        <charset val="204"/>
        <family val="2"/>
        <rFont val="Tahoma"/>
        <sz val="9"/>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</si>
  <si>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</si>
  <si>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</si>
  <si>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в связи с постановлением Региональной службы по тарифам Ростовской области от 25.06.2024 №81 «О внесении изменений в постановление Региональной службы по тарифам Ростовской области от 15.11.2023 № 550 «Об установлении тарифов на тепловую энергию, поставляемую МУП «Теплоэнерго» (ИНН 6140028670) потребителям, другим теплоснабжающим организациям города Азова, на 2024-2028 годы» и сценарными условиями функционирования экономики Российской Федерации Минэкономразвития Российской Федерации от 26.04.2024 год</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</si>
  <si>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</si>
  <si>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</si>
  <si>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</si>
  <si>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</si>
  <si>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</si>
  <si>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</si>
  <si>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</si>
  <si>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</si>
  <si>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</si>
  <si>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</si>
  <si>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</si>
  <si>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</si>
  <si>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</si>
  <si>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</si>
  <si>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</si>
  <si>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</si>
  <si>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</si>
  <si>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</si>
  <si>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</si>
  <si>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</si>
  <si>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</si>
  <si>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</si>
  <si>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</si>
  <si>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</si>
  <si>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</si>
  <si>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</si>
  <si>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</si>
  <si>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</si>
  <si>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</si>
  <si>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</si>
  <si>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</si>
  <si>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</si>
  <si>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</si>
  <si>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</si>
  <si>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</si>
  <si>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Добавить поставщика</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</si>
  <si>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</si>
  <si>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</si>
  <si>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</si>
  <si>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</si>
  <si>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</si>
  <si>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</si>
  <si>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</si>
  <si>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</si>
  <si>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</si>
  <si>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</si>
  <si>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</si>
  <si>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</si>
  <si>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</si>
  <si>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</si>
  <si>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</si>
  <si>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</si>
  <si>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</si>
  <si>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</si>
  <si>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</si>
  <si>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</si>
  <si>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</si>
  <si>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</si>
  <si>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</si>
  <si>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</si>
  <si>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</si>
  <si>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</si>
  <si>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</si>
  <si>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</si>
  <si>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</si>
  <si>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</si>
  <si>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</si>
  <si>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</si>
  <si>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</si>
  <si>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</si>
  <si>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</si>
  <si>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</si>
  <si>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</si>
  <si>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</si>
  <si>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</si>
  <si>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</si>
  <si>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</si>
  <si>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</si>
  <si>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</si>
  <si>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</si>
  <si>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</si>
  <si>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</si>
  <si>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</si>
  <si>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</si>
  <si>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</si>
  <si>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</si>
  <si>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</si>
  <si>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</si>
  <si>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</si>
  <si>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</si>
  <si>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</si>
  <si>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</si>
  <si>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</si>
  <si>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</si>
  <si>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</si>
  <si>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</si>
  <si>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</si>
  <si>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</si>
  <si>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</si>
  <si>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</si>
  <si>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</si>
  <si>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</si>
  <si>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</si>
  <si>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</si>
  <si>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</si>
  <si>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</si>
  <si>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</si>
  <si>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</si>
  <si>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</si>
  <si>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</si>
  <si>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</si>
  <si>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</si>
  <si>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</si>
  <si>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</si>
  <si>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</si>
  <si>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</si>
  <si>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</si>
  <si>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</si>
  <si>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</si>
  <si>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</si>
  <si>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</si>
  <si>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</si>
  <si>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</si>
  <si>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</si>
  <si>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</si>
  <si>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</si>
  <si>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</si>
  <si>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</si>
  <si>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</si>
  <si>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</si>
  <si>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</si>
  <si>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</si>
  <si>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</si>
  <si>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</si>
  <si>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</si>
  <si>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</si>
  <si>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</si>
  <si>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</si>
  <si>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</si>
  <si>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</si>
  <si>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</si>
  <si>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</si>
  <si>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</si>
  <si>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</si>
  <si>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</si>
  <si>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</si>
  <si>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</si>
  <si>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</si>
  <si>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</si>
  <si>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</si>
  <si>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</si>
  <si>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</si>
  <si>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</si>
  <si>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</si>
  <si>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</si>
  <si>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</si>
  <si>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</si>
  <si>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</si>
  <si>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</si>
  <si>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</si>
  <si>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</si>
  <si>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</si>
  <si>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</si>
  <si>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</si>
  <si>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</si>
  <si>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</si>
  <si>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</si>
  <si>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</si>
  <si>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</si>
  <si>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</si>
  <si>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</si>
  <si>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</si>
  <si>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</si>
  <si>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</si>
  <si>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</si>
  <si>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</si>
  <si>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</si>
  <si>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</si>
  <si>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</si>
  <si>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</si>
  <si>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</si>
  <si>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</si>
  <si>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</si>
  <si>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</si>
  <si>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</si>
  <si>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</si>
  <si>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</si>
  <si>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</si>
  <si>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</si>
  <si>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</si>
  <si>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</si>
  <si>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</si>
  <si>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</si>
  <si>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</si>
  <si>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</si>
  <si>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</si>
  <si>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</si>
  <si>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</si>
  <si>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</si>
  <si>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</si>
  <si>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</si>
  <si>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</si>
  <si>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</si>
  <si>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</si>
  <si>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</si>
  <si>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</si>
  <si>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</si>
  <si>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</si>
  <si>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</si>
  <si>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</si>
  <si>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</si>
  <si>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</si>
  <si>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</si>
  <si>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</si>
  <si>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</si>
  <si>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</si>
  <si>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</si>
  <si>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</si>
  <si>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</si>
  <si>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</si>
  <si>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</si>
  <si>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</si>
  <si>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</si>
  <si>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</si>
  <si>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</si>
  <si>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</si>
  <si>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</si>
  <si>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</si>
  <si>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</si>
  <si>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</si>
  <si>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</si>
  <si>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</si>
  <si>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</si>
  <si>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</si>
  <si>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</si>
  <si>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</si>
  <si>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</si>
  <si>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</si>
  <si>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</si>
  <si>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</si>
  <si>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</si>
  <si>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</si>
  <si>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</si>
  <si>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</si>
  <si>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</si>
  <si>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</si>
  <si>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</si>
  <si>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</si>
  <si>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</si>
  <si>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</si>
  <si>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</si>
  <si>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</si>
  <si>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</si>
  <si>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</si>
  <si>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</si>
  <si>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</si>
  <si>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</si>
  <si>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</si>
  <si>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</si>
  <si>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</si>
  <si>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</si>
  <si>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</si>
  <si>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</si>
  <si>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</si>
  <si>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</si>
  <si>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</si>
  <si>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</si>
  <si>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</si>
  <si>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</si>
  <si>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</si>
  <si>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</si>
  <si>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</si>
  <si>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</si>
  <si>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</si>
  <si>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</si>
  <si>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</si>
  <si>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</si>
  <si>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</si>
  <si>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</si>
  <si>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</si>
  <si>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</si>
  <si>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</si>
  <si>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</si>
  <si>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</si>
  <si>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</si>
  <si>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</si>
  <si>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</si>
  <si>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</si>
  <si>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</si>
  <si>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</si>
  <si>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</si>
  <si>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</si>
  <si>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</si>
  <si>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</si>
  <si>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</si>
  <si>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</si>
  <si>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</si>
  <si>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</si>
  <si>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</si>
  <si>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</si>
  <si>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</si>
  <si>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</si>
  <si>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</si>
  <si>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</si>
  <si>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</si>
  <si>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</si>
  <si>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</si>
  <si>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</si>
  <si>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</si>
  <si>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</si>
  <si>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</si>
  <si>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</si>
  <si>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</si>
  <si>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</si>
  <si>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</si>
  <si>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</si>
  <si>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</si>
  <si>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</si>
  <si>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</si>
  <si>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</si>
  <si>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</si>
  <si>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</si>
  <si>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</si>
  <si>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</si>
  <si>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</si>
  <si>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</si>
  <si>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</si>
  <si>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</si>
  <si>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</si>
  <si>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</si>
  <si>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</si>
  <si>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</si>
  <si>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</si>
  <si>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</si>
  <si>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</si>
  <si>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</si>
  <si>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</si>
  <si>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</si>
  <si>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</si>
  <si>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</si>
  <si>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</si>
  <si>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</si>
  <si>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</si>
  <si>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</si>
  <si>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</si>
  <si>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</si>
  <si>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</si>
  <si>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</si>
  <si>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</si>
  <si>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</si>
  <si>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2625</t>
  </si>
  <si>
    <t>28469397</t>
  </si>
  <si>
    <t>АО "Авиаприборный ремонтный завод"</t>
  </si>
  <si>
    <t>6141032373</t>
  </si>
  <si>
    <t>614101001</t>
  </si>
  <si>
    <t>26445320</t>
  </si>
  <si>
    <t>АО "Азовский оптико-механический завод"</t>
  </si>
  <si>
    <t>6140022069</t>
  </si>
  <si>
    <t>26444834</t>
  </si>
  <si>
    <t>АО "Алюминий Металлург Рус"</t>
  </si>
  <si>
    <t>7709534220</t>
  </si>
  <si>
    <t>614201001</t>
  </si>
  <si>
    <t>28796046</t>
  </si>
  <si>
    <t>АО "ГТ Энерго"</t>
  </si>
  <si>
    <t>7703806647</t>
  </si>
  <si>
    <t>772801001</t>
  </si>
  <si>
    <t>26560525</t>
  </si>
  <si>
    <t>АО "ГУ ЖКХ"</t>
  </si>
  <si>
    <t>5116000922</t>
  </si>
  <si>
    <t>511601001</t>
  </si>
  <si>
    <t>13-05-2009 00:00:00</t>
  </si>
  <si>
    <t>26318885</t>
  </si>
  <si>
    <t>АО "Газпром энергосбыт"</t>
  </si>
  <si>
    <t>7705750968</t>
  </si>
  <si>
    <t>772901001</t>
  </si>
  <si>
    <t>30872564</t>
  </si>
  <si>
    <t>АО "Главное управление обустройства войск"</t>
  </si>
  <si>
    <t>7703702341</t>
  </si>
  <si>
    <t>770401001</t>
  </si>
  <si>
    <t>23-01-2017 00:00:00</t>
  </si>
  <si>
    <t>26640837</t>
  </si>
  <si>
    <t>АО "Желдорреммаш" - филиал Ростовский ЭРЗ</t>
  </si>
  <si>
    <t>7715729877</t>
  </si>
  <si>
    <t>616243001</t>
  </si>
  <si>
    <t>26518197</t>
  </si>
  <si>
    <t>АО "Краснодартеплосеть"</t>
  </si>
  <si>
    <t>2312122495</t>
  </si>
  <si>
    <t>230801001</t>
  </si>
  <si>
    <t>31062216</t>
  </si>
  <si>
    <t>АО "Ростоваэроинвест"</t>
  </si>
  <si>
    <t>6163123680</t>
  </si>
  <si>
    <t>610201001</t>
  </si>
  <si>
    <t>01-01-2018 00:00:00</t>
  </si>
  <si>
    <t>26436677</t>
  </si>
  <si>
    <t>АО "Ростовобувь"</t>
  </si>
  <si>
    <t>6152000503</t>
  </si>
  <si>
    <t>616501001</t>
  </si>
  <si>
    <t>26382583</t>
  </si>
  <si>
    <t>АО "Сервис-ЖКХ"</t>
  </si>
  <si>
    <t>6126101985</t>
  </si>
  <si>
    <t>612601001</t>
  </si>
  <si>
    <t>26457311</t>
  </si>
  <si>
    <t>АО "Теплокоммунэнерго"</t>
  </si>
  <si>
    <t>6165199445</t>
  </si>
  <si>
    <t>615250001</t>
  </si>
  <si>
    <t>26445828</t>
  </si>
  <si>
    <t>АО "Теплоэнергетическое предприятие тепловых сетей "Теплоэнерго"</t>
  </si>
  <si>
    <t>6154023190</t>
  </si>
  <si>
    <t>615401001</t>
  </si>
  <si>
    <t>26572663</t>
  </si>
  <si>
    <t>АО "ФПК"</t>
  </si>
  <si>
    <t>7708709686</t>
  </si>
  <si>
    <t>997650001</t>
  </si>
  <si>
    <t>03-12-2009 00:00:00</t>
  </si>
  <si>
    <t>26457273</t>
  </si>
  <si>
    <t>АО «Донэнерго»</t>
  </si>
  <si>
    <t>6163089292</t>
  </si>
  <si>
    <t>616301001</t>
  </si>
  <si>
    <t>26446563</t>
  </si>
  <si>
    <t>АО «Шахтинский Завод Гидропривод»</t>
  </si>
  <si>
    <t>6155010796</t>
  </si>
  <si>
    <t>615501001</t>
  </si>
  <si>
    <t>31221924</t>
  </si>
  <si>
    <t>Вагонный участок Ростов - структурное подразделение Северо-Кавказского филиала АО "ФПК"</t>
  </si>
  <si>
    <t>616245011</t>
  </si>
  <si>
    <t>26374532</t>
  </si>
  <si>
    <t>Веселовское МУП ЖКХ</t>
  </si>
  <si>
    <t>6106000636</t>
  </si>
  <si>
    <t>610601001</t>
  </si>
  <si>
    <t>26437029</t>
  </si>
  <si>
    <t>ГБОУ СПО РО "Таганрогский авиационный колледж имени В.М. Петлякова"</t>
  </si>
  <si>
    <t>6154029642</t>
  </si>
  <si>
    <t>31506523</t>
  </si>
  <si>
    <t>ГБПОУ РО "Азовский казачий кадетский аграрно-технологический техникум"</t>
  </si>
  <si>
    <t>6140006973</t>
  </si>
  <si>
    <t>13-07-2021 00:00:00</t>
  </si>
  <si>
    <t>26445961</t>
  </si>
  <si>
    <t>ГОУ ВПО Южно-Российский государственный технический университет (Новочеркасский политехнический институт)</t>
  </si>
  <si>
    <t>6150010834</t>
  </si>
  <si>
    <t>615001001</t>
  </si>
  <si>
    <t>28459543</t>
  </si>
  <si>
    <t>ДГТУ</t>
  </si>
  <si>
    <t>6165033136</t>
  </si>
  <si>
    <t>26374535</t>
  </si>
  <si>
    <t>ЕМУП "Коммунальник"</t>
  </si>
  <si>
    <t>6109001290</t>
  </si>
  <si>
    <t>610901001</t>
  </si>
  <si>
    <t>28469409</t>
  </si>
  <si>
    <t>ЗАО "Биоветдон"</t>
  </si>
  <si>
    <t>6165024004</t>
  </si>
  <si>
    <t>28091804</t>
  </si>
  <si>
    <t>ЗАО "Комбинат крупнопанельного домостроения"</t>
  </si>
  <si>
    <t>6168000805</t>
  </si>
  <si>
    <t>26445869</t>
  </si>
  <si>
    <t>ЗАО "Корпорация "Глория Джинс"</t>
  </si>
  <si>
    <t>6166034397</t>
  </si>
  <si>
    <t>26449396</t>
  </si>
  <si>
    <t>ЗАО "Строительное управление - 5"</t>
  </si>
  <si>
    <t>6165006541</t>
  </si>
  <si>
    <t>26449377</t>
  </si>
  <si>
    <t>МБУЗ "ЦРБ Миллеровского района Ростовской области"</t>
  </si>
  <si>
    <t>6149005082</t>
  </si>
  <si>
    <t>614901001</t>
  </si>
  <si>
    <t>26445479</t>
  </si>
  <si>
    <t>МП "Азовводоканал"</t>
  </si>
  <si>
    <t>6140000097</t>
  </si>
  <si>
    <t>31448467</t>
  </si>
  <si>
    <t>МП "ЖКХ" Гигантовского сельского поселения</t>
  </si>
  <si>
    <t>6153027000</t>
  </si>
  <si>
    <t>615301001</t>
  </si>
  <si>
    <t>26382587</t>
  </si>
  <si>
    <t>МП ЖКХ</t>
  </si>
  <si>
    <t>6132000738</t>
  </si>
  <si>
    <t>613201001</t>
  </si>
  <si>
    <t>26445760</t>
  </si>
  <si>
    <t>МП г. Новошахтинска "Коммунальные котельные и тепловые сети"</t>
  </si>
  <si>
    <t>6151009775</t>
  </si>
  <si>
    <t>615101001</t>
  </si>
  <si>
    <t>26382573</t>
  </si>
  <si>
    <t>МУП "Багаевское управление жилищно-коммунального хозяйства"</t>
  </si>
  <si>
    <t>6103000116</t>
  </si>
  <si>
    <t>610301001</t>
  </si>
  <si>
    <t>28868766</t>
  </si>
  <si>
    <t>МУП "Вира"</t>
  </si>
  <si>
    <t>6147006732</t>
  </si>
  <si>
    <t>614701001</t>
  </si>
  <si>
    <t>26374528</t>
  </si>
  <si>
    <t>МУП "Водник" Боковского района</t>
  </si>
  <si>
    <t>6104003871</t>
  </si>
  <si>
    <t>610401001</t>
  </si>
  <si>
    <t>31000381</t>
  </si>
  <si>
    <t>МУП "Городское Хозяйство"</t>
  </si>
  <si>
    <t>6154094137</t>
  </si>
  <si>
    <t>18-01-2005 00:00:00</t>
  </si>
  <si>
    <t>31543382</t>
  </si>
  <si>
    <t>МУП "ЖКХ" Буденновского сельского поселения</t>
  </si>
  <si>
    <t>6153009058</t>
  </si>
  <si>
    <t>01-01-2022 00:00:00</t>
  </si>
  <si>
    <t>31701681</t>
  </si>
  <si>
    <t>МУП "ЖЭУ"</t>
  </si>
  <si>
    <t>6149001480</t>
  </si>
  <si>
    <t>16-10-2023 00:00:00</t>
  </si>
  <si>
    <t>26446617</t>
  </si>
  <si>
    <t>МУП "Жилищно-эксплуатационное управление"</t>
  </si>
  <si>
    <t>6154070665</t>
  </si>
  <si>
    <t>26448791</t>
  </si>
  <si>
    <t>МУП "Каменсктеплосеть"</t>
  </si>
  <si>
    <t>6147006316</t>
  </si>
  <si>
    <t>26374579</t>
  </si>
  <si>
    <t>МУП "Коммунальщик" Глубокинского городского поселения</t>
  </si>
  <si>
    <t>6114007459</t>
  </si>
  <si>
    <t>611401001</t>
  </si>
  <si>
    <t>31043414</t>
  </si>
  <si>
    <t>МУП "Комфортная среда" Сальского городского поселения</t>
  </si>
  <si>
    <t>6153005247</t>
  </si>
  <si>
    <t>21-09-2017 00:00:00</t>
  </si>
  <si>
    <t>26444931</t>
  </si>
  <si>
    <t>МУП "Красносулинские городские теплосети"</t>
  </si>
  <si>
    <t>6148557940</t>
  </si>
  <si>
    <t>614801001</t>
  </si>
  <si>
    <t>30959394</t>
  </si>
  <si>
    <t>МУП "Молодежный" Астаховского сельского поселения</t>
  </si>
  <si>
    <t>6114017190</t>
  </si>
  <si>
    <t>12-09-2017 00:00:00</t>
  </si>
  <si>
    <t>31241624</t>
  </si>
  <si>
    <t>МУП "Новочеркасские тепловые сети"</t>
  </si>
  <si>
    <t>6150097377</t>
  </si>
  <si>
    <t>26445059</t>
  </si>
  <si>
    <t>МУП "Тарасовские тепловые сети"</t>
  </si>
  <si>
    <t>6133002600</t>
  </si>
  <si>
    <t>613301001</t>
  </si>
  <si>
    <t>31298334</t>
  </si>
  <si>
    <t>МУП "Тепло МРЗ"</t>
  </si>
  <si>
    <t>6147040571</t>
  </si>
  <si>
    <t>28-03-2019 00:00:00</t>
  </si>
  <si>
    <t>30354166</t>
  </si>
  <si>
    <t>МУП "Тепловые сети"</t>
  </si>
  <si>
    <t>6154097882</t>
  </si>
  <si>
    <t>31219066</t>
  </si>
  <si>
    <t>МУП "Теплотехник Неклиновского района"</t>
  </si>
  <si>
    <t>6123024348</t>
  </si>
  <si>
    <t>612301001</t>
  </si>
  <si>
    <t>26627408</t>
  </si>
  <si>
    <t>МУП "Теплоэнерго"</t>
  </si>
  <si>
    <t>6139008430</t>
  </si>
  <si>
    <t>613901001</t>
  </si>
  <si>
    <t>30355506</t>
  </si>
  <si>
    <t>МУП "Трамвайно-троллейбусное управление"</t>
  </si>
  <si>
    <t>6154022710</t>
  </si>
  <si>
    <t>26374721</t>
  </si>
  <si>
    <t>МУП "Управление"Водоканал"</t>
  </si>
  <si>
    <t>6154051373</t>
  </si>
  <si>
    <t>30843340</t>
  </si>
  <si>
    <t>МУП АГП "АКСАЙЭНЕРГО"</t>
  </si>
  <si>
    <t>6102066210</t>
  </si>
  <si>
    <t>26374608</t>
  </si>
  <si>
    <t>МУП Большесальского сельского поселения "Коммунальщик"</t>
  </si>
  <si>
    <t>6122010173</t>
  </si>
  <si>
    <t>612201001</t>
  </si>
  <si>
    <t>26374662</t>
  </si>
  <si>
    <t>МУП ВКХ РО Целинского  района</t>
  </si>
  <si>
    <t>6136000070</t>
  </si>
  <si>
    <t>613601001</t>
  </si>
  <si>
    <t>26374620</t>
  </si>
  <si>
    <t>МУП КХ Песчанокопского района</t>
  </si>
  <si>
    <t>6127010900</t>
  </si>
  <si>
    <t>612701001</t>
  </si>
  <si>
    <t>26458650</t>
  </si>
  <si>
    <t>МУП Кагальницкого района "УЮТ"</t>
  </si>
  <si>
    <t>6113016972</t>
  </si>
  <si>
    <t>611301001</t>
  </si>
  <si>
    <t>26446579</t>
  </si>
  <si>
    <t>МУП Константиновского городского поселения "Гарант"</t>
  </si>
  <si>
    <t>6116009324</t>
  </si>
  <si>
    <t>611601001</t>
  </si>
  <si>
    <t>26374564</t>
  </si>
  <si>
    <t>МУП ПЖКХ Зимовниковского района</t>
  </si>
  <si>
    <t>6112000867</t>
  </si>
  <si>
    <t>611201001</t>
  </si>
  <si>
    <t>26452861</t>
  </si>
  <si>
    <t>МУП Пролетарского городского поселения Пролетарского района Ростовской области "Тепловые сети"</t>
  </si>
  <si>
    <t>6128002901</t>
  </si>
  <si>
    <t>612801001</t>
  </si>
  <si>
    <t>31724505</t>
  </si>
  <si>
    <t>МУП ЧСП "Жилкоммунсервис"</t>
  </si>
  <si>
    <t>6122007501</t>
  </si>
  <si>
    <t>26768157</t>
  </si>
  <si>
    <t>Миллеровский филиал АО "Астон"</t>
  </si>
  <si>
    <t>6162015019</t>
  </si>
  <si>
    <t>614943001</t>
  </si>
  <si>
    <t>27946501</t>
  </si>
  <si>
    <t>НП "ОСАК "СТАЛЬ"</t>
  </si>
  <si>
    <t>6166990071</t>
  </si>
  <si>
    <t>616601001</t>
  </si>
  <si>
    <t>26446002</t>
  </si>
  <si>
    <t>ОАО "31 завод авиационного технологического оборудования"</t>
  </si>
  <si>
    <t>6150052190</t>
  </si>
  <si>
    <t>26645111</t>
  </si>
  <si>
    <t>ОАО "Батайское"</t>
  </si>
  <si>
    <t>6101001530</t>
  </si>
  <si>
    <t>610101001</t>
  </si>
  <si>
    <t>27505966</t>
  </si>
  <si>
    <t>ОАО "Вагонная ремонтная компания -3"</t>
  </si>
  <si>
    <t>7708737500</t>
  </si>
  <si>
    <t>770801001</t>
  </si>
  <si>
    <t>26444992</t>
  </si>
  <si>
    <t>ОАО "Водоканал" Матвеево-Курганского района</t>
  </si>
  <si>
    <t>6119009185</t>
  </si>
  <si>
    <t>611901001</t>
  </si>
  <si>
    <t>26436871</t>
  </si>
  <si>
    <t>ОАО "Донмакаронпром"</t>
  </si>
  <si>
    <t>6152000310</t>
  </si>
  <si>
    <t>616701001</t>
  </si>
  <si>
    <t>26446559</t>
  </si>
  <si>
    <t>ОАО "Зерноградские тепловые сети"</t>
  </si>
  <si>
    <t>6111982106</t>
  </si>
  <si>
    <t>611101001</t>
  </si>
  <si>
    <t>30420231</t>
  </si>
  <si>
    <t>ОАО "НПП КП "Квант"</t>
  </si>
  <si>
    <t>6152001056</t>
  </si>
  <si>
    <t>616801001</t>
  </si>
  <si>
    <t>26448939</t>
  </si>
  <si>
    <t>ОАО "Новочеркасскгоргаз"</t>
  </si>
  <si>
    <t>6150009405</t>
  </si>
  <si>
    <t>26448888</t>
  </si>
  <si>
    <t>ОАО "Резметкон"</t>
  </si>
  <si>
    <t>6141004383</t>
  </si>
  <si>
    <t>26374688</t>
  </si>
  <si>
    <t>ОАО "Санаторий Вешенский"</t>
  </si>
  <si>
    <t>6139003209</t>
  </si>
  <si>
    <t>26445651</t>
  </si>
  <si>
    <t>ОАО "Таганрогский завод Прибой"</t>
  </si>
  <si>
    <t>6154093944</t>
  </si>
  <si>
    <t>28077113</t>
  </si>
  <si>
    <t>ОАО "Таганрогский котлостроительный завод "Красный котельщик"</t>
  </si>
  <si>
    <t>6154023009</t>
  </si>
  <si>
    <t>26867887</t>
  </si>
  <si>
    <t>ОАО "Черномортранснефть" филиал Тихорецкое РУМН (НПС Родионовская)</t>
  </si>
  <si>
    <t>2315072242</t>
  </si>
  <si>
    <t>613002001</t>
  </si>
  <si>
    <t>27-04-1999 00:00:00</t>
  </si>
  <si>
    <t>26778073</t>
  </si>
  <si>
    <t>ООО "АКДЭНЕРГО"</t>
  </si>
  <si>
    <t>6102026104</t>
  </si>
  <si>
    <t>26586585</t>
  </si>
  <si>
    <t>ООО "Азовский морской порт"</t>
  </si>
  <si>
    <t>6140001622</t>
  </si>
  <si>
    <t>31351556</t>
  </si>
  <si>
    <t>ООО "ВОЛГОДОНСКАЯ ТЭЦ-1"</t>
  </si>
  <si>
    <t>6143098108</t>
  </si>
  <si>
    <t>614301001</t>
  </si>
  <si>
    <t>28485857</t>
  </si>
  <si>
    <t>ООО "Вавилон-Сервис"</t>
  </si>
  <si>
    <t>6161045243</t>
  </si>
  <si>
    <t>616101001</t>
  </si>
  <si>
    <t>28422605</t>
  </si>
  <si>
    <t>ООО "Волгодонские тепловые сети"</t>
  </si>
  <si>
    <t>6143081351</t>
  </si>
  <si>
    <t>31-05-2013 00:00:00</t>
  </si>
  <si>
    <t>31464893</t>
  </si>
  <si>
    <t>ООО "Гермес-Сервис"</t>
  </si>
  <si>
    <t>6167081390</t>
  </si>
  <si>
    <t>04-01-2021 00:00:00</t>
  </si>
  <si>
    <t>31597329</t>
  </si>
  <si>
    <t>ООО "ДТС"</t>
  </si>
  <si>
    <t>6141040790</t>
  </si>
  <si>
    <t>01-07-2022 00:00:00</t>
  </si>
  <si>
    <t>31520326</t>
  </si>
  <si>
    <t>ООО "Донтеплоэнерго Север"</t>
  </si>
  <si>
    <t>6149020517</t>
  </si>
  <si>
    <t>12-04-2021 00:00:00</t>
  </si>
  <si>
    <t>31367096</t>
  </si>
  <si>
    <t>ООО "Донтеплоэнерго"</t>
  </si>
  <si>
    <t>6149020281</t>
  </si>
  <si>
    <t>01-01-2019 00:00:00</t>
  </si>
  <si>
    <t>26380977</t>
  </si>
  <si>
    <t>ООО "Жилищник"</t>
  </si>
  <si>
    <t>6130703051</t>
  </si>
  <si>
    <t>613001001</t>
  </si>
  <si>
    <t>31038140</t>
  </si>
  <si>
    <t>ООО "Издательство"МОЛОТ"</t>
  </si>
  <si>
    <t>6168093510</t>
  </si>
  <si>
    <t>31436757</t>
  </si>
  <si>
    <t>ООО "Комфорт"</t>
  </si>
  <si>
    <t>6126012380</t>
  </si>
  <si>
    <t>26382582</t>
  </si>
  <si>
    <t>ООО "МП "Коммунсервис"</t>
  </si>
  <si>
    <t>6122009675</t>
  </si>
  <si>
    <t>31617404</t>
  </si>
  <si>
    <t>ООО "Нефто-Юг"</t>
  </si>
  <si>
    <t>6161059895</t>
  </si>
  <si>
    <t>15-09-2022 00:00:00</t>
  </si>
  <si>
    <t>28821617</t>
  </si>
  <si>
    <t>6165001166</t>
  </si>
  <si>
    <t>26374611</t>
  </si>
  <si>
    <t>ООО "Обливское МТП"</t>
  </si>
  <si>
    <t>6124003816</t>
  </si>
  <si>
    <t>612401001</t>
  </si>
  <si>
    <t>28503896</t>
  </si>
  <si>
    <t>ООО "Приазовский ТеплоЦентр"</t>
  </si>
  <si>
    <t>6154129333</t>
  </si>
  <si>
    <t>26438194</t>
  </si>
  <si>
    <t>ООО "Производственная компания "Новочеркасский электровозостроительный завод"</t>
  </si>
  <si>
    <t>6150040250</t>
  </si>
  <si>
    <t>997450001</t>
  </si>
  <si>
    <t>31717339</t>
  </si>
  <si>
    <t>ООО "РЕМСТРОЙ"</t>
  </si>
  <si>
    <t>9724141080</t>
  </si>
  <si>
    <t>772401001</t>
  </si>
  <si>
    <t>11-12-2023 00:00:00</t>
  </si>
  <si>
    <t>31399481</t>
  </si>
  <si>
    <t>ООО "Распределенная генерация - Батайск"</t>
  </si>
  <si>
    <t>6141053581</t>
  </si>
  <si>
    <t>31528078</t>
  </si>
  <si>
    <t>ООО "Распределенная генерация - Шахты"</t>
  </si>
  <si>
    <t>6164134621</t>
  </si>
  <si>
    <t>16-11-2021 00:00:00</t>
  </si>
  <si>
    <t>30954389</t>
  </si>
  <si>
    <t>ООО "Распределенная генерация"</t>
  </si>
  <si>
    <t>6163134315</t>
  </si>
  <si>
    <t>11-03-2014 00:00:00</t>
  </si>
  <si>
    <t>31072070</t>
  </si>
  <si>
    <t>ООО "Росткапиталгрупп"</t>
  </si>
  <si>
    <t>6161082340</t>
  </si>
  <si>
    <t>26764253</t>
  </si>
  <si>
    <t>ООО "Ростовские тепловые сети"</t>
  </si>
  <si>
    <t>3445102073</t>
  </si>
  <si>
    <t>26820290</t>
  </si>
  <si>
    <t>ООО "Ростовтеплоэнерго"  филиал Северный Шолоховский участок</t>
  </si>
  <si>
    <t>6165125852</t>
  </si>
  <si>
    <t>613394001</t>
  </si>
  <si>
    <t>28868862</t>
  </si>
  <si>
    <t>ООО "Ростовтеплоэнерго" филиал "Северный" Тарасовский участок</t>
  </si>
  <si>
    <t>26642800</t>
  </si>
  <si>
    <t>ООО "Ростовтеплоэнерго" филиал Куйбышевского района</t>
  </si>
  <si>
    <t>611743002</t>
  </si>
  <si>
    <t>26457607</t>
  </si>
  <si>
    <t>ООО "Ростовтеплоэнерго" филиал Северный</t>
  </si>
  <si>
    <t>613802001</t>
  </si>
  <si>
    <t>26829643</t>
  </si>
  <si>
    <t>ООО "Ростовтеплоэнерго" филиал Северный Верхнедонской участок</t>
  </si>
  <si>
    <t>610532001</t>
  </si>
  <si>
    <t>26829640</t>
  </si>
  <si>
    <t>ООО "Ростовтеплоэнерго" филиал Северный Кашарский участок</t>
  </si>
  <si>
    <t>611532001</t>
  </si>
  <si>
    <t>26829633</t>
  </si>
  <si>
    <t>ООО "Ростовтеплоэнерго" филиал Северный Миллеровский участок</t>
  </si>
  <si>
    <t>614945001</t>
  </si>
  <si>
    <t>26786996</t>
  </si>
  <si>
    <t>ООО "Ростовтеплоэнерго" филиал Семикаракорского района</t>
  </si>
  <si>
    <t>613245001</t>
  </si>
  <si>
    <t>30843114</t>
  </si>
  <si>
    <t>ООО "СВЕТПРОМГАЗ"</t>
  </si>
  <si>
    <t>6162069230</t>
  </si>
  <si>
    <t>616201001</t>
  </si>
  <si>
    <t>30916594</t>
  </si>
  <si>
    <t>ООО "СЗ ККПД-Инвест"</t>
  </si>
  <si>
    <t>6168014188</t>
  </si>
  <si>
    <t>28976314</t>
  </si>
  <si>
    <t>ООО "Сальскэнергосбыт"</t>
  </si>
  <si>
    <t>6153034270</t>
  </si>
  <si>
    <t>31478099</t>
  </si>
  <si>
    <t>ООО "Северные тепловые сети"</t>
  </si>
  <si>
    <t>6138013758</t>
  </si>
  <si>
    <t>613801001</t>
  </si>
  <si>
    <t>01-12-2020 00:00:00</t>
  </si>
  <si>
    <t>31451980</t>
  </si>
  <si>
    <t>ООО "ТЕПЛОГАРАНТ"</t>
  </si>
  <si>
    <t>6117009817</t>
  </si>
  <si>
    <t>611701001</t>
  </si>
  <si>
    <t>21-10-2020 00:00:00</t>
  </si>
  <si>
    <t>31521928</t>
  </si>
  <si>
    <t>ООО "ТЕПЛОСЕРВИС ЮГ"</t>
  </si>
  <si>
    <t>6141056529</t>
  </si>
  <si>
    <t>01-10-2021 00:00:00</t>
  </si>
  <si>
    <t>31616109</t>
  </si>
  <si>
    <t>ООО "ТЕХСЕРВИС"</t>
  </si>
  <si>
    <t>9710092669</t>
  </si>
  <si>
    <t>771001001</t>
  </si>
  <si>
    <t>12-09-2022 00:00:00</t>
  </si>
  <si>
    <t>30802811</t>
  </si>
  <si>
    <t>ООО "ТЭЦ-1"</t>
  </si>
  <si>
    <t>6143087498</t>
  </si>
  <si>
    <t>31185022</t>
  </si>
  <si>
    <t>ООО "Таганрогская генерирующая компания"</t>
  </si>
  <si>
    <t>6154150744</t>
  </si>
  <si>
    <t>28868003</t>
  </si>
  <si>
    <t>ООО "Тагстройсервис"</t>
  </si>
  <si>
    <t>6154558967</t>
  </si>
  <si>
    <t>26445942</t>
  </si>
  <si>
    <t>ООО "Тепловые сети"</t>
  </si>
  <si>
    <t>6125024777</t>
  </si>
  <si>
    <t>612501001</t>
  </si>
  <si>
    <t>30992135</t>
  </si>
  <si>
    <t>ООО "Теплонасосные системы"</t>
  </si>
  <si>
    <t>6151019526</t>
  </si>
  <si>
    <t>04-04-2016 00:00:00</t>
  </si>
  <si>
    <t>31443685</t>
  </si>
  <si>
    <t>ООО "Теплотранс"</t>
  </si>
  <si>
    <t>6153008505</t>
  </si>
  <si>
    <t>31514666</t>
  </si>
  <si>
    <t>ООО "УК "МАЦОТЫ"</t>
  </si>
  <si>
    <t>6150097948</t>
  </si>
  <si>
    <t>01-09-2021 00:00:00</t>
  </si>
  <si>
    <t>30383281</t>
  </si>
  <si>
    <t>ООО "УК "Сокол-Энергосбыт"</t>
  </si>
  <si>
    <t>6162058855</t>
  </si>
  <si>
    <t>26764274</t>
  </si>
  <si>
    <t>ООО "Управление жилищно-коммунальное хозяйство"</t>
  </si>
  <si>
    <t>6125028690</t>
  </si>
  <si>
    <t>26764720</t>
  </si>
  <si>
    <t>ООО "Управляющая компания "Жилкомсервис"</t>
  </si>
  <si>
    <t>6135007675</t>
  </si>
  <si>
    <t>613501001</t>
  </si>
  <si>
    <t>26448923</t>
  </si>
  <si>
    <t>ООО "Фирма "ТОК"</t>
  </si>
  <si>
    <t>6150016240</t>
  </si>
  <si>
    <t>26436687</t>
  </si>
  <si>
    <t>ООО "Фирма Кристина"</t>
  </si>
  <si>
    <t>6166014129</t>
  </si>
  <si>
    <t>26437000</t>
  </si>
  <si>
    <t>ООО "ЭКО"</t>
  </si>
  <si>
    <t>6121995802</t>
  </si>
  <si>
    <t>612101001</t>
  </si>
  <si>
    <t>28002777</t>
  </si>
  <si>
    <t>ООО "Элита Сервис"</t>
  </si>
  <si>
    <t>6162042118</t>
  </si>
  <si>
    <t>31337753</t>
  </si>
  <si>
    <t>ООО «Азовская ВЭС»</t>
  </si>
  <si>
    <t>7722851324</t>
  </si>
  <si>
    <t>26525135</t>
  </si>
  <si>
    <t>ООО «ЛУКОЙЛ-Ростовэнерго»</t>
  </si>
  <si>
    <t>6164288981</t>
  </si>
  <si>
    <t>26764871</t>
  </si>
  <si>
    <t>ООО «ЛУКОЙЛ-Экоэнерго»</t>
  </si>
  <si>
    <t>3015087458</t>
  </si>
  <si>
    <t>26448728</t>
  </si>
  <si>
    <t>ООО «Ростсельмашэнерго»</t>
  </si>
  <si>
    <t>6166047727</t>
  </si>
  <si>
    <t>31397120</t>
  </si>
  <si>
    <t>ООО «Седьмой ветропарк ФРВ»</t>
  </si>
  <si>
    <t>7703474039</t>
  </si>
  <si>
    <t>770301001</t>
  </si>
  <si>
    <t>26449191</t>
  </si>
  <si>
    <t>ООО «Шахтинская ГТЭС»</t>
  </si>
  <si>
    <t>6155043551</t>
  </si>
  <si>
    <t>31663966</t>
  </si>
  <si>
    <t>ООО ИЦ "ГиСМ"</t>
  </si>
  <si>
    <t>6166067057</t>
  </si>
  <si>
    <t>20-03-2023 00:00:00</t>
  </si>
  <si>
    <t>30354171</t>
  </si>
  <si>
    <t>ООО ММП ЖКХ "Содружество"</t>
  </si>
  <si>
    <t>6107008902</t>
  </si>
  <si>
    <t>610701001</t>
  </si>
  <si>
    <t>30866798</t>
  </si>
  <si>
    <t>ОП "Ростовское" АО "ГУ ЖКХ"</t>
  </si>
  <si>
    <t>616545001</t>
  </si>
  <si>
    <t>27332164</t>
  </si>
  <si>
    <t>ПАО "ТАНТК им. Г.М. Бериева"</t>
  </si>
  <si>
    <t>6154028021</t>
  </si>
  <si>
    <t>26764261</t>
  </si>
  <si>
    <t>Производственное отделение "Южные электрические сети" филиала ПАО "Россети Юг" - "Ростовэнерго"</t>
  </si>
  <si>
    <t>6164266561</t>
  </si>
  <si>
    <t>614032001</t>
  </si>
  <si>
    <t>РЕГИОНАЛЬНАЯ СЛУЖБА ПО ТАРИФАМ РОСТОВСКОЙ ОБЛАСТИ</t>
  </si>
  <si>
    <t>6167051941</t>
  </si>
  <si>
    <t>27670503</t>
  </si>
  <si>
    <t>Ростовская дистанция гражданских сооружений</t>
  </si>
  <si>
    <t>7708503727</t>
  </si>
  <si>
    <t>616745017</t>
  </si>
  <si>
    <t>30934010</t>
  </si>
  <si>
    <t>Ростовская таможня</t>
  </si>
  <si>
    <t>6102020818</t>
  </si>
  <si>
    <t>26816056</t>
  </si>
  <si>
    <t>Северо-Кавказская дирекция по тепловодоснабжению структурное подразделение Центральной дирекции по тепловодоснабжению - филиала ОАО "РЖД"</t>
  </si>
  <si>
    <t>616745019</t>
  </si>
  <si>
    <t>26647132</t>
  </si>
  <si>
    <t>ТСЖ "Инструментальщик"</t>
  </si>
  <si>
    <t>6166071913</t>
  </si>
  <si>
    <t>27332293</t>
  </si>
  <si>
    <t>Таганрогский Технологический Институт ФГАО УВО ЮФУ</t>
  </si>
  <si>
    <t>6163027810</t>
  </si>
  <si>
    <t>615431003</t>
  </si>
  <si>
    <t>28545641</t>
  </si>
  <si>
    <t>Таганрогский институт имени А.П. Чехова (филиал) ФГБОУ ВПО "РГЭУ (РИНХ)"</t>
  </si>
  <si>
    <t>6163022805</t>
  </si>
  <si>
    <t>28818951</t>
  </si>
  <si>
    <t>УМП ЖКХ "Азовское"</t>
  </si>
  <si>
    <t>6101932120</t>
  </si>
  <si>
    <t>26452251</t>
  </si>
  <si>
    <t>УМП ЖКХ Кулешовского сельского поселения</t>
  </si>
  <si>
    <t>6101037745</t>
  </si>
  <si>
    <t>26374648</t>
  </si>
  <si>
    <t>Углегорское МПП ЖКХ</t>
  </si>
  <si>
    <t>6134007633</t>
  </si>
  <si>
    <t>613401001</t>
  </si>
  <si>
    <t>26437044</t>
  </si>
  <si>
    <t>ФГАОУ ВО "ЮФУ"</t>
  </si>
  <si>
    <t>616402001</t>
  </si>
  <si>
    <t>30903763</t>
  </si>
  <si>
    <t>ФГБУ "ЦЖКУ" МИНОБОРОНЫ РОССИИ</t>
  </si>
  <si>
    <t>7729314745</t>
  </si>
  <si>
    <t>770101001</t>
  </si>
  <si>
    <t>30923515</t>
  </si>
  <si>
    <t>ФГБУ "Центральное жилищно-коммунальное управление" Министерства обороны РФ</t>
  </si>
  <si>
    <t>616543001</t>
  </si>
  <si>
    <t>14-11-2002 00:00:00</t>
  </si>
  <si>
    <t>31601428</t>
  </si>
  <si>
    <t>ФКУЗ "Ростовский-на-Дону Противочумный институт Роспотребнадзора"</t>
  </si>
  <si>
    <t>6164101841</t>
  </si>
  <si>
    <t>616401001</t>
  </si>
  <si>
    <t>04-08-2022 00:00:00</t>
  </si>
  <si>
    <t>31215611</t>
  </si>
  <si>
    <t>Филиал АО "Донэнерго" - "Тепловые сети"</t>
  </si>
  <si>
    <t>27666876</t>
  </si>
  <si>
    <t>Филиал АО «Концерн Росэнергоатом» «Ростовская атомная станция»</t>
  </si>
  <si>
    <t>7721632827</t>
  </si>
  <si>
    <t>614343002</t>
  </si>
  <si>
    <t>28506895</t>
  </si>
  <si>
    <t>Филиал ООО "Сириус" в г. Новочеркасске</t>
  </si>
  <si>
    <t>7714652646</t>
  </si>
  <si>
    <t>615045001</t>
  </si>
  <si>
    <t>31513265</t>
  </si>
  <si>
    <t>Филиал ООО «Пивоваренная компания «Балтика»</t>
  </si>
  <si>
    <t>7802849641</t>
  </si>
  <si>
    <t>780201002</t>
  </si>
  <si>
    <t>26449347</t>
  </si>
  <si>
    <t>Филиал ПАО «ОГК-2» - Новочеркасская ГРЭС</t>
  </si>
  <si>
    <t>2607018122</t>
  </si>
  <si>
    <t>615043001</t>
  </si>
  <si>
    <t>26445675</t>
  </si>
  <si>
    <t>производственное отделение "Юго-Западные электрические сети" филиала ПАО "МРСК Юга" - "Ростовэнерго"</t>
  </si>
  <si>
    <t>615431001</t>
  </si>
  <si>
    <t>31601414</t>
  </si>
  <si>
    <t>филиал ООО "ЭЛ-6" г. Новочеркасск</t>
  </si>
  <si>
    <t>9705126016</t>
  </si>
  <si>
    <t>31539827</t>
  </si>
  <si>
    <t>ООО "Распределенная генерация-Шахты"</t>
  </si>
  <si>
    <t>22-12-2021 00:00:00</t>
  </si>
  <si>
    <t>26438289</t>
  </si>
  <si>
    <t>АО "Ростовводоканал"</t>
  </si>
  <si>
    <t>6167081833</t>
  </si>
  <si>
    <t>26374530</t>
  </si>
  <si>
    <t>Верхнедонское МП ПУЖКХ</t>
  </si>
  <si>
    <t>6105002888</t>
  </si>
  <si>
    <t>610501001</t>
  </si>
  <si>
    <t>28144792</t>
  </si>
  <si>
    <t>ГУП РО "УРСВ"</t>
  </si>
  <si>
    <t>6167110467</t>
  </si>
  <si>
    <t>15-02-2013 00:00:00</t>
  </si>
  <si>
    <t>31005255</t>
  </si>
  <si>
    <t>ЗАО "АБВК-Эко"</t>
  </si>
  <si>
    <t>6167123547</t>
  </si>
  <si>
    <t>01-02-2017 00:00:00</t>
  </si>
  <si>
    <t>26767154</t>
  </si>
  <si>
    <t>ЗАО "Агрофирма "Новый Путь"</t>
  </si>
  <si>
    <t>6123009879</t>
  </si>
  <si>
    <t>28828882</t>
  </si>
  <si>
    <t>ИП Смольников В.М.</t>
  </si>
  <si>
    <t>610700732500</t>
  </si>
  <si>
    <t>31695621</t>
  </si>
  <si>
    <t>МКУ ЗР "Управление архитектуры, строительства и муниципального хозяйства"</t>
  </si>
  <si>
    <t>6111013528</t>
  </si>
  <si>
    <t>14-04-2023 00:00:00</t>
  </si>
  <si>
    <t>30905244</t>
  </si>
  <si>
    <t>МП "Кашарский ЖКС"</t>
  </si>
  <si>
    <t>6115000696</t>
  </si>
  <si>
    <t>611501001</t>
  </si>
  <si>
    <t>31456023</t>
  </si>
  <si>
    <t>МУП  "ВОДОКАНАЛ Миллерово"</t>
  </si>
  <si>
    <t>6149020443</t>
  </si>
  <si>
    <t>31038703</t>
  </si>
  <si>
    <t>МУП "АТП"</t>
  </si>
  <si>
    <t>6120003773</t>
  </si>
  <si>
    <t>612001001</t>
  </si>
  <si>
    <t>26374590</t>
  </si>
  <si>
    <t>МУП "Водник"</t>
  </si>
  <si>
    <t>6116008240</t>
  </si>
  <si>
    <t>31005161</t>
  </si>
  <si>
    <t>МУП "Водоканал Неклиновского района"</t>
  </si>
  <si>
    <t>6123024161</t>
  </si>
  <si>
    <t>15-11-2017 00:00:00</t>
  </si>
  <si>
    <t>30912745</t>
  </si>
  <si>
    <t>МУП "Водоканал"</t>
  </si>
  <si>
    <t>6117009648</t>
  </si>
  <si>
    <t>12-01-2017 00:00:00</t>
  </si>
  <si>
    <t>30839662</t>
  </si>
  <si>
    <t>6119007974</t>
  </si>
  <si>
    <t>26456900</t>
  </si>
  <si>
    <t>6143049157</t>
  </si>
  <si>
    <t>614301010</t>
  </si>
  <si>
    <t>26381004</t>
  </si>
  <si>
    <t>МУП "Горводоканал"</t>
  </si>
  <si>
    <t>6150031979</t>
  </si>
  <si>
    <t>26374591</t>
  </si>
  <si>
    <t>МУП "ИСТОК" Николаевское сельское поселение</t>
  </si>
  <si>
    <t>6116009437</t>
  </si>
  <si>
    <t>31218600</t>
  </si>
  <si>
    <t>МУП "Исток"</t>
  </si>
  <si>
    <t>6145004225</t>
  </si>
  <si>
    <t>614501001</t>
  </si>
  <si>
    <t>12-10-2018 00:00:00</t>
  </si>
  <si>
    <t>26380988</t>
  </si>
  <si>
    <t>МУП "Коммунальщик"</t>
  </si>
  <si>
    <t>6138006126</t>
  </si>
  <si>
    <t>26545813</t>
  </si>
  <si>
    <t>МУП "МПО ЖКХ Миллеровского района"</t>
  </si>
  <si>
    <t>6149000694</t>
  </si>
  <si>
    <t>31005081</t>
  </si>
  <si>
    <t>МУП "Мясниковское ВКХ"</t>
  </si>
  <si>
    <t>6122018937</t>
  </si>
  <si>
    <t>03-04-2017 00:00:00</t>
  </si>
  <si>
    <t>26452176</t>
  </si>
  <si>
    <t>МУП "Родничок"</t>
  </si>
  <si>
    <t>6128009093</t>
  </si>
  <si>
    <t>31229221</t>
  </si>
  <si>
    <t>МУП "Транс-Сервис"</t>
  </si>
  <si>
    <t>6124003069</t>
  </si>
  <si>
    <t>16-11-2018 00:00:00</t>
  </si>
  <si>
    <t>31420378</t>
  </si>
  <si>
    <t>МУП "УВКХ Морозовского района"</t>
  </si>
  <si>
    <t>6121000013</t>
  </si>
  <si>
    <t>01-01-2020 00:00:00</t>
  </si>
  <si>
    <t>30378150</t>
  </si>
  <si>
    <t>МУП «Пролетарский водоканал»</t>
  </si>
  <si>
    <t>6128009505</t>
  </si>
  <si>
    <t>26374639</t>
  </si>
  <si>
    <t>МУП ЖКХ "Гранит"</t>
  </si>
  <si>
    <t>6132010817</t>
  </si>
  <si>
    <t>27673858</t>
  </si>
  <si>
    <t>МУП ЖКХ "Станица"</t>
  </si>
  <si>
    <t>6134011774</t>
  </si>
  <si>
    <t>17-10-2011 00:00:00</t>
  </si>
  <si>
    <t>26374640</t>
  </si>
  <si>
    <t>МУП ЖКХ "Тарасовское"</t>
  </si>
  <si>
    <t>6133000280</t>
  </si>
  <si>
    <t>26458646</t>
  </si>
  <si>
    <t>МУП ЖКХ Кагальницкого сельского поселения</t>
  </si>
  <si>
    <t>6113014830</t>
  </si>
  <si>
    <t>26637044</t>
  </si>
  <si>
    <t>МУП ЖКХ"Мартыновское" Мартыновского района</t>
  </si>
  <si>
    <t>6118011304</t>
  </si>
  <si>
    <t>611801001</t>
  </si>
  <si>
    <t>03-12-2007 00:00:00</t>
  </si>
  <si>
    <t>26374550</t>
  </si>
  <si>
    <t>МУП Заветинское ПЖКХ</t>
  </si>
  <si>
    <t>6110002379</t>
  </si>
  <si>
    <t>611001001</t>
  </si>
  <si>
    <t>26455241</t>
  </si>
  <si>
    <t>МУП Зерноградского городского поселения "Зерноградское ПП ЖКХ"</t>
  </si>
  <si>
    <t>6111007517</t>
  </si>
  <si>
    <t>11-10-2017 00:00:00</t>
  </si>
  <si>
    <t>26374632</t>
  </si>
  <si>
    <t>МУП Родионово-Несветайского района "Водоканал"</t>
  </si>
  <si>
    <t>6130003821</t>
  </si>
  <si>
    <t>26374633</t>
  </si>
  <si>
    <t>МУП СР РО "Коммунальщик"</t>
  </si>
  <si>
    <t>6131001104</t>
  </si>
  <si>
    <t>613101001</t>
  </si>
  <si>
    <t>26374636</t>
  </si>
  <si>
    <t>Муниципальное унитарное предприятие "Водоканал"</t>
  </si>
  <si>
    <t>6132010260</t>
  </si>
  <si>
    <t>26544099</t>
  </si>
  <si>
    <t>Муниципальное унитарное предприятие "Отрог"</t>
  </si>
  <si>
    <t>6139008422</t>
  </si>
  <si>
    <t>26380958</t>
  </si>
  <si>
    <t>ОАО "Аксайская ПМК РСВС"</t>
  </si>
  <si>
    <t>6102007550</t>
  </si>
  <si>
    <t>26458325</t>
  </si>
  <si>
    <t>ОАО "Алмаз"</t>
  </si>
  <si>
    <t>6166055693</t>
  </si>
  <si>
    <t>26526775</t>
  </si>
  <si>
    <t>ОАО "Аэропорт Ростов-НА-Дону"</t>
  </si>
  <si>
    <t>6166011054</t>
  </si>
  <si>
    <t>26374616</t>
  </si>
  <si>
    <t>ОАО "ВКХ"</t>
  </si>
  <si>
    <t>6126102058</t>
  </si>
  <si>
    <t>14-11-2011 00:00:00</t>
  </si>
  <si>
    <t>26380997</t>
  </si>
  <si>
    <t>ОАО "Исток"</t>
  </si>
  <si>
    <t>6147005538</t>
  </si>
  <si>
    <t>26374719</t>
  </si>
  <si>
    <t>ООО  "Родник"</t>
  </si>
  <si>
    <t>6153024850</t>
  </si>
  <si>
    <t>31465779</t>
  </si>
  <si>
    <t>ООО "Алексеево"</t>
  </si>
  <si>
    <t>6163129273</t>
  </si>
  <si>
    <t>01-01-2021 00:00:00</t>
  </si>
  <si>
    <t>28967625</t>
  </si>
  <si>
    <t>ООО "Вектор"</t>
  </si>
  <si>
    <t>6134012305</t>
  </si>
  <si>
    <t>26374614</t>
  </si>
  <si>
    <t>ООО "Вода и стоки"</t>
  </si>
  <si>
    <t>6125021991</t>
  </si>
  <si>
    <t>31469223</t>
  </si>
  <si>
    <t>ООО "Водоканал"</t>
  </si>
  <si>
    <t>6147041222</t>
  </si>
  <si>
    <t>27-07-2020 00:00:00</t>
  </si>
  <si>
    <t>26374527</t>
  </si>
  <si>
    <t>ООО "Водоканал" (Багаевское с. п.)</t>
  </si>
  <si>
    <t>6103600191</t>
  </si>
  <si>
    <t>26826815</t>
  </si>
  <si>
    <t>ООО "Газпром трансгаз-Краснодар"</t>
  </si>
  <si>
    <t>2308128945</t>
  </si>
  <si>
    <t>610202001</t>
  </si>
  <si>
    <t>28817820</t>
  </si>
  <si>
    <t>ООО "КЭСК"</t>
  </si>
  <si>
    <t>2308101615</t>
  </si>
  <si>
    <t>231101001</t>
  </si>
  <si>
    <t>31151913</t>
  </si>
  <si>
    <t>ООО "Консалтинг Профи"</t>
  </si>
  <si>
    <t>6167130745</t>
  </si>
  <si>
    <t>15-06-2018 00:00:00</t>
  </si>
  <si>
    <t>31497122</t>
  </si>
  <si>
    <t>ООО "Нептун"</t>
  </si>
  <si>
    <t>6168105741</t>
  </si>
  <si>
    <t>20-04-2021 00:00:00</t>
  </si>
  <si>
    <t>28536403</t>
  </si>
  <si>
    <t>ООО "СВ"</t>
  </si>
  <si>
    <t>6102060024</t>
  </si>
  <si>
    <t>31623555</t>
  </si>
  <si>
    <t>ООО "Сальский Водоканал"</t>
  </si>
  <si>
    <t>6153009185</t>
  </si>
  <si>
    <t>23-08-2022 00:00:00</t>
  </si>
  <si>
    <t>27746269</t>
  </si>
  <si>
    <t>ООО "Технология"</t>
  </si>
  <si>
    <t>3433008206</t>
  </si>
  <si>
    <t>612145001</t>
  </si>
  <si>
    <t>28817750</t>
  </si>
  <si>
    <t>ООО "Юг Руси - Золотая семечка"</t>
  </si>
  <si>
    <t>6162030264</t>
  </si>
  <si>
    <t>30795438</t>
  </si>
  <si>
    <t>ООО "ЯДРО"</t>
  </si>
  <si>
    <t>6125031421</t>
  </si>
  <si>
    <t>26636709</t>
  </si>
  <si>
    <t>ООО Агртехсервис "Краснодесантское"</t>
  </si>
  <si>
    <t>6123001291</t>
  </si>
  <si>
    <t>29-10-2002 00:00:00</t>
  </si>
  <si>
    <t>30858712</t>
  </si>
  <si>
    <t>ООО УК "НИП"</t>
  </si>
  <si>
    <t>6150079096</t>
  </si>
  <si>
    <t>31465764</t>
  </si>
  <si>
    <t>Общество с ограниченной ответственностью «Экологические технологии»</t>
  </si>
  <si>
    <t>9701103804</t>
  </si>
  <si>
    <t>30427450</t>
  </si>
  <si>
    <t>ПАО "ТАГМЕТ"</t>
  </si>
  <si>
    <t>6154011797</t>
  </si>
  <si>
    <t>26374716</t>
  </si>
  <si>
    <t>ПК "Родник"</t>
  </si>
  <si>
    <t>6153022732</t>
  </si>
  <si>
    <t>26374601</t>
  </si>
  <si>
    <t>СПК (колхоз) Колос"</t>
  </si>
  <si>
    <t>6119002743</t>
  </si>
  <si>
    <t>26452243</t>
  </si>
  <si>
    <t>УМП "Приморский водопровод"</t>
  </si>
  <si>
    <t>6101000150</t>
  </si>
  <si>
    <t>28857555</t>
  </si>
  <si>
    <t>АО "АБВК эко"</t>
  </si>
  <si>
    <t>6167146110</t>
  </si>
  <si>
    <t>28859417</t>
  </si>
  <si>
    <t>ГБУ РО "Дезинфекционная станция"</t>
  </si>
  <si>
    <t>6165034355</t>
  </si>
  <si>
    <t>31695613</t>
  </si>
  <si>
    <t>МП "БЛАГОУСТРОИТЕЛЬ"</t>
  </si>
  <si>
    <t>6125025481</t>
  </si>
  <si>
    <t>19-09-2023 00:00:00</t>
  </si>
  <si>
    <t>26454355</t>
  </si>
  <si>
    <t>ОАО "КХ"</t>
  </si>
  <si>
    <t>6126102033</t>
  </si>
  <si>
    <t>03-11-2011 00:00:00</t>
  </si>
  <si>
    <t>26776286</t>
  </si>
  <si>
    <t>ООО "Азов ВКС ЮГ"</t>
  </si>
  <si>
    <t>6140030687</t>
  </si>
  <si>
    <t>30905822</t>
  </si>
  <si>
    <t>ООО "Водные ресурсы"</t>
  </si>
  <si>
    <t>6166100113</t>
  </si>
  <si>
    <t>616610011</t>
  </si>
  <si>
    <t>26438374</t>
  </si>
  <si>
    <t>ООО "Очистные сооружения"</t>
  </si>
  <si>
    <t>6155041000</t>
  </si>
  <si>
    <t>31507852</t>
  </si>
  <si>
    <t>ООО "ТеплоЭнерго проекты"</t>
  </si>
  <si>
    <t>9701162366</t>
  </si>
  <si>
    <t>17-05-2021 00:00:00</t>
  </si>
  <si>
    <t>31251543</t>
  </si>
  <si>
    <t>ООО "ЭКОСИСТЕМЫ"</t>
  </si>
  <si>
    <t>6119005688</t>
  </si>
  <si>
    <t>01-09-2019 00:00:00</t>
  </si>
  <si>
    <t>31669614</t>
  </si>
  <si>
    <t>ООО "ЭКОСервис"</t>
  </si>
  <si>
    <t>6150062462</t>
  </si>
  <si>
    <t>01-01-2023 00:00:00</t>
  </si>
  <si>
    <t>31702527</t>
  </si>
  <si>
    <t>ИП Берковцев Виктор Викторович</t>
  </si>
  <si>
    <t>610900024977</t>
  </si>
  <si>
    <t>31703040</t>
  </si>
  <si>
    <t>ИП Мандрыкина Татьяна Филипповна</t>
  </si>
  <si>
    <t>615303659387</t>
  </si>
  <si>
    <t>31704213</t>
  </si>
  <si>
    <t>ИП Федорова</t>
  </si>
  <si>
    <t>612505545940</t>
  </si>
  <si>
    <t>31702980</t>
  </si>
  <si>
    <t>ИП Ченокал Елена Сергеевна</t>
  </si>
  <si>
    <t>612803001495</t>
  </si>
  <si>
    <t>31708647</t>
  </si>
  <si>
    <t>МУП "КОММУНАЛЬЩИК"</t>
  </si>
  <si>
    <t>6147024347</t>
  </si>
  <si>
    <t>26382599</t>
  </si>
  <si>
    <t>МУП "Коммунальное хозяйство"</t>
  </si>
  <si>
    <t>6146005020</t>
  </si>
  <si>
    <t>614601001</t>
  </si>
  <si>
    <t>26822428</t>
  </si>
  <si>
    <t>МУП "Полигон"</t>
  </si>
  <si>
    <t>6119000986</t>
  </si>
  <si>
    <t>28-10-2010 00:00:00</t>
  </si>
  <si>
    <t>26382585</t>
  </si>
  <si>
    <t>МУП "Чистый город"</t>
  </si>
  <si>
    <t>6128004585</t>
  </si>
  <si>
    <t>31704132</t>
  </si>
  <si>
    <t>МУП г.Шахты "Благоустройство"</t>
  </si>
  <si>
    <t>6155062184</t>
  </si>
  <si>
    <t>31702817</t>
  </si>
  <si>
    <t>ОАО "ЧИСТЫЙ ГОРОД"</t>
  </si>
  <si>
    <t>6111012926</t>
  </si>
  <si>
    <t>31702358</t>
  </si>
  <si>
    <t>ОБЩЕСТВО С ОГРАНИЧЕННОЙ ОТВЕТСТВЕННОСТЬЮ "РЕГИОНАЛЬНАЯ ТРАНСПОРТНАЯ КОМПАНИЯ"</t>
  </si>
  <si>
    <t>3444186480</t>
  </si>
  <si>
    <t>31704456</t>
  </si>
  <si>
    <t>ОВЧИННИКОВ АЛЕКСАНДР ИГОРЕВИЧ</t>
  </si>
  <si>
    <t>614589317243</t>
  </si>
  <si>
    <t>31704537</t>
  </si>
  <si>
    <t>ООО "Автоспецтранс"</t>
  </si>
  <si>
    <t>6142022770</t>
  </si>
  <si>
    <t>26382594</t>
  </si>
  <si>
    <t>ООО "Алмаз"</t>
  </si>
  <si>
    <t>6142019551</t>
  </si>
  <si>
    <t>31212122</t>
  </si>
  <si>
    <t>ООО "ГК "Чистый город"</t>
  </si>
  <si>
    <t>3435085647</t>
  </si>
  <si>
    <t>772501001</t>
  </si>
  <si>
    <t>31743233</t>
  </si>
  <si>
    <t>ООО "Гуковское спецавтохозяйство"</t>
  </si>
  <si>
    <t>6144023183</t>
  </si>
  <si>
    <t>614401001</t>
  </si>
  <si>
    <t>26382600</t>
  </si>
  <si>
    <t>ООО "Комбинат коммунальных предприятий"</t>
  </si>
  <si>
    <t>6147005351</t>
  </si>
  <si>
    <t>31704618</t>
  </si>
  <si>
    <t>ООО "Коммунальщик"</t>
  </si>
  <si>
    <t>6148251303</t>
  </si>
  <si>
    <t>31704051</t>
  </si>
  <si>
    <t>ООО "Макро"</t>
  </si>
  <si>
    <t>6151012150</t>
  </si>
  <si>
    <t>31704294</t>
  </si>
  <si>
    <t>ООО "Мастер-Сервис"</t>
  </si>
  <si>
    <t>6147037498</t>
  </si>
  <si>
    <t>31703406</t>
  </si>
  <si>
    <t>ООО "МегаСервис"</t>
  </si>
  <si>
    <t>6145010772</t>
  </si>
  <si>
    <t>31065004</t>
  </si>
  <si>
    <t>ООО "Полигон-Аксай"</t>
  </si>
  <si>
    <t>6102067887</t>
  </si>
  <si>
    <t>31690157</t>
  </si>
  <si>
    <t>ООО "Региональная транспортная компания"</t>
  </si>
  <si>
    <t>770501001</t>
  </si>
  <si>
    <t>02-06-2011 00:00:00</t>
  </si>
  <si>
    <t>31703810</t>
  </si>
  <si>
    <t>ООО "Спецавтохозяйство"</t>
  </si>
  <si>
    <t>6144020778</t>
  </si>
  <si>
    <t>31703245</t>
  </si>
  <si>
    <t>ООО "Стройбытсервис"</t>
  </si>
  <si>
    <t>6146005359</t>
  </si>
  <si>
    <t>31704375</t>
  </si>
  <si>
    <t>ООО "ТРАНСТРОЙСЕРВИС"</t>
  </si>
  <si>
    <t>6155074454</t>
  </si>
  <si>
    <t>26545114</t>
  </si>
  <si>
    <t>ООО "Топливно-энергетическая компания"</t>
  </si>
  <si>
    <t>6101038273</t>
  </si>
  <si>
    <t>27992837</t>
  </si>
  <si>
    <t>ООО "Чистота"</t>
  </si>
  <si>
    <t>6135007971</t>
  </si>
  <si>
    <t>31382311</t>
  </si>
  <si>
    <t>ООО "Чистый Мир"</t>
  </si>
  <si>
    <t>6165215087</t>
  </si>
  <si>
    <t>20-08-2018 00:00:00</t>
  </si>
  <si>
    <t>31703326</t>
  </si>
  <si>
    <t>ООО "Чистый город"</t>
  </si>
  <si>
    <t>6145007064</t>
  </si>
  <si>
    <t>31204500</t>
  </si>
  <si>
    <t>6153006219</t>
  </si>
  <si>
    <t>14-12-2017 00:00:00</t>
  </si>
  <si>
    <t>31702868</t>
  </si>
  <si>
    <t>ООО "ЭКО-МИР"</t>
  </si>
  <si>
    <t>6153007163</t>
  </si>
  <si>
    <t>27553065</t>
  </si>
  <si>
    <t>ООО "ЭКОГРАД"</t>
  </si>
  <si>
    <t>6150067982</t>
  </si>
  <si>
    <t>19-10-2011 00:00:00</t>
  </si>
  <si>
    <t>31180803</t>
  </si>
  <si>
    <t>ООО "ЭКОГРАД-Н"</t>
  </si>
  <si>
    <t>6150074556</t>
  </si>
  <si>
    <t>31703891</t>
  </si>
  <si>
    <t>ООО "Эко-Сервис"</t>
  </si>
  <si>
    <t>6155046672</t>
  </si>
  <si>
    <t>30908955</t>
  </si>
  <si>
    <t>ООО "ЭкоЦентр"</t>
  </si>
  <si>
    <t>3444177534</t>
  </si>
  <si>
    <t>31211923</t>
  </si>
  <si>
    <t>ООО "Экосервис"</t>
  </si>
  <si>
    <t>6141047531</t>
  </si>
  <si>
    <t>28795430</t>
  </si>
  <si>
    <t>ООО "Экострой-Дон"</t>
  </si>
  <si>
    <t>6125028860</t>
  </si>
  <si>
    <t>09-03-2010 00:00:00</t>
  </si>
  <si>
    <t>31212002</t>
  </si>
  <si>
    <t>ООО "Экотранс"</t>
  </si>
  <si>
    <t>6623121815</t>
  </si>
  <si>
    <t>31455223</t>
  </si>
  <si>
    <t>ООО "Экотранс-Про"</t>
  </si>
  <si>
    <t>6164130377</t>
  </si>
  <si>
    <t>31702587</t>
  </si>
  <si>
    <t>ООО "ЮГ"</t>
  </si>
  <si>
    <t>6132012268</t>
  </si>
  <si>
    <t>30350089</t>
  </si>
  <si>
    <t>ООО "Южный город"</t>
  </si>
  <si>
    <t>6162050599</t>
  </si>
  <si>
    <t>31701905</t>
  </si>
  <si>
    <t>ООО «Аксай-ЭкоГрад»</t>
  </si>
  <si>
    <t>6102065174</t>
  </si>
  <si>
    <t>31701941</t>
  </si>
  <si>
    <t>ООО «М-Стандарт-Юг»</t>
  </si>
  <si>
    <t>6102061691</t>
  </si>
  <si>
    <t>31701923</t>
  </si>
  <si>
    <t>ООО «РОСТ-ЭКО»</t>
  </si>
  <si>
    <t>6166095270</t>
  </si>
  <si>
    <t>31703496</t>
  </si>
  <si>
    <t>ООО МП "Автомобильный транспорт"</t>
  </si>
  <si>
    <t>6151019043</t>
  </si>
  <si>
    <t>NSRF</t>
  </si>
  <si>
    <t>MR_NAME</t>
  </si>
  <si>
    <t>OKTMO_MR_NAME</t>
  </si>
  <si>
    <t>MO_NAME</t>
  </si>
  <si>
    <t>OKTMO_NAME</t>
  </si>
  <si>
    <t>TYPE</t>
  </si>
  <si>
    <t>MR_ID</t>
  </si>
  <si>
    <t>Азовский район</t>
  </si>
  <si>
    <t>60601000</t>
  </si>
  <si>
    <t>муниципальный район</t>
  </si>
  <si>
    <t>Александровское сельское поселение</t>
  </si>
  <si>
    <t>60601405</t>
  </si>
  <si>
    <t>сельское поселение</t>
  </si>
  <si>
    <t>Елизаветинское сельское поселение</t>
  </si>
  <si>
    <t>60601410</t>
  </si>
  <si>
    <t>Елизаветовское сельское поселение</t>
  </si>
  <si>
    <t>60601420</t>
  </si>
  <si>
    <t>Задонское сельское поселение</t>
  </si>
  <si>
    <t>60601425</t>
  </si>
  <si>
    <t>Кагальницкое сельское поселение</t>
  </si>
  <si>
    <t>60601430</t>
  </si>
  <si>
    <t>Калиновское сельское поселение</t>
  </si>
  <si>
    <t>60601435</t>
  </si>
  <si>
    <t>Красносадовское сельское поселение</t>
  </si>
  <si>
    <t>60601438</t>
  </si>
  <si>
    <t>Круглянское сельское поселение</t>
  </si>
  <si>
    <t>60601440</t>
  </si>
  <si>
    <t>Кугейское сельское поселение</t>
  </si>
  <si>
    <t>60601444</t>
  </si>
  <si>
    <t>Кулешовское сельское поселение</t>
  </si>
  <si>
    <t>60601448</t>
  </si>
  <si>
    <t>Маргаритовское сельское поселение</t>
  </si>
  <si>
    <t>60601452</t>
  </si>
  <si>
    <t>Новоалександровское сельское поселение</t>
  </si>
  <si>
    <t>60601455</t>
  </si>
  <si>
    <t>Обильненское сельское поселение</t>
  </si>
  <si>
    <t>60601458</t>
  </si>
  <si>
    <t>Отрадовское сельское поселение</t>
  </si>
  <si>
    <t>60601460</t>
  </si>
  <si>
    <t>Пешковское сельское поселение</t>
  </si>
  <si>
    <t>60601463</t>
  </si>
  <si>
    <t>Рогожкинское сельское поселение</t>
  </si>
  <si>
    <t>60601472</t>
  </si>
  <si>
    <t>Самарское сельское поселение</t>
  </si>
  <si>
    <t>60601476</t>
  </si>
  <si>
    <t>Семибалковское сельское поселение</t>
  </si>
  <si>
    <t>60601480</t>
  </si>
  <si>
    <t>Аксайский район</t>
  </si>
  <si>
    <t>60602000</t>
  </si>
  <si>
    <t>Аксайское городское поселение</t>
  </si>
  <si>
    <t>60602101</t>
  </si>
  <si>
    <t>городское поселение, в состав которого входит город</t>
  </si>
  <si>
    <t>Большелогское сельское поселение</t>
  </si>
  <si>
    <t>60602405</t>
  </si>
  <si>
    <t>Верхнеподпольненское сельское поселение</t>
  </si>
  <si>
    <t>60602410</t>
  </si>
  <si>
    <t>Грушевское сельское поселение</t>
  </si>
  <si>
    <t>60602415</t>
  </si>
  <si>
    <t>Истоминское сельское поселение</t>
  </si>
  <si>
    <t>60602420</t>
  </si>
  <si>
    <t>Ленинское сельское поселение</t>
  </si>
  <si>
    <t>60602423</t>
  </si>
  <si>
    <t>Мишкинское сельское поселение</t>
  </si>
  <si>
    <t>60602425</t>
  </si>
  <si>
    <t>Ольгинское сельское поселение</t>
  </si>
  <si>
    <t>60602447</t>
  </si>
  <si>
    <t>Рассветовское сельское поселение</t>
  </si>
  <si>
    <t>60602458</t>
  </si>
  <si>
    <t>Старочеркасское сельское поселение</t>
  </si>
  <si>
    <t>60602462</t>
  </si>
  <si>
    <t>Щепкинское сельское поселение</t>
  </si>
  <si>
    <t>60602436</t>
  </si>
  <si>
    <t>Багаевский район</t>
  </si>
  <si>
    <t>60605000</t>
  </si>
  <si>
    <t>Ажиновское сельское поселение</t>
  </si>
  <si>
    <t>60605402</t>
  </si>
  <si>
    <t>Багаевское сельское поселение</t>
  </si>
  <si>
    <t>60605405</t>
  </si>
  <si>
    <t>Елкинское сельское поселение</t>
  </si>
  <si>
    <t>60605415</t>
  </si>
  <si>
    <t>Красненское сельское поселение</t>
  </si>
  <si>
    <t>60605420</t>
  </si>
  <si>
    <t>Манычское сельское поселение</t>
  </si>
  <si>
    <t>60605440</t>
  </si>
  <si>
    <t>Белокалитвинский район</t>
  </si>
  <si>
    <t>60606000</t>
  </si>
  <si>
    <t>Белокалитвинское городское поселение</t>
  </si>
  <si>
    <t>60606101</t>
  </si>
  <si>
    <t>Богураевское сельское поселение</t>
  </si>
  <si>
    <t>60606410</t>
  </si>
  <si>
    <t>Горняцкое сельское поселение</t>
  </si>
  <si>
    <t>60606417</t>
  </si>
  <si>
    <t>Грушево-Дубовское сельское поселение</t>
  </si>
  <si>
    <t>60606420</t>
  </si>
  <si>
    <t>Ильинское сельское поселение</t>
  </si>
  <si>
    <t>60606430</t>
  </si>
  <si>
    <t>Коксовское сельское поселение</t>
  </si>
  <si>
    <t>60606433</t>
  </si>
  <si>
    <t>Краснодонецкое сельское поселение</t>
  </si>
  <si>
    <t>60606435</t>
  </si>
  <si>
    <t>Литвиновское сельское поселение</t>
  </si>
  <si>
    <t>60606445</t>
  </si>
  <si>
    <t>Нижнепоповское сельское поселение</t>
  </si>
  <si>
    <t>60606450</t>
  </si>
  <si>
    <t>Рудаковское сельское поселение</t>
  </si>
  <si>
    <t>60606440</t>
  </si>
  <si>
    <t>Синегорское сельское поселение</t>
  </si>
  <si>
    <t>60606459</t>
  </si>
  <si>
    <t>Шолоховское городское поселение</t>
  </si>
  <si>
    <t>60606102</t>
  </si>
  <si>
    <t>Боковский район</t>
  </si>
  <si>
    <t>60607000</t>
  </si>
  <si>
    <t>Боковское сельское поселение</t>
  </si>
  <si>
    <t>60607411</t>
  </si>
  <si>
    <t>Верхнечирское сельское поселение</t>
  </si>
  <si>
    <t>60607422</t>
  </si>
  <si>
    <t>Грачевское сельское поселение</t>
  </si>
  <si>
    <t>60607433</t>
  </si>
  <si>
    <t>Земцовское сельское поселение</t>
  </si>
  <si>
    <t>60607455</t>
  </si>
  <si>
    <t>Каргинское сельское поселение</t>
  </si>
  <si>
    <t>60607444</t>
  </si>
  <si>
    <t>Краснозоринское сельское поселение</t>
  </si>
  <si>
    <t>60607448</t>
  </si>
  <si>
    <t>Краснокутское сельское поселение</t>
  </si>
  <si>
    <t>60607450</t>
  </si>
  <si>
    <t>Верхнедонской район</t>
  </si>
  <si>
    <t>60608000</t>
  </si>
  <si>
    <t>Верхняковское сельское поселение</t>
  </si>
  <si>
    <t>60608405</t>
  </si>
  <si>
    <t>60</t>
  </si>
  <si>
    <t>Казанское сельское поселение</t>
  </si>
  <si>
    <t>60608412</t>
  </si>
  <si>
    <t>61</t>
  </si>
  <si>
    <t>Казансколопатинское сельское поселение</t>
  </si>
  <si>
    <t>60608413</t>
  </si>
  <si>
    <t>62</t>
  </si>
  <si>
    <t>Мешковское сельское поселение</t>
  </si>
  <si>
    <t>60608428</t>
  </si>
  <si>
    <t>63</t>
  </si>
  <si>
    <t>Мещеряковское сельское поселение</t>
  </si>
  <si>
    <t>60608432</t>
  </si>
  <si>
    <t>64</t>
  </si>
  <si>
    <t>Мигулинское сельское поселение</t>
  </si>
  <si>
    <t>60608436</t>
  </si>
  <si>
    <t>65</t>
  </si>
  <si>
    <t>Нижнебыковское сельское поселение</t>
  </si>
  <si>
    <t>60608440</t>
  </si>
  <si>
    <t>Солонцовское сельское поселение</t>
  </si>
  <si>
    <t>60608446</t>
  </si>
  <si>
    <t>67</t>
  </si>
  <si>
    <t>Тубянское сельское поселение</t>
  </si>
  <si>
    <t>60608448</t>
  </si>
  <si>
    <t>Шумилинское сельское поселение</t>
  </si>
  <si>
    <t>60608458</t>
  </si>
  <si>
    <t>69</t>
  </si>
  <si>
    <t>Веселовский район</t>
  </si>
  <si>
    <t>60609000</t>
  </si>
  <si>
    <t>Верхнесоленовское сельское поселение</t>
  </si>
  <si>
    <t>60609409</t>
  </si>
  <si>
    <t>70</t>
  </si>
  <si>
    <t>71</t>
  </si>
  <si>
    <t>Веселовское сельское поселение</t>
  </si>
  <si>
    <t>60609411</t>
  </si>
  <si>
    <t>72</t>
  </si>
  <si>
    <t>Краснооктябрьское сельское поселение</t>
  </si>
  <si>
    <t>60609432</t>
  </si>
  <si>
    <t>73</t>
  </si>
  <si>
    <t>Позднеевское сельское поселение</t>
  </si>
  <si>
    <t>60609458</t>
  </si>
  <si>
    <t>74</t>
  </si>
  <si>
    <t>Волгодонской район</t>
  </si>
  <si>
    <t>60612000</t>
  </si>
  <si>
    <t>75</t>
  </si>
  <si>
    <t>Добровольское сельское поселение</t>
  </si>
  <si>
    <t>60612405</t>
  </si>
  <si>
    <t>76</t>
  </si>
  <si>
    <t>Дубенцовское сельское поселение</t>
  </si>
  <si>
    <t>60612408</t>
  </si>
  <si>
    <t>77</t>
  </si>
  <si>
    <t>Победенское сельское поселение</t>
  </si>
  <si>
    <t>60612425</t>
  </si>
  <si>
    <t>78</t>
  </si>
  <si>
    <t>Потаповское сельское поселение</t>
  </si>
  <si>
    <t>60612428</t>
  </si>
  <si>
    <t>79</t>
  </si>
  <si>
    <t>Прогрессовское сельское поселение</t>
  </si>
  <si>
    <t>60612430</t>
  </si>
  <si>
    <t>80</t>
  </si>
  <si>
    <t>Романовское сельское поселение</t>
  </si>
  <si>
    <t>60612432</t>
  </si>
  <si>
    <t>81</t>
  </si>
  <si>
    <t>Рябичевское сельское поселение</t>
  </si>
  <si>
    <t>60612435</t>
  </si>
  <si>
    <t>82</t>
  </si>
  <si>
    <t>городской округ</t>
  </si>
  <si>
    <t>Город Батайск</t>
  </si>
  <si>
    <t>60707000</t>
  </si>
  <si>
    <t>84</t>
  </si>
  <si>
    <t>Город Волгодонск</t>
  </si>
  <si>
    <t>60712000</t>
  </si>
  <si>
    <t>85</t>
  </si>
  <si>
    <t>Город Гуково</t>
  </si>
  <si>
    <t>60715000</t>
  </si>
  <si>
    <t>86</t>
  </si>
  <si>
    <t>Город Донецк</t>
  </si>
  <si>
    <t>60717000</t>
  </si>
  <si>
    <t>87</t>
  </si>
  <si>
    <t>Город Зверево</t>
  </si>
  <si>
    <t>60718000</t>
  </si>
  <si>
    <t>88</t>
  </si>
  <si>
    <t>Город Каменск-Шахтинский</t>
  </si>
  <si>
    <t>60719000</t>
  </si>
  <si>
    <t>89</t>
  </si>
  <si>
    <t>Город Новочеркасск</t>
  </si>
  <si>
    <t>60727000</t>
  </si>
  <si>
    <t>90</t>
  </si>
  <si>
    <t>Город Новошахтинск</t>
  </si>
  <si>
    <t>60730000</t>
  </si>
  <si>
    <t>91</t>
  </si>
  <si>
    <t>Город Ростов-на-Дону</t>
  </si>
  <si>
    <t>60701000</t>
  </si>
  <si>
    <t>92</t>
  </si>
  <si>
    <t>Город Таганрог</t>
  </si>
  <si>
    <t>60737000</t>
  </si>
  <si>
    <t>93</t>
  </si>
  <si>
    <t>Город Шахты</t>
  </si>
  <si>
    <t>60740000</t>
  </si>
  <si>
    <t>94</t>
  </si>
  <si>
    <t>Дубовский район</t>
  </si>
  <si>
    <t>60613000</t>
  </si>
  <si>
    <t>Андреевское сельское поселение</t>
  </si>
  <si>
    <t>60613405</t>
  </si>
  <si>
    <t>95</t>
  </si>
  <si>
    <t>Барабанщиковское сельское поселение</t>
  </si>
  <si>
    <t>60613410</t>
  </si>
  <si>
    <t>96</t>
  </si>
  <si>
    <t>Вербовологовское сельское поселение</t>
  </si>
  <si>
    <t>60613415</t>
  </si>
  <si>
    <t>97</t>
  </si>
  <si>
    <t>60613417</t>
  </si>
  <si>
    <t>98</t>
  </si>
  <si>
    <t>Гуреевское сельское поселение</t>
  </si>
  <si>
    <t>60613420</t>
  </si>
  <si>
    <t>99</t>
  </si>
  <si>
    <t>100</t>
  </si>
  <si>
    <t>Дубовское сельское поселение</t>
  </si>
  <si>
    <t>60613425</t>
  </si>
  <si>
    <t>101</t>
  </si>
  <si>
    <t>Жуковское сельское поселение</t>
  </si>
  <si>
    <t>60613430</t>
  </si>
  <si>
    <t>102</t>
  </si>
  <si>
    <t>Комиссаровское сельское поселение</t>
  </si>
  <si>
    <t>60613440</t>
  </si>
  <si>
    <t>103</t>
  </si>
  <si>
    <t>Малолученское сельское поселение</t>
  </si>
  <si>
    <t>60613448</t>
  </si>
  <si>
    <t>104</t>
  </si>
  <si>
    <t>Мирненское сельское поселение</t>
  </si>
  <si>
    <t>60613452</t>
  </si>
  <si>
    <t>105</t>
  </si>
  <si>
    <t>Присальское сельское поселение</t>
  </si>
  <si>
    <t>60613460</t>
  </si>
  <si>
    <t>106</t>
  </si>
  <si>
    <t>60613464</t>
  </si>
  <si>
    <t>107</t>
  </si>
  <si>
    <t>Семичанское сельское поселение</t>
  </si>
  <si>
    <t>60613471</t>
  </si>
  <si>
    <t>108</t>
  </si>
  <si>
    <t>Егорлыкский район</t>
  </si>
  <si>
    <t>60615000</t>
  </si>
  <si>
    <t>Балко-Грузское сельское поселение</t>
  </si>
  <si>
    <t>60615410</t>
  </si>
  <si>
    <t>109</t>
  </si>
  <si>
    <t>Войновское сельское поселение</t>
  </si>
  <si>
    <t>60615415</t>
  </si>
  <si>
    <t>110</t>
  </si>
  <si>
    <t>111</t>
  </si>
  <si>
    <t>Егорлыкское сельское поселение</t>
  </si>
  <si>
    <t>60615417</t>
  </si>
  <si>
    <t>112</t>
  </si>
  <si>
    <t>60615425</t>
  </si>
  <si>
    <t>113</t>
  </si>
  <si>
    <t>Кавалерское сельское поселение</t>
  </si>
  <si>
    <t>60615436</t>
  </si>
  <si>
    <t>114</t>
  </si>
  <si>
    <t>Новороговское сельское поселение</t>
  </si>
  <si>
    <t>60615447</t>
  </si>
  <si>
    <t>115</t>
  </si>
  <si>
    <t>Объединенное сельское поселение</t>
  </si>
  <si>
    <t>60615458</t>
  </si>
  <si>
    <t>116</t>
  </si>
  <si>
    <t>Роговское сельское поселение</t>
  </si>
  <si>
    <t>60615462</t>
  </si>
  <si>
    <t>117</t>
  </si>
  <si>
    <t>Шаумяновское сельское поселение</t>
  </si>
  <si>
    <t>60615480</t>
  </si>
  <si>
    <t>118</t>
  </si>
  <si>
    <t>Заветинский район</t>
  </si>
  <si>
    <t>60617000</t>
  </si>
  <si>
    <t>119</t>
  </si>
  <si>
    <t>Заветинское сельское поселение</t>
  </si>
  <si>
    <t>60617411</t>
  </si>
  <si>
    <t>120</t>
  </si>
  <si>
    <t>Киселевское сельское поселение</t>
  </si>
  <si>
    <t>60617428</t>
  </si>
  <si>
    <t>121</t>
  </si>
  <si>
    <t>Кичкинское сельское поселение</t>
  </si>
  <si>
    <t>60617430</t>
  </si>
  <si>
    <t>122</t>
  </si>
  <si>
    <t>Никольское сельское поселение</t>
  </si>
  <si>
    <t>60617422</t>
  </si>
  <si>
    <t>123</t>
  </si>
  <si>
    <t>Савдянское сельское поселение</t>
  </si>
  <si>
    <t>60617445</t>
  </si>
  <si>
    <t>124</t>
  </si>
  <si>
    <t>Тюльпановское сельское поселение</t>
  </si>
  <si>
    <t>60617432</t>
  </si>
  <si>
    <t>125</t>
  </si>
  <si>
    <t>Федосеевское сельское поселение</t>
  </si>
  <si>
    <t>60617466</t>
  </si>
  <si>
    <t>126</t>
  </si>
  <si>
    <t>Фоминское сельское поселение</t>
  </si>
  <si>
    <t>60617434</t>
  </si>
  <si>
    <t>127</t>
  </si>
  <si>
    <t>Шебалинское сельское поселение</t>
  </si>
  <si>
    <t>60617470</t>
  </si>
  <si>
    <t>128</t>
  </si>
  <si>
    <t>Зерноградский район</t>
  </si>
  <si>
    <t>60618000</t>
  </si>
  <si>
    <t>Большеталовское сельское поселение</t>
  </si>
  <si>
    <t>60618405</t>
  </si>
  <si>
    <t>129</t>
  </si>
  <si>
    <t>Гуляй-Борисовское сельское поселение</t>
  </si>
  <si>
    <t>60618410</t>
  </si>
  <si>
    <t>130</t>
  </si>
  <si>
    <t>Донское сельское поселение</t>
  </si>
  <si>
    <t>60618415</t>
  </si>
  <si>
    <t>131</t>
  </si>
  <si>
    <t>132</t>
  </si>
  <si>
    <t>Зерноградское городское поселение</t>
  </si>
  <si>
    <t>60618101</t>
  </si>
  <si>
    <t>133</t>
  </si>
  <si>
    <t>Конзаводское сельское поселение</t>
  </si>
  <si>
    <t>60618440</t>
  </si>
  <si>
    <t>134</t>
  </si>
  <si>
    <t>Красноармейское сельское поселение</t>
  </si>
  <si>
    <t>60618445</t>
  </si>
  <si>
    <t>135</t>
  </si>
  <si>
    <t>60618450</t>
  </si>
  <si>
    <t>136</t>
  </si>
  <si>
    <t>Мечетинское сельское поселение</t>
  </si>
  <si>
    <t>60618455</t>
  </si>
  <si>
    <t>137</t>
  </si>
  <si>
    <t>Россошинское сельское поселение</t>
  </si>
  <si>
    <t>60618460</t>
  </si>
  <si>
    <t>138</t>
  </si>
  <si>
    <t>Зимовниковский район</t>
  </si>
  <si>
    <t>60619000</t>
  </si>
  <si>
    <t>Верхнесеребряковское сельское поселение</t>
  </si>
  <si>
    <t>60619405</t>
  </si>
  <si>
    <t>139</t>
  </si>
  <si>
    <t>Гашунское сельское поселение</t>
  </si>
  <si>
    <t>60619410</t>
  </si>
  <si>
    <t>140</t>
  </si>
  <si>
    <t>Глубочанское сельское поселение</t>
  </si>
  <si>
    <t>60619415</t>
  </si>
  <si>
    <t>141</t>
  </si>
  <si>
    <t>142</t>
  </si>
  <si>
    <t>Зимовниковское сельское поселение</t>
  </si>
  <si>
    <t>60619417</t>
  </si>
  <si>
    <t>143</t>
  </si>
  <si>
    <t>Камышевское сельское поселение</t>
  </si>
  <si>
    <t>60619420</t>
  </si>
  <si>
    <t>144</t>
  </si>
  <si>
    <t>Кировское сельское поселение</t>
  </si>
  <si>
    <t>60619425</t>
  </si>
  <si>
    <t>145</t>
  </si>
  <si>
    <t>Кутейниковское сельское поселение</t>
  </si>
  <si>
    <t>60619430</t>
  </si>
  <si>
    <t>146</t>
  </si>
  <si>
    <t>60619432</t>
  </si>
  <si>
    <t>147</t>
  </si>
  <si>
    <t>Мокрогашунское сельское поселение</t>
  </si>
  <si>
    <t>60619435</t>
  </si>
  <si>
    <t>148</t>
  </si>
  <si>
    <t>Савоськинское сельское поселение</t>
  </si>
  <si>
    <t>60619445</t>
  </si>
  <si>
    <t>149</t>
  </si>
  <si>
    <t>Северное сельское поселение</t>
  </si>
  <si>
    <t>60619450</t>
  </si>
  <si>
    <t>150</t>
  </si>
  <si>
    <t>Кагальницкий район</t>
  </si>
  <si>
    <t>60622000</t>
  </si>
  <si>
    <t>Иваново-Шамшевское сельское поселение</t>
  </si>
  <si>
    <t>60622412</t>
  </si>
  <si>
    <t>151</t>
  </si>
  <si>
    <t>152</t>
  </si>
  <si>
    <t>60622414</t>
  </si>
  <si>
    <t>153</t>
  </si>
  <si>
    <t>Калининское сельское поселение</t>
  </si>
  <si>
    <t>60622417</t>
  </si>
  <si>
    <t>154</t>
  </si>
  <si>
    <t>60622420</t>
  </si>
  <si>
    <t>155</t>
  </si>
  <si>
    <t>Мокробатайское сельское поселение</t>
  </si>
  <si>
    <t>60622423</t>
  </si>
  <si>
    <t>156</t>
  </si>
  <si>
    <t>Новобатайское сельское поселение</t>
  </si>
  <si>
    <t>60622425</t>
  </si>
  <si>
    <t>157</t>
  </si>
  <si>
    <t>Родниковское сельское поселение</t>
  </si>
  <si>
    <t>60622430</t>
  </si>
  <si>
    <t>158</t>
  </si>
  <si>
    <t>Хомутовское сельское поселение</t>
  </si>
  <si>
    <t>60622442</t>
  </si>
  <si>
    <t>159</t>
  </si>
  <si>
    <t>Каменский район</t>
  </si>
  <si>
    <t>60623000</t>
  </si>
  <si>
    <t>Астаховское сельское поселение</t>
  </si>
  <si>
    <t>60623405</t>
  </si>
  <si>
    <t>160</t>
  </si>
  <si>
    <t>Богдановское сельское поселение</t>
  </si>
  <si>
    <t>60623410</t>
  </si>
  <si>
    <t>161</t>
  </si>
  <si>
    <t>Волченское сельское поселение</t>
  </si>
  <si>
    <t>60623415</t>
  </si>
  <si>
    <t>162</t>
  </si>
  <si>
    <t>Глубокинское городское поселение</t>
  </si>
  <si>
    <t>60623151</t>
  </si>
  <si>
    <t>городское поселение, в состав которого входит поселок</t>
  </si>
  <si>
    <t>163</t>
  </si>
  <si>
    <t>Груциновское сельское поселение</t>
  </si>
  <si>
    <t>60623460</t>
  </si>
  <si>
    <t>164</t>
  </si>
  <si>
    <t>Гусевское сельское поселение</t>
  </si>
  <si>
    <t>60623420</t>
  </si>
  <si>
    <t>165</t>
  </si>
  <si>
    <t>Калитвенское сельское поселение</t>
  </si>
  <si>
    <t>60623425</t>
  </si>
  <si>
    <t>166</t>
  </si>
  <si>
    <t>167</t>
  </si>
  <si>
    <t>Красновское сельское поселение</t>
  </si>
  <si>
    <t>60623430</t>
  </si>
  <si>
    <t>168</t>
  </si>
  <si>
    <t>Малокаменское сельское поселение</t>
  </si>
  <si>
    <t>60623440</t>
  </si>
  <si>
    <t>169</t>
  </si>
  <si>
    <t>Пиховкинское сельское поселение</t>
  </si>
  <si>
    <t>60623455</t>
  </si>
  <si>
    <t>170</t>
  </si>
  <si>
    <t>Старостаничное сельское поселение</t>
  </si>
  <si>
    <t>60623465</t>
  </si>
  <si>
    <t>171</t>
  </si>
  <si>
    <t>Уляшкинское сельское поселение</t>
  </si>
  <si>
    <t>60623470</t>
  </si>
  <si>
    <t>172</t>
  </si>
  <si>
    <t>Кашарский район</t>
  </si>
  <si>
    <t>60624000</t>
  </si>
  <si>
    <t>Верхнемакеевское сельское поселение</t>
  </si>
  <si>
    <t>60624410</t>
  </si>
  <si>
    <t>173</t>
  </si>
  <si>
    <t>Верхнесвечниковское сельское поселение</t>
  </si>
  <si>
    <t>60624415</t>
  </si>
  <si>
    <t>174</t>
  </si>
  <si>
    <t>Вяжинское сельское поселение</t>
  </si>
  <si>
    <t>60624420</t>
  </si>
  <si>
    <t>175</t>
  </si>
  <si>
    <t>Индустриальное сельское поселение</t>
  </si>
  <si>
    <t>60624425</t>
  </si>
  <si>
    <t>176</t>
  </si>
  <si>
    <t>177</t>
  </si>
  <si>
    <t>Кашарское сельское поселение</t>
  </si>
  <si>
    <t>60624430</t>
  </si>
  <si>
    <t>178</t>
  </si>
  <si>
    <t>Киевское сельское поселение</t>
  </si>
  <si>
    <t>60624435</t>
  </si>
  <si>
    <t>179</t>
  </si>
  <si>
    <t>Первомайское сельское поселение</t>
  </si>
  <si>
    <t>60624450</t>
  </si>
  <si>
    <t>180</t>
  </si>
  <si>
    <t>Поповское сельское поселение</t>
  </si>
  <si>
    <t>60624455</t>
  </si>
  <si>
    <t>181</t>
  </si>
  <si>
    <t>Талловеровское сельское поселение</t>
  </si>
  <si>
    <t>60624470</t>
  </si>
  <si>
    <t>182</t>
  </si>
  <si>
    <t>Фомино-Свечниковское сельское поселение</t>
  </si>
  <si>
    <t>60624475</t>
  </si>
  <si>
    <t>183</t>
  </si>
  <si>
    <t>Константиновский район</t>
  </si>
  <si>
    <t>60625000</t>
  </si>
  <si>
    <t>Авиловское сельское поселение</t>
  </si>
  <si>
    <t>60625405</t>
  </si>
  <si>
    <t>184</t>
  </si>
  <si>
    <t>Богоявленское сельское поселение</t>
  </si>
  <si>
    <t>60625410</t>
  </si>
  <si>
    <t>185</t>
  </si>
  <si>
    <t>Гапкинское сельское поселение</t>
  </si>
  <si>
    <t>60625415</t>
  </si>
  <si>
    <t>186</t>
  </si>
  <si>
    <t>187</t>
  </si>
  <si>
    <t>Константиновское городское поселение</t>
  </si>
  <si>
    <t>60625101</t>
  </si>
  <si>
    <t>188</t>
  </si>
  <si>
    <t>Николаевское сельское поселение</t>
  </si>
  <si>
    <t>60625420</t>
  </si>
  <si>
    <t>189</t>
  </si>
  <si>
    <t>Почтовское сельское поселение</t>
  </si>
  <si>
    <t>60625425</t>
  </si>
  <si>
    <t>190</t>
  </si>
  <si>
    <t>Стычновское сельское поселение</t>
  </si>
  <si>
    <t>60625436</t>
  </si>
  <si>
    <t>191</t>
  </si>
  <si>
    <t>Красносулинский район</t>
  </si>
  <si>
    <t>60626000</t>
  </si>
  <si>
    <t>Божковское сельское поселение</t>
  </si>
  <si>
    <t>60626405</t>
  </si>
  <si>
    <t>192</t>
  </si>
  <si>
    <t>Владимировское сельское поселение</t>
  </si>
  <si>
    <t>60626410</t>
  </si>
  <si>
    <t>193</t>
  </si>
  <si>
    <t>Горненское городское поселение</t>
  </si>
  <si>
    <t>60626102</t>
  </si>
  <si>
    <t>194</t>
  </si>
  <si>
    <t>Гуково-Гнилушевское сельское поселение</t>
  </si>
  <si>
    <t>60626415</t>
  </si>
  <si>
    <t>195</t>
  </si>
  <si>
    <t>Долотинское сельское поселение</t>
  </si>
  <si>
    <t>60626420</t>
  </si>
  <si>
    <t>196</t>
  </si>
  <si>
    <t>60626425</t>
  </si>
  <si>
    <t>197</t>
  </si>
  <si>
    <t>Ковалевское сельское поселение</t>
  </si>
  <si>
    <t>60626430</t>
  </si>
  <si>
    <t>198</t>
  </si>
  <si>
    <t>60626435</t>
  </si>
  <si>
    <t>199</t>
  </si>
  <si>
    <t>200</t>
  </si>
  <si>
    <t>Красносулинское городское поселение</t>
  </si>
  <si>
    <t>60626101</t>
  </si>
  <si>
    <t>201</t>
  </si>
  <si>
    <t>Михайловское сельское поселение</t>
  </si>
  <si>
    <t>60626440</t>
  </si>
  <si>
    <t>202</t>
  </si>
  <si>
    <t>Пролетарское сельское поселение</t>
  </si>
  <si>
    <t>60626445</t>
  </si>
  <si>
    <t>203</t>
  </si>
  <si>
    <t>Садковское сельское поселение</t>
  </si>
  <si>
    <t>60626450</t>
  </si>
  <si>
    <t>204</t>
  </si>
  <si>
    <t>Табунщиковское сельское поселение</t>
  </si>
  <si>
    <t>60626455</t>
  </si>
  <si>
    <t>205</t>
  </si>
  <si>
    <t>Углеродовское городское поселение</t>
  </si>
  <si>
    <t>60626165</t>
  </si>
  <si>
    <t>206</t>
  </si>
  <si>
    <t>Ударниковское сельское поселение</t>
  </si>
  <si>
    <t>60626460</t>
  </si>
  <si>
    <t>207</t>
  </si>
  <si>
    <t>Куйбышевский район</t>
  </si>
  <si>
    <t>60627000</t>
  </si>
  <si>
    <t>Кринично-Лугское сельское поселение</t>
  </si>
  <si>
    <t>60627404</t>
  </si>
  <si>
    <t>208</t>
  </si>
  <si>
    <t>209</t>
  </si>
  <si>
    <t>Куйбышевское сельское поселение</t>
  </si>
  <si>
    <t>60627405</t>
  </si>
  <si>
    <t>210</t>
  </si>
  <si>
    <t>Лысогорское сельское поселение</t>
  </si>
  <si>
    <t>60627410</t>
  </si>
  <si>
    <t>211</t>
  </si>
  <si>
    <t>Мартыновский район</t>
  </si>
  <si>
    <t>60630000</t>
  </si>
  <si>
    <t>Большеорловское сельское поселение</t>
  </si>
  <si>
    <t>60630405</t>
  </si>
  <si>
    <t>212</t>
  </si>
  <si>
    <t>Зеленолугское сельское поселение</t>
  </si>
  <si>
    <t>60630407</t>
  </si>
  <si>
    <t>213</t>
  </si>
  <si>
    <t>Ильиновское сельское поселение</t>
  </si>
  <si>
    <t>60630412</t>
  </si>
  <si>
    <t>214</t>
  </si>
  <si>
    <t>Комаровское сельское поселение</t>
  </si>
  <si>
    <t>60630423</t>
  </si>
  <si>
    <t>215</t>
  </si>
  <si>
    <t>Малоорловское сельское поселение</t>
  </si>
  <si>
    <t>60630434</t>
  </si>
  <si>
    <t>216</t>
  </si>
  <si>
    <t>217</t>
  </si>
  <si>
    <t>Мартыновское сельское поселение</t>
  </si>
  <si>
    <t>60630439</t>
  </si>
  <si>
    <t>218</t>
  </si>
  <si>
    <t>Новоселовское сельское поселение</t>
  </si>
  <si>
    <t>60630456</t>
  </si>
  <si>
    <t>219</t>
  </si>
  <si>
    <t>Рубашкинское сельское поселение</t>
  </si>
  <si>
    <t>60630467</t>
  </si>
  <si>
    <t>220</t>
  </si>
  <si>
    <t>Южненское сельское поселение</t>
  </si>
  <si>
    <t>60630489</t>
  </si>
  <si>
    <t>221</t>
  </si>
  <si>
    <t>Матвеево-Курганский район</t>
  </si>
  <si>
    <t>60631000</t>
  </si>
  <si>
    <t>Алексеевское сельское поселение</t>
  </si>
  <si>
    <t>60631405</t>
  </si>
  <si>
    <t>222</t>
  </si>
  <si>
    <t>Анастасиевское сельское поселение</t>
  </si>
  <si>
    <t>60631410</t>
  </si>
  <si>
    <t>223</t>
  </si>
  <si>
    <t>Большекирсановское сельское поселение</t>
  </si>
  <si>
    <t>60631415</t>
  </si>
  <si>
    <t>224</t>
  </si>
  <si>
    <t>Екатериновское сельское поселение</t>
  </si>
  <si>
    <t>60631420</t>
  </si>
  <si>
    <t>225</t>
  </si>
  <si>
    <t>Малокирсановское сельское поселение</t>
  </si>
  <si>
    <t>60631440</t>
  </si>
  <si>
    <t>226</t>
  </si>
  <si>
    <t>227</t>
  </si>
  <si>
    <t>Матвеево-Курганское сельское поселение</t>
  </si>
  <si>
    <t>60631445</t>
  </si>
  <si>
    <t>228</t>
  </si>
  <si>
    <t>Новониколаевское сельское поселение</t>
  </si>
  <si>
    <t>60631450</t>
  </si>
  <si>
    <t>229</t>
  </si>
  <si>
    <t>Ряженское сельское поселение</t>
  </si>
  <si>
    <t>60631465</t>
  </si>
  <si>
    <t>230</t>
  </si>
  <si>
    <t>Миллеровский район</t>
  </si>
  <si>
    <t>60632000</t>
  </si>
  <si>
    <t>Верхнеталовское сельское поселение</t>
  </si>
  <si>
    <t>60632402</t>
  </si>
  <si>
    <t>231</t>
  </si>
  <si>
    <t>Волошинское сельское поселение</t>
  </si>
  <si>
    <t>60632405</t>
  </si>
  <si>
    <t>232</t>
  </si>
  <si>
    <t>Дегтевское сельское поселение</t>
  </si>
  <si>
    <t>60632415</t>
  </si>
  <si>
    <t>233</t>
  </si>
  <si>
    <t>Колодезянское сельское поселение</t>
  </si>
  <si>
    <t>60632420</t>
  </si>
  <si>
    <t>234</t>
  </si>
  <si>
    <t>Криворожское сельское поселение</t>
  </si>
  <si>
    <t>60632425</t>
  </si>
  <si>
    <t>235</t>
  </si>
  <si>
    <t>Мальчевское сельское поселение</t>
  </si>
  <si>
    <t>60632435</t>
  </si>
  <si>
    <t>236</t>
  </si>
  <si>
    <t>237</t>
  </si>
  <si>
    <t>Миллеровское городское поселение</t>
  </si>
  <si>
    <t>60632101</t>
  </si>
  <si>
    <t>238</t>
  </si>
  <si>
    <t>Ольхово-Рогское сельское поселение</t>
  </si>
  <si>
    <t>60632455</t>
  </si>
  <si>
    <t>239</t>
  </si>
  <si>
    <t>60632460</t>
  </si>
  <si>
    <t>240</t>
  </si>
  <si>
    <t>Сулинское сельское поселение</t>
  </si>
  <si>
    <t>60632467</t>
  </si>
  <si>
    <t>241</t>
  </si>
  <si>
    <t>Титовское сельское поселение</t>
  </si>
  <si>
    <t>60632470</t>
  </si>
  <si>
    <t>242</t>
  </si>
  <si>
    <t>Треневское сельское поселение</t>
  </si>
  <si>
    <t>60632430</t>
  </si>
  <si>
    <t>243</t>
  </si>
  <si>
    <t>Туриловское сельское поселение</t>
  </si>
  <si>
    <t>60632475</t>
  </si>
  <si>
    <t>244</t>
  </si>
  <si>
    <t>Милютинский район</t>
  </si>
  <si>
    <t>60633000</t>
  </si>
  <si>
    <t>Лукичевское сельское поселение</t>
  </si>
  <si>
    <t>60633420</t>
  </si>
  <si>
    <t>245</t>
  </si>
  <si>
    <t>Маньково-Березовское сельское поселение</t>
  </si>
  <si>
    <t>60633428</t>
  </si>
  <si>
    <t>246</t>
  </si>
  <si>
    <t>247</t>
  </si>
  <si>
    <t>Милютинское сельское поселение</t>
  </si>
  <si>
    <t>60633433</t>
  </si>
  <si>
    <t>248</t>
  </si>
  <si>
    <t>Николо-Березовское сельское поселение</t>
  </si>
  <si>
    <t>60633444</t>
  </si>
  <si>
    <t>249</t>
  </si>
  <si>
    <t>Орловское сельское поселение</t>
  </si>
  <si>
    <t>60633466</t>
  </si>
  <si>
    <t>250</t>
  </si>
  <si>
    <t>Светочниковское сельское поселение</t>
  </si>
  <si>
    <t>60633477</t>
  </si>
  <si>
    <t>251</t>
  </si>
  <si>
    <t>Селивановское сельское поселение</t>
  </si>
  <si>
    <t>60633480</t>
  </si>
  <si>
    <t>252</t>
  </si>
  <si>
    <t>Морозовский район</t>
  </si>
  <si>
    <t>60634000</t>
  </si>
  <si>
    <t>Вознесенское сельское поселение</t>
  </si>
  <si>
    <t>60634415</t>
  </si>
  <si>
    <t>253</t>
  </si>
  <si>
    <t>Вольно-Донское сельское поселение</t>
  </si>
  <si>
    <t>60634420</t>
  </si>
  <si>
    <t>254</t>
  </si>
  <si>
    <t>Гагаринское сельское поселение</t>
  </si>
  <si>
    <t>60634423</t>
  </si>
  <si>
    <t>255</t>
  </si>
  <si>
    <t>Грузиновское сельское поселение</t>
  </si>
  <si>
    <t>60634425</t>
  </si>
  <si>
    <t>256</t>
  </si>
  <si>
    <t>Знаменское сельское поселение</t>
  </si>
  <si>
    <t>60634430</t>
  </si>
  <si>
    <t>257</t>
  </si>
  <si>
    <t>Костино-Быстрянское сельское поселение</t>
  </si>
  <si>
    <t>60634440</t>
  </si>
  <si>
    <t>258</t>
  </si>
  <si>
    <t>259</t>
  </si>
  <si>
    <t>Морозовское городское поселение</t>
  </si>
  <si>
    <t>60634101</t>
  </si>
  <si>
    <t>260</t>
  </si>
  <si>
    <t>Парамоновское сельское поселение</t>
  </si>
  <si>
    <t>60634460</t>
  </si>
  <si>
    <t>261</t>
  </si>
  <si>
    <t>Широко-Атамановское сельское поселение</t>
  </si>
  <si>
    <t>60634405</t>
  </si>
  <si>
    <t>262</t>
  </si>
  <si>
    <t>Мясниковский район</t>
  </si>
  <si>
    <t>60635000</t>
  </si>
  <si>
    <t>Большесальское сельское поселение</t>
  </si>
  <si>
    <t>60635405</t>
  </si>
  <si>
    <t>263</t>
  </si>
  <si>
    <t>60635420</t>
  </si>
  <si>
    <t>264</t>
  </si>
  <si>
    <t>Краснокрымское сельское поселение</t>
  </si>
  <si>
    <t>60635424</t>
  </si>
  <si>
    <t>265</t>
  </si>
  <si>
    <t>Крымское сельское поселение</t>
  </si>
  <si>
    <t>60635428</t>
  </si>
  <si>
    <t>266</t>
  </si>
  <si>
    <t>267</t>
  </si>
  <si>
    <t>Недвиговское сельское поселение</t>
  </si>
  <si>
    <t>60635447</t>
  </si>
  <si>
    <t>268</t>
  </si>
  <si>
    <t>Петровское сельское поселение</t>
  </si>
  <si>
    <t>60635436</t>
  </si>
  <si>
    <t>269</t>
  </si>
  <si>
    <t>Чалтырское сельское поселение</t>
  </si>
  <si>
    <t>60635452</t>
  </si>
  <si>
    <t>270</t>
  </si>
  <si>
    <t>Неклиновский район</t>
  </si>
  <si>
    <t>60636000</t>
  </si>
  <si>
    <t>Андреево-Мелентьевское сельское поселение</t>
  </si>
  <si>
    <t>60636428</t>
  </si>
  <si>
    <t>271</t>
  </si>
  <si>
    <t>Большенеклиновское сельское поселение</t>
  </si>
  <si>
    <t>60636404</t>
  </si>
  <si>
    <t>272</t>
  </si>
  <si>
    <t>Вареновское сельское поселение</t>
  </si>
  <si>
    <t>60636407</t>
  </si>
  <si>
    <t>273</t>
  </si>
  <si>
    <t>Васильево-Ханжоновское сельское поселение</t>
  </si>
  <si>
    <t>60636408</t>
  </si>
  <si>
    <t>274</t>
  </si>
  <si>
    <t>Лакедемоновское сельское поселение</t>
  </si>
  <si>
    <t>60636424</t>
  </si>
  <si>
    <t>275</t>
  </si>
  <si>
    <t>Натальевское сельское поселение</t>
  </si>
  <si>
    <t>60636432</t>
  </si>
  <si>
    <t>276</t>
  </si>
  <si>
    <t>277</t>
  </si>
  <si>
    <t>60636434</t>
  </si>
  <si>
    <t>278</t>
  </si>
  <si>
    <t>Новобессергеневское сельское поселение</t>
  </si>
  <si>
    <t>60636436</t>
  </si>
  <si>
    <t>279</t>
  </si>
  <si>
    <t>Носовское сельское поселение</t>
  </si>
  <si>
    <t>60636440</t>
  </si>
  <si>
    <t>280</t>
  </si>
  <si>
    <t>Платовское сельское поселение</t>
  </si>
  <si>
    <t>60636412</t>
  </si>
  <si>
    <t>281</t>
  </si>
  <si>
    <t>Покровское сельское поселение</t>
  </si>
  <si>
    <t>60636448</t>
  </si>
  <si>
    <t>282</t>
  </si>
  <si>
    <t>Поляковское сельское поселение</t>
  </si>
  <si>
    <t>60636420</t>
  </si>
  <si>
    <t>283</t>
  </si>
  <si>
    <t>Приморское сельское поселение</t>
  </si>
  <si>
    <t>60636452</t>
  </si>
  <si>
    <t>284</t>
  </si>
  <si>
    <t>Самбекское сельское поселение</t>
  </si>
  <si>
    <t>60636456</t>
  </si>
  <si>
    <t>285</t>
  </si>
  <si>
    <t>Синявское сельское поселение</t>
  </si>
  <si>
    <t>60636460</t>
  </si>
  <si>
    <t>286</t>
  </si>
  <si>
    <t>Советинское сельское поселение</t>
  </si>
  <si>
    <t>60636464</t>
  </si>
  <si>
    <t>287</t>
  </si>
  <si>
    <t>Троицкое сельское поселение</t>
  </si>
  <si>
    <t>60636468</t>
  </si>
  <si>
    <t>288</t>
  </si>
  <si>
    <t>Федоровское сельское поселение</t>
  </si>
  <si>
    <t>60636472</t>
  </si>
  <si>
    <t>289</t>
  </si>
  <si>
    <t>Обливский район</t>
  </si>
  <si>
    <t>60640000</t>
  </si>
  <si>
    <t>60640403</t>
  </si>
  <si>
    <t>290</t>
  </si>
  <si>
    <t>60640405</t>
  </si>
  <si>
    <t>291</t>
  </si>
  <si>
    <t>Караичевское сельское поселение</t>
  </si>
  <si>
    <t>60640425</t>
  </si>
  <si>
    <t>292</t>
  </si>
  <si>
    <t>Каштановское сельское поселение</t>
  </si>
  <si>
    <t>60640410</t>
  </si>
  <si>
    <t>293</t>
  </si>
  <si>
    <t>Нестеркинское сельское поселение</t>
  </si>
  <si>
    <t>60640440</t>
  </si>
  <si>
    <t>294</t>
  </si>
  <si>
    <t>295</t>
  </si>
  <si>
    <t>Обливское сельское поселение</t>
  </si>
  <si>
    <t>60640420</t>
  </si>
  <si>
    <t>296</t>
  </si>
  <si>
    <t>Солонецкое сельское поселение</t>
  </si>
  <si>
    <t>60640430</t>
  </si>
  <si>
    <t>297</t>
  </si>
  <si>
    <t>Октябрьский район</t>
  </si>
  <si>
    <t>60641000</t>
  </si>
  <si>
    <t>60641404</t>
  </si>
  <si>
    <t>298</t>
  </si>
  <si>
    <t>Артемовское сельское поселение</t>
  </si>
  <si>
    <t>60641405</t>
  </si>
  <si>
    <t>299</t>
  </si>
  <si>
    <t>Бессергеневское сельское поселение</t>
  </si>
  <si>
    <t>60641408</t>
  </si>
  <si>
    <t>300</t>
  </si>
  <si>
    <t>Каменоломненское городское поселение</t>
  </si>
  <si>
    <t>60641151</t>
  </si>
  <si>
    <t>301</t>
  </si>
  <si>
    <t>Керчикское сельское поселение</t>
  </si>
  <si>
    <t>60641415</t>
  </si>
  <si>
    <t>302</t>
  </si>
  <si>
    <t>Коммунарское сельское поселение</t>
  </si>
  <si>
    <t>60641425</t>
  </si>
  <si>
    <t>303</t>
  </si>
  <si>
    <t>60641430</t>
  </si>
  <si>
    <t>304</t>
  </si>
  <si>
    <t>Краснолучское сельское поселение</t>
  </si>
  <si>
    <t>60641427</t>
  </si>
  <si>
    <t>305</t>
  </si>
  <si>
    <t>Красюковское сельское поселение</t>
  </si>
  <si>
    <t>60641435</t>
  </si>
  <si>
    <t>306</t>
  </si>
  <si>
    <t>Кривянское сельское поселение</t>
  </si>
  <si>
    <t>60641440</t>
  </si>
  <si>
    <t>307</t>
  </si>
  <si>
    <t>Мокрологское сельское поселение</t>
  </si>
  <si>
    <t>60641445</t>
  </si>
  <si>
    <t>308</t>
  </si>
  <si>
    <t>309</t>
  </si>
  <si>
    <t>Персиановское сельское поселение</t>
  </si>
  <si>
    <t>60641450</t>
  </si>
  <si>
    <t>310</t>
  </si>
  <si>
    <t>Орловский район</t>
  </si>
  <si>
    <t>60642000</t>
  </si>
  <si>
    <t>Волочаевское сельское поселение</t>
  </si>
  <si>
    <t>60642411</t>
  </si>
  <si>
    <t>311</t>
  </si>
  <si>
    <t>60642422</t>
  </si>
  <si>
    <t>312</t>
  </si>
  <si>
    <t>Каменно-Балковское сельское поселение</t>
  </si>
  <si>
    <t>60642433</t>
  </si>
  <si>
    <t>313</t>
  </si>
  <si>
    <t>60642438</t>
  </si>
  <si>
    <t>314</t>
  </si>
  <si>
    <t>60642443</t>
  </si>
  <si>
    <t>315</t>
  </si>
  <si>
    <t>Курганенское сельское поселение</t>
  </si>
  <si>
    <t>60642444</t>
  </si>
  <si>
    <t>316</t>
  </si>
  <si>
    <t>Луганское сельское поселение</t>
  </si>
  <si>
    <t>60642460</t>
  </si>
  <si>
    <t>317</t>
  </si>
  <si>
    <t>Майорское сельское поселение</t>
  </si>
  <si>
    <t>60642445</t>
  </si>
  <si>
    <t>318</t>
  </si>
  <si>
    <t>319</t>
  </si>
  <si>
    <t>60642446</t>
  </si>
  <si>
    <t>320</t>
  </si>
  <si>
    <t>Островянское сельское поселение</t>
  </si>
  <si>
    <t>60642448</t>
  </si>
  <si>
    <t>321</t>
  </si>
  <si>
    <t>60642452</t>
  </si>
  <si>
    <t>322</t>
  </si>
  <si>
    <t>Песчанокопский район</t>
  </si>
  <si>
    <t>60644000</t>
  </si>
  <si>
    <t>Богородицкое сельское поселение</t>
  </si>
  <si>
    <t>60644411</t>
  </si>
  <si>
    <t>323</t>
  </si>
  <si>
    <t>60644422</t>
  </si>
  <si>
    <t>324</t>
  </si>
  <si>
    <t>Зареченское сельское поселение</t>
  </si>
  <si>
    <t>60644426</t>
  </si>
  <si>
    <t>325</t>
  </si>
  <si>
    <t>Краснополянское сельское поселение</t>
  </si>
  <si>
    <t>60644433</t>
  </si>
  <si>
    <t>326</t>
  </si>
  <si>
    <t>Летницкое сельское поселение</t>
  </si>
  <si>
    <t>60644444</t>
  </si>
  <si>
    <t>327</t>
  </si>
  <si>
    <t>328</t>
  </si>
  <si>
    <t>Песчанокопское сельское поселение</t>
  </si>
  <si>
    <t>60644455</t>
  </si>
  <si>
    <t>329</t>
  </si>
  <si>
    <t>Поливянское сельское поселение</t>
  </si>
  <si>
    <t>60644466</t>
  </si>
  <si>
    <t>330</t>
  </si>
  <si>
    <t>Развильненское сельское поселение</t>
  </si>
  <si>
    <t>60644477</t>
  </si>
  <si>
    <t>331</t>
  </si>
  <si>
    <t>Рассыпненское сельское поселение</t>
  </si>
  <si>
    <t>60644488</t>
  </si>
  <si>
    <t>332</t>
  </si>
  <si>
    <t>Пролетарский район</t>
  </si>
  <si>
    <t>60645000</t>
  </si>
  <si>
    <t>Буденновское сельское поселение</t>
  </si>
  <si>
    <t>60645405</t>
  </si>
  <si>
    <t>333</t>
  </si>
  <si>
    <t>Дальненское сельское поселение</t>
  </si>
  <si>
    <t>60645410</t>
  </si>
  <si>
    <t>334</t>
  </si>
  <si>
    <t>Ковринское сельское поселение</t>
  </si>
  <si>
    <t>60645415</t>
  </si>
  <si>
    <t>335</t>
  </si>
  <si>
    <t>Мокроельмутянское сельское поселение</t>
  </si>
  <si>
    <t>60645420</t>
  </si>
  <si>
    <t>336</t>
  </si>
  <si>
    <t>60645425</t>
  </si>
  <si>
    <t>337</t>
  </si>
  <si>
    <t>Огневское сельское поселение</t>
  </si>
  <si>
    <t>60645427</t>
  </si>
  <si>
    <t>338</t>
  </si>
  <si>
    <t>Опенкинское сельское поселение</t>
  </si>
  <si>
    <t>60645430</t>
  </si>
  <si>
    <t>339</t>
  </si>
  <si>
    <t>340</t>
  </si>
  <si>
    <t>Пролетарское городское поселение</t>
  </si>
  <si>
    <t>60645101</t>
  </si>
  <si>
    <t>341</t>
  </si>
  <si>
    <t>Суховское сельское поселение</t>
  </si>
  <si>
    <t>60645435</t>
  </si>
  <si>
    <t>342</t>
  </si>
  <si>
    <t>Уютненское сельское поселение</t>
  </si>
  <si>
    <t>60645448</t>
  </si>
  <si>
    <t>343</t>
  </si>
  <si>
    <t>Ремонтненский район</t>
  </si>
  <si>
    <t>60647000</t>
  </si>
  <si>
    <t>Валуевское сельское поселение</t>
  </si>
  <si>
    <t>60647411</t>
  </si>
  <si>
    <t>344</t>
  </si>
  <si>
    <t>Денисовское сельское поселение</t>
  </si>
  <si>
    <t>60647422</t>
  </si>
  <si>
    <t>345</t>
  </si>
  <si>
    <t>60647433</t>
  </si>
  <si>
    <t>346</t>
  </si>
  <si>
    <t>60647435</t>
  </si>
  <si>
    <t>347</t>
  </si>
  <si>
    <t>Кормовское сельское поселение</t>
  </si>
  <si>
    <t>60647437</t>
  </si>
  <si>
    <t>348</t>
  </si>
  <si>
    <t>Краснопартизанское сельское поселение</t>
  </si>
  <si>
    <t>60647444</t>
  </si>
  <si>
    <t>349</t>
  </si>
  <si>
    <t>60647455</t>
  </si>
  <si>
    <t>350</t>
  </si>
  <si>
    <t>Подгорненское сельское поселение</t>
  </si>
  <si>
    <t>60647466</t>
  </si>
  <si>
    <t>351</t>
  </si>
  <si>
    <t>Привольненское сельское поселение</t>
  </si>
  <si>
    <t>60647469</t>
  </si>
  <si>
    <t>352</t>
  </si>
  <si>
    <t>353</t>
  </si>
  <si>
    <t>Ремонтненское сельское поселение</t>
  </si>
  <si>
    <t>60647472</t>
  </si>
  <si>
    <t>354</t>
  </si>
  <si>
    <t>Родионово-Несветайский район</t>
  </si>
  <si>
    <t>60648000</t>
  </si>
  <si>
    <t>Барило-Крепинское сельское поселение</t>
  </si>
  <si>
    <t>60648410</t>
  </si>
  <si>
    <t>355</t>
  </si>
  <si>
    <t>Болдыревское сельское поселение</t>
  </si>
  <si>
    <t>60648415</t>
  </si>
  <si>
    <t>356</t>
  </si>
  <si>
    <t>Большекрепинское сельское поселение</t>
  </si>
  <si>
    <t>60648420</t>
  </si>
  <si>
    <t>357</t>
  </si>
  <si>
    <t>60648425</t>
  </si>
  <si>
    <t>358</t>
  </si>
  <si>
    <t>60648436</t>
  </si>
  <si>
    <t>359</t>
  </si>
  <si>
    <t>360</t>
  </si>
  <si>
    <t>Родионово-Несветайское сельское поселение</t>
  </si>
  <si>
    <t>60648447</t>
  </si>
  <si>
    <t>361</t>
  </si>
  <si>
    <t>Сальский район</t>
  </si>
  <si>
    <t>60650000</t>
  </si>
  <si>
    <t>60650410</t>
  </si>
  <si>
    <t>362</t>
  </si>
  <si>
    <t>Гигантовское сельское поселение</t>
  </si>
  <si>
    <t>60650412</t>
  </si>
  <si>
    <t>363</t>
  </si>
  <si>
    <t>60650415</t>
  </si>
  <si>
    <t>364</t>
  </si>
  <si>
    <t>Ивановское сельское поселение</t>
  </si>
  <si>
    <t>60650420</t>
  </si>
  <si>
    <t>365</t>
  </si>
  <si>
    <t>Кручено-Балковское сельское поселение</t>
  </si>
  <si>
    <t>60650425</t>
  </si>
  <si>
    <t>366</t>
  </si>
  <si>
    <t>60650430</t>
  </si>
  <si>
    <t>367</t>
  </si>
  <si>
    <t>Новоегорлыкское сельское поселение</t>
  </si>
  <si>
    <t>60650435</t>
  </si>
  <si>
    <t>368</t>
  </si>
  <si>
    <t>Рыбасовское сельское поселение</t>
  </si>
  <si>
    <t>60650442</t>
  </si>
  <si>
    <t>369</t>
  </si>
  <si>
    <t>370</t>
  </si>
  <si>
    <t>Сальское городское поселение</t>
  </si>
  <si>
    <t>60650101</t>
  </si>
  <si>
    <t>371</t>
  </si>
  <si>
    <t>Сандатовское сельское поселение</t>
  </si>
  <si>
    <t>60650445</t>
  </si>
  <si>
    <t>372</t>
  </si>
  <si>
    <t>Юловское сельское поселение</t>
  </si>
  <si>
    <t>60650460</t>
  </si>
  <si>
    <t>373</t>
  </si>
  <si>
    <t>Семикаракорский район</t>
  </si>
  <si>
    <t>60651000</t>
  </si>
  <si>
    <t>Бакланниковское сельское поселение</t>
  </si>
  <si>
    <t>60651404</t>
  </si>
  <si>
    <t>374</t>
  </si>
  <si>
    <t>Большемечетновское сельское поселение</t>
  </si>
  <si>
    <t>60651405</t>
  </si>
  <si>
    <t>375</t>
  </si>
  <si>
    <t>Задоно-Кагальницкое сельское поселение</t>
  </si>
  <si>
    <t>60651410</t>
  </si>
  <si>
    <t>376</t>
  </si>
  <si>
    <t>Золоторевское сельское поселение</t>
  </si>
  <si>
    <t>60651415</t>
  </si>
  <si>
    <t>377</t>
  </si>
  <si>
    <t>Кочетовское сельское поселение</t>
  </si>
  <si>
    <t>60651420</t>
  </si>
  <si>
    <t>378</t>
  </si>
  <si>
    <t>Кузнецовское сельское поселение</t>
  </si>
  <si>
    <t>60651425</t>
  </si>
  <si>
    <t>379</t>
  </si>
  <si>
    <t>Новозолотовское сельское поселение</t>
  </si>
  <si>
    <t>60651430</t>
  </si>
  <si>
    <t>380</t>
  </si>
  <si>
    <t>381</t>
  </si>
  <si>
    <t>Семикаракорское городское поселение</t>
  </si>
  <si>
    <t>60651101</t>
  </si>
  <si>
    <t>382</t>
  </si>
  <si>
    <t>Сусатское сельское поселение</t>
  </si>
  <si>
    <t>60651440</t>
  </si>
  <si>
    <t>383</t>
  </si>
  <si>
    <t>Топилинское сельское поселение</t>
  </si>
  <si>
    <t>60651450</t>
  </si>
  <si>
    <t>384</t>
  </si>
  <si>
    <t>Советский район</t>
  </si>
  <si>
    <t>60652000</t>
  </si>
  <si>
    <t>Калач-Куртлакское сельское поселение</t>
  </si>
  <si>
    <t>60652414</t>
  </si>
  <si>
    <t>385</t>
  </si>
  <si>
    <t>386</t>
  </si>
  <si>
    <t>Советское сельское поселение</t>
  </si>
  <si>
    <t>60652426</t>
  </si>
  <si>
    <t>387</t>
  </si>
  <si>
    <t>Чирское сельское поселение</t>
  </si>
  <si>
    <t>60652437</t>
  </si>
  <si>
    <t>388</t>
  </si>
  <si>
    <t>Тарасовский район</t>
  </si>
  <si>
    <t>60653000</t>
  </si>
  <si>
    <t>Большинское сельское поселение</t>
  </si>
  <si>
    <t>60653405</t>
  </si>
  <si>
    <t>389</t>
  </si>
  <si>
    <t>Войковское сельское поселение</t>
  </si>
  <si>
    <t>60653410</t>
  </si>
  <si>
    <t>390</t>
  </si>
  <si>
    <t>Дячкинское сельское поселение</t>
  </si>
  <si>
    <t>60653415</t>
  </si>
  <si>
    <t>391</t>
  </si>
  <si>
    <t>Ефремово-Степановское сельское поселение</t>
  </si>
  <si>
    <t>60653420</t>
  </si>
  <si>
    <t>392</t>
  </si>
  <si>
    <t>Зеленовское сельское поселение</t>
  </si>
  <si>
    <t>60653425</t>
  </si>
  <si>
    <t>393</t>
  </si>
  <si>
    <t>Колушкинское сельское поселение</t>
  </si>
  <si>
    <t>60653430</t>
  </si>
  <si>
    <t>394</t>
  </si>
  <si>
    <t>60653435</t>
  </si>
  <si>
    <t>395</t>
  </si>
  <si>
    <t>Курно-Липовское сельское поселение</t>
  </si>
  <si>
    <t>60653440</t>
  </si>
  <si>
    <t>396</t>
  </si>
  <si>
    <t>Митякинское сельское поселение</t>
  </si>
  <si>
    <t>60653445</t>
  </si>
  <si>
    <t>397</t>
  </si>
  <si>
    <t>398</t>
  </si>
  <si>
    <t>Тарасовское сельское поселение</t>
  </si>
  <si>
    <t>60653453</t>
  </si>
  <si>
    <t>399</t>
  </si>
  <si>
    <t>Тацинский район</t>
  </si>
  <si>
    <t>60654000</t>
  </si>
  <si>
    <t>Быстрогорское сельское поселение</t>
  </si>
  <si>
    <t>60654407</t>
  </si>
  <si>
    <t>400</t>
  </si>
  <si>
    <t>Верхнеобливское сельское поселение</t>
  </si>
  <si>
    <t>60654411</t>
  </si>
  <si>
    <t>401</t>
  </si>
  <si>
    <t>Ермаковское сельское поселение</t>
  </si>
  <si>
    <t>60654422</t>
  </si>
  <si>
    <t>402</t>
  </si>
  <si>
    <t>Жирновское сельское поселение</t>
  </si>
  <si>
    <t>60654424</t>
  </si>
  <si>
    <t>403</t>
  </si>
  <si>
    <t>Зазерское сельское поселение</t>
  </si>
  <si>
    <t>60654433</t>
  </si>
  <si>
    <t>404</t>
  </si>
  <si>
    <t>Ковылкинское сельское поселение</t>
  </si>
  <si>
    <t>60654444</t>
  </si>
  <si>
    <t>405</t>
  </si>
  <si>
    <t>60654448</t>
  </si>
  <si>
    <t>406</t>
  </si>
  <si>
    <t>Скосырское сельское поселение</t>
  </si>
  <si>
    <t>60654456</t>
  </si>
  <si>
    <t>407</t>
  </si>
  <si>
    <t>60654460</t>
  </si>
  <si>
    <t>408</t>
  </si>
  <si>
    <t>409</t>
  </si>
  <si>
    <t>Тацинское сельское поселение</t>
  </si>
  <si>
    <t>60654465</t>
  </si>
  <si>
    <t>410</t>
  </si>
  <si>
    <t>Углегорское сельское поселение</t>
  </si>
  <si>
    <t>60654467</t>
  </si>
  <si>
    <t>411</t>
  </si>
  <si>
    <t>Усть-Донецкий район</t>
  </si>
  <si>
    <t>60655000</t>
  </si>
  <si>
    <t>Апаринское сельское поселение</t>
  </si>
  <si>
    <t>60655405</t>
  </si>
  <si>
    <t>412</t>
  </si>
  <si>
    <t>Верхнекудрюченское сельское поселение</t>
  </si>
  <si>
    <t>60655410</t>
  </si>
  <si>
    <t>413</t>
  </si>
  <si>
    <t>60655423</t>
  </si>
  <si>
    <t>414</t>
  </si>
  <si>
    <t>Мелиховское сельское поселение</t>
  </si>
  <si>
    <t>60655428</t>
  </si>
  <si>
    <t>415</t>
  </si>
  <si>
    <t>Нижнекундрюченское сельское поселение</t>
  </si>
  <si>
    <t>60655432</t>
  </si>
  <si>
    <t>416</t>
  </si>
  <si>
    <t>Пухляковское сельское поселение</t>
  </si>
  <si>
    <t>60655440</t>
  </si>
  <si>
    <t>417</t>
  </si>
  <si>
    <t>Раздорское сельское поселение</t>
  </si>
  <si>
    <t>60655450</t>
  </si>
  <si>
    <t>418</t>
  </si>
  <si>
    <t>419</t>
  </si>
  <si>
    <t>Усть-Донецкое городское поселение</t>
  </si>
  <si>
    <t>60655151</t>
  </si>
  <si>
    <t>420</t>
  </si>
  <si>
    <t>Целинский район</t>
  </si>
  <si>
    <t>60656000</t>
  </si>
  <si>
    <t>60656420</t>
  </si>
  <si>
    <t>421</t>
  </si>
  <si>
    <t>Лопанское сельское поселение</t>
  </si>
  <si>
    <t>60656425</t>
  </si>
  <si>
    <t>422</t>
  </si>
  <si>
    <t>60656430</t>
  </si>
  <si>
    <t>423</t>
  </si>
  <si>
    <t>Новоцелинское сельское поселение</t>
  </si>
  <si>
    <t>60656432</t>
  </si>
  <si>
    <t>424</t>
  </si>
  <si>
    <t>Ольшанское сельское поселение</t>
  </si>
  <si>
    <t>60656435</t>
  </si>
  <si>
    <t>425</t>
  </si>
  <si>
    <t>Среднеегорлыкское сельское поселение</t>
  </si>
  <si>
    <t>60656440</t>
  </si>
  <si>
    <t>426</t>
  </si>
  <si>
    <t>Хлеборобное сельское поселение</t>
  </si>
  <si>
    <t>60656450</t>
  </si>
  <si>
    <t>427</t>
  </si>
  <si>
    <t>428</t>
  </si>
  <si>
    <t>Целинское сельское поселение</t>
  </si>
  <si>
    <t>60656455</t>
  </si>
  <si>
    <t>429</t>
  </si>
  <si>
    <t>60656460</t>
  </si>
  <si>
    <t>430</t>
  </si>
  <si>
    <t>Цимлянский район</t>
  </si>
  <si>
    <t>60657000</t>
  </si>
  <si>
    <t>60657420</t>
  </si>
  <si>
    <t>431</t>
  </si>
  <si>
    <t>Красноярское сельское поселение</t>
  </si>
  <si>
    <t>60657430</t>
  </si>
  <si>
    <t>432</t>
  </si>
  <si>
    <t>Лозновское сельское поселение</t>
  </si>
  <si>
    <t>60657433</t>
  </si>
  <si>
    <t>433</t>
  </si>
  <si>
    <t>Маркинское сельское поселение</t>
  </si>
  <si>
    <t>60657435</t>
  </si>
  <si>
    <t>434</t>
  </si>
  <si>
    <t>Новоцимлянское сельское поселение</t>
  </si>
  <si>
    <t>60657440</t>
  </si>
  <si>
    <t>435</t>
  </si>
  <si>
    <t>Саркеловское сельское поселение</t>
  </si>
  <si>
    <t>60657444</t>
  </si>
  <si>
    <t>436</t>
  </si>
  <si>
    <t>437</t>
  </si>
  <si>
    <t>Цимлянское городское поселение</t>
  </si>
  <si>
    <t>60657101</t>
  </si>
  <si>
    <t>438</t>
  </si>
  <si>
    <t>Чертковский район</t>
  </si>
  <si>
    <t>60658000</t>
  </si>
  <si>
    <t>Алексеево-Лозовское сельское поселение</t>
  </si>
  <si>
    <t>60658404</t>
  </si>
  <si>
    <t>439</t>
  </si>
  <si>
    <t>60658416</t>
  </si>
  <si>
    <t>440</t>
  </si>
  <si>
    <t>Зубрилинское сельское поселение</t>
  </si>
  <si>
    <t>60658420</t>
  </si>
  <si>
    <t>441</t>
  </si>
  <si>
    <t>60658424</t>
  </si>
  <si>
    <t>442</t>
  </si>
  <si>
    <t>Маньковское сельское поселение</t>
  </si>
  <si>
    <t>60658428</t>
  </si>
  <si>
    <t>443</t>
  </si>
  <si>
    <t>Михайлово-Александровское сельское поселение</t>
  </si>
  <si>
    <t>60658432</t>
  </si>
  <si>
    <t>444</t>
  </si>
  <si>
    <t>Нагибинское сельское поселение</t>
  </si>
  <si>
    <t>60658434</t>
  </si>
  <si>
    <t>445</t>
  </si>
  <si>
    <t>Ольховчанское сельское поселение</t>
  </si>
  <si>
    <t>60658436</t>
  </si>
  <si>
    <t>446</t>
  </si>
  <si>
    <t>Осиковское сельское поселение</t>
  </si>
  <si>
    <t>60658438</t>
  </si>
  <si>
    <t>447</t>
  </si>
  <si>
    <t>Сетрковское сельское поселение</t>
  </si>
  <si>
    <t>60658444</t>
  </si>
  <si>
    <t>448</t>
  </si>
  <si>
    <t>Сохрановское сельское поселение</t>
  </si>
  <si>
    <t>60658448</t>
  </si>
  <si>
    <t>449</t>
  </si>
  <si>
    <t>450</t>
  </si>
  <si>
    <t>Чертковское сельское поселение</t>
  </si>
  <si>
    <t>60658454</t>
  </si>
  <si>
    <t>451</t>
  </si>
  <si>
    <t>Шептуховское сельское поселение</t>
  </si>
  <si>
    <t>60658456</t>
  </si>
  <si>
    <t>452</t>
  </si>
  <si>
    <t>Щедровское сельское поселение</t>
  </si>
  <si>
    <t>60658460</t>
  </si>
  <si>
    <t>453</t>
  </si>
  <si>
    <t>Шолоховский район</t>
  </si>
  <si>
    <t>60659000</t>
  </si>
  <si>
    <t>Базковское сельское поселение</t>
  </si>
  <si>
    <t>60659405</t>
  </si>
  <si>
    <t>454</t>
  </si>
  <si>
    <t>Вешенское сельское поселение</t>
  </si>
  <si>
    <t>60659410</t>
  </si>
  <si>
    <t>455</t>
  </si>
  <si>
    <t>Дубровское сельское поселение</t>
  </si>
  <si>
    <t>60659415</t>
  </si>
  <si>
    <t>456</t>
  </si>
  <si>
    <t>Дударевское сельское поселение</t>
  </si>
  <si>
    <t>60659420</t>
  </si>
  <si>
    <t>457</t>
  </si>
  <si>
    <t>60659425</t>
  </si>
  <si>
    <t>458</t>
  </si>
  <si>
    <t>Колундаевское сельское поселение</t>
  </si>
  <si>
    <t>60659430</t>
  </si>
  <si>
    <t>459</t>
  </si>
  <si>
    <t>Кружилинское сельское поселение</t>
  </si>
  <si>
    <t>60659435</t>
  </si>
  <si>
    <t>460</t>
  </si>
  <si>
    <t>Меркуловское сельское поселение</t>
  </si>
  <si>
    <t>60659440</t>
  </si>
  <si>
    <t>461</t>
  </si>
  <si>
    <t>Терновское сельское поселение</t>
  </si>
  <si>
    <t>60659460</t>
  </si>
  <si>
    <t>462</t>
  </si>
  <si>
    <t>463</t>
  </si>
  <si>
    <t>TER_NAME</t>
  </si>
  <si>
    <t>Территория 1</t>
  </si>
  <si>
    <t>ID_TARIFF_NAME</t>
  </si>
  <si>
    <t>TARIFF_NAME</t>
  </si>
  <si>
    <t>VED_NAME</t>
  </si>
  <si>
    <t>4190064</t>
  </si>
  <si>
    <t>4190065</t>
  </si>
  <si>
    <t>4190066</t>
  </si>
  <si>
    <t>4190067</t>
  </si>
  <si>
    <t>4190068</t>
  </si>
  <si>
    <t>4190069</t>
  </si>
  <si>
    <t>4190070</t>
  </si>
  <si>
    <t>4190071</t>
  </si>
  <si>
    <t>4190072</t>
  </si>
  <si>
    <t>4190073</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</si>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</sst>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501" formatCode="000000"/>
    <numFmt numFmtId="502" formatCode="#,##0.000"/>
    <numFmt numFmtId="503" formatCode="#,##0.0000"/>
    <numFmt numFmtId="504" formatCode="dd\.mm\.yyyy"/>
    <numFmt numFmtId="505" formatCode="h:mm;@"/>
    <numFmt numFmtId="506" formatCode="_-* #,##0.00\ _₽_-;\-* #,##0.00\ _₽_-;_-* &quot;-&quot;??\ _₽_-;_-@_-"/>
    <numFmt numFmtId="507" formatCode="_-* #,##0\ _₽_-;\-* #,##0\ _₽_-;_-* &quot;-&quot;\ _₽_-;_-@_-"/>
    <numFmt numFmtId="508" formatCode="_-* #,##0.00\ &quot;₽&quot;_-;\-* #,##0.00\ &quot;₽&quot;_-;_-* &quot;-&quot;??\ &quot;₽&quot;_-;_-@_-"/>
    <numFmt numFmtId="509" formatCode="_-* #,##0\ &quot;₽&quot;_-;\-* #,##0\ &quot;₽&quot;_-;_-* &quot;-&quot;\ &quot;₽&quot;_-;_-@_-"/>
    <numFmt numFmtId="510" formatCode="_-* #,##0.00[$€-1]_-;\-* #,##0.00[$€-1]_-;_-* &quot;-&quot;??[$€-1]_-"/>
    <numFmt numFmtId="511" formatCode="#,##0.0"/>
  </numFmts>
  <fonts count="128">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5700"/>
      <name val="Calibri"/>
      <scheme val="minor"/>
    </font>
    <font>
      <sz val="12"/>
      <color auto="1"/>
      <name val="Arial"/>
    </font>
    <font>
      <b/>
      <sz val="11"/>
      <color rgb="FF3F3F3F"/>
      <name val="Calibri"/>
      <scheme val="minor"/>
    </font>
    <font>
      <sz val="18"/>
      <color theme="3"/>
      <name val="Cambria"/>
      <scheme val="major"/>
    </font>
    <font>
      <b/>
      <sz val="11"/>
      <color theme="1"/>
      <name val="Calibri"/>
      <scheme val="minor"/>
    </font>
    <font>
      <sz val="11"/>
      <color rgb="FFFF0000"/>
      <name val="Calibri"/>
      <scheme val="minor"/>
    </font>
    <font>
      <sz val="10"/>
      <color auto="1"/>
      <name val="Helv"/>
    </font>
    <font>
      <sz val="8"/>
      <color auto="1"/>
      <name val="Arial"/>
    </font>
    <font>
      <sz val="9"/>
      <color auto="1"/>
      <name val="Tahoma"/>
    </font>
    <font>
      <sz val="8"/>
      <color auto="1"/>
      <name val="Palatino"/>
    </font>
    <font>
      <u/>
      <sz val="10"/>
      <color rgb="FF800080"/>
      <name val="Arial Cyr"/>
    </font>
    <font>
      <u/>
      <sz val="10"/>
      <color rgb="FF0000FF"/>
      <name val="Arial Cyr"/>
    </font>
    <font>
      <sz val="8"/>
      <color auto="1"/>
      <name val="Helv"/>
    </font>
    <font>
      <u/>
      <sz val="9"/>
      <color theme="10"/>
      <name val="Tahoma"/>
    </font>
    <font>
      <sz val="10"/>
      <color auto="1"/>
      <name val="Arial"/>
    </font>
    <font>
      <sz val="10"/>
      <color auto="1"/>
      <name val="Arial Cyr"/>
    </font>
    <font>
      <u/>
      <sz val="9"/>
      <color theme="11"/>
      <name val="Tahoma"/>
    </font>
    <font>
      <sz val="11"/>
      <color rgb="FF000000"/>
      <name val="Calibri"/>
    </font>
    <font>
      <sz val="9"/>
      <color rgb="FFFFFFFF"/>
      <name val="Tahoma"/>
    </font>
    <font>
      <sz val="9"/>
      <color rgb="FFCC0000"/>
      <name val="Tahoma"/>
    </font>
    <font>
      <sz val="16"/>
      <color auto="1"/>
      <name val="Tahoma"/>
    </font>
    <font>
      <sz val="16"/>
      <color rgb="FFFFFFFF"/>
      <name val="Tahoma"/>
    </font>
    <font>
      <sz val="9"/>
      <color rgb="FFBCBCBC"/>
      <name val="Tahoma"/>
    </font>
    <font>
      <sz val="11"/>
      <color rgb="FFBCBCBC"/>
      <name val="Wingdings 2"/>
    </font>
    <font>
      <b/>
      <u/>
      <sz val="9"/>
      <color auto="1"/>
      <name val="Tahoma"/>
    </font>
    <font>
      <sz val="11"/>
      <color auto="1"/>
      <name val="Webdings2"/>
    </font>
    <font>
      <sz val="9"/>
      <color rgb="FF000080"/>
      <name val="Tahoma"/>
    </font>
    <font>
      <b/>
      <sz val="11"/>
      <color rgb="FF000000"/>
      <name val="Calibri"/>
    </font>
    <font>
      <sz val="11"/>
      <color auto="1"/>
      <name val="Wingdings 2"/>
    </font>
    <font>
      <b/>
      <sz val="9"/>
      <color rgb="FFFFFFFF"/>
      <name val="Tahoma"/>
    </font>
    <font>
      <b/>
      <u/>
      <sz val="9"/>
      <color rgb="FF000080"/>
      <name val="Tahoma"/>
    </font>
    <font>
      <sz val="8"/>
      <color auto="1"/>
      <name val="Tahoma"/>
    </font>
    <font>
      <sz val="10"/>
      <color auto="1"/>
      <name val="Tahoma"/>
    </font>
    <font>
      <sz val="9"/>
      <color theme="0"/>
      <name val="Tahoma"/>
    </font>
    <font>
      <sz val="1"/>
      <color theme="0"/>
      <name val="Tahoma"/>
    </font>
    <font>
      <b/>
      <sz val="1"/>
      <color theme="0"/>
      <name val="Calibri"/>
    </font>
    <font>
      <b/>
      <sz val="9"/>
      <color auto="1"/>
      <name val="Tahoma"/>
    </font>
    <font>
      <sz val="8"/>
      <color rgb="FFBCBCBC"/>
      <name val="Tahoma"/>
    </font>
    <font>
      <sz val="12"/>
      <color rgb="FF000000"/>
      <name val="Tahoma"/>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color auto="1"/>
      <name val="Tahoma"/>
    </font>
    <font>
      <sz val="3"/>
      <color rgb="FF000000"/>
      <name val="Tahoma"/>
    </font>
    <font>
      <sz val="3"/>
      <color rgb="FF993300"/>
      <name val="Tahoma"/>
    </font>
    <font>
      <sz val="1"/>
      <color rgb="FFFFFFFF"/>
      <name val="Tahoma"/>
    </font>
    <font>
      <sz val="18"/>
      <color auto="1"/>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color auto="1"/>
      <name val="Tahoma"/>
    </font>
    <font>
      <sz val="1"/>
      <color auto="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color auto="1"/>
      <name val="Marlett"/>
    </font>
    <font>
      <sz val="9"/>
      <color rgb="FFBCBCBC"/>
      <name val="Wingdings 2"/>
    </font>
    <font>
      <sz val="12"/>
      <color auto="1"/>
      <name val="Tahoma"/>
    </font>
    <font>
      <sz val="15"/>
      <color theme="0"/>
      <name val="Tahoma"/>
    </font>
    <font>
      <sz val="1"/>
      <color rgb="FFFF0000"/>
      <name val="Tahoma"/>
    </font>
    <font>
      <b/>
      <sz val="11"/>
      <color theme="0"/>
      <name val="Calibri"/>
    </font>
    <font>
      <sz val="11"/>
      <color theme="0"/>
      <name val="Tahoma"/>
    </font>
    <font>
      <sz val="3"/>
      <color theme="0"/>
      <name val="Tahoma"/>
    </font>
    <font>
      <b/>
      <sz val="3"/>
      <color auto="1"/>
      <name val="Tahoma"/>
    </font>
    <font>
      <b/>
      <sz val="9"/>
      <color rgb="FF0070C0"/>
      <name val="Tahoma"/>
    </font>
    <font>
      <sz val="7"/>
      <color auto="1"/>
      <name val="Tahoma"/>
    </font>
    <font>
      <sz val="7"/>
      <color rgb="FFFFFFFF"/>
      <name val="Tahoma"/>
    </font>
    <font>
      <sz val="7"/>
      <color theme="0" tint="-0.5"/>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color auto="1"/>
      <name val="Tahoma"/>
    </font>
    <font>
      <b/>
      <sz val="1"/>
      <color rgb="FF000080"/>
      <name val="Tahoma"/>
    </font>
    <font>
      <b/>
      <sz val="10"/>
      <color auto="1"/>
      <name val="Tahoma"/>
    </font>
    <font>
      <b/>
      <sz val="9"/>
      <color rgb="FF000000"/>
      <name val="Tahoma"/>
    </font>
    <font>
      <sz val="10"/>
      <color rgb="FF000000"/>
      <name val="Arial"/>
    </font>
    <font>
      <sz val="8"/>
      <color rgb="FF000080"/>
      <name val="Tahoma"/>
    </font>
    <font>
      <sz val="1"/>
      <color auto="1"/>
      <name val="Webdings2"/>
    </font>
    <font>
      <sz val="1"/>
      <color theme="0"/>
      <name val="Webdings2"/>
    </font>
    <font>
      <b/>
      <sz val="9"/>
      <color auto="1"/>
      <name val="Calibri"/>
    </font>
    <font>
      <sz val="1"/>
      <color rgb="FF000080"/>
      <name val="Tahoma"/>
    </font>
    <font>
      <sz val="9"/>
      <color theme="0"/>
      <name val="Webdings2"/>
    </font>
    <font>
      <sz val="1"/>
      <color theme="0"/>
      <name val="Wingdings 2"/>
    </font>
    <font>
      <sz val="18"/>
      <color theme="0"/>
      <name val="Tahoma"/>
    </font>
    <font>
      <sz val="9"/>
      <color auto="1"/>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b/>
      <sz val="8"/>
      <color theme="0"/>
      <name val="Wingdings 2"/>
    </font>
    <font>
      <b/>
      <sz val="9"/>
      <color rgb="FFCC0000"/>
      <name val="Tahoma"/>
    </font>
    <font>
      <u/>
      <sz val="9"/>
      <color auto="1"/>
      <name val="Tahoma"/>
    </font>
  </fonts>
  <fills count="58">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0.1"/>
      </patternFill>
    </fill>
    <fill>
      <patternFill patternType="solid">
        <fgColor theme="9" tint="-0.25"/>
      </patternFill>
    </fill>
    <fill>
      <patternFill patternType="solid">
        <fgColor theme="0" tint="-0.1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BCBCBC"/>
      </patternFill>
    </fill>
    <fill>
      <patternFill patternType="solid">
        <fgColor rgb="FFEAEBEE"/>
      </patternFill>
    </fill>
  </fills>
  <borders count="75">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000000"/>
      </left>
      <right style="thin">
        <color rgb="FF000000"/>
      </right>
      <top style="thin">
        <color rgb="FF000000"/>
      </top>
      <bottom style="thin">
        <color rgb="FF000000"/>
      </bottom>
    </border>
    <border>
      <left style="thin">
        <color rgb="FFBCBCBC"/>
      </left>
      <right style="thin">
        <color rgb="FFBCBCBC"/>
      </right>
      <top style="thin">
        <color rgb="FFBCBCBC"/>
      </top>
      <bottom style="thin">
        <color rgb="FFBCBCBC"/>
      </bottom>
    </border>
    <border>
      <left style="thin">
        <color rgb="FFC0C0C0"/>
      </left>
      <right style="thin">
        <color rgb="FFC0C0C0"/>
      </right>
      <top style="thin">
        <color rgb="FFC0C0C0"/>
      </top>
      <bottom style="thin">
        <color rgb="FFC0C0C0"/>
      </bottom>
    </border>
    <border>
      <left/>
      <right style="thin">
        <color rgb="FFC0C0C0"/>
      </right>
      <top style="thin">
        <color rgb="FFC0C0C0"/>
      </top>
      <bottom style="thin">
        <color rgb="FFC0C0C0"/>
      </bottom>
    </border>
    <border>
      <left style="thin">
        <color rgb="FFC0C0C0"/>
      </left>
      <right/>
      <top style="thin">
        <color rgb="FFC0C0C0"/>
      </top>
      <bottom style="thin">
        <color rgb="FFC0C0C0"/>
      </bottom>
    </border>
    <border>
      <left/>
      <right/>
      <top style="thin">
        <color rgb="FFC0C0C0"/>
      </top>
      <bottom style="thin">
        <color rgb="FFC0C0C0"/>
      </bottom>
    </border>
    <border>
      <left style="thin">
        <color rgb="FFD3DBDB"/>
      </left>
      <right style="thin">
        <color rgb="FFD3DBDB"/>
      </right>
      <top style="thin">
        <color rgb="FFD3DBDB"/>
      </top>
      <bottom style="thin">
        <color rgb="FFD3DBDB"/>
      </bottom>
    </border>
    <border>
      <left style="thin">
        <color rgb="FFC0C0C0"/>
      </left>
      <right style="thin">
        <color rgb="FFC0C0C0"/>
      </right>
      <top style="thin">
        <color rgb="FFC0C0C0"/>
      </top>
      <bottom/>
    </border>
    <border>
      <left/>
      <right/>
      <top style="dotted">
        <color rgb="FF000000"/>
      </top>
      <bottom style="dotted">
        <color rgb="FF000000"/>
      </bottom>
    </border>
    <border>
      <left/>
      <right/>
      <top style="thin">
        <color rgb="FFC0C0C0"/>
      </top>
      <bottom/>
    </border>
    <border>
      <left/>
      <right style="thin">
        <color rgb="FFC0C0C0"/>
      </right>
      <top style="thin">
        <color rgb="FFC0C0C0"/>
      </top>
      <bottom/>
    </border>
    <border>
      <left/>
      <right/>
      <top style="thin">
        <color rgb="FFD3DBDB"/>
      </top>
      <bottom/>
    </border>
    <border>
      <left style="thin">
        <color rgb="FFC0C0C0"/>
      </left>
      <right/>
      <top/>
      <bottom/>
    </border>
    <border>
      <left style="thin">
        <color rgb="FFC0C0C0"/>
      </left>
      <right style="thin">
        <color rgb="FFC0C0C0"/>
      </right>
      <top/>
      <bottom style="thin">
        <color rgb="FFC0C0C0"/>
      </bottom>
    </border>
    <border>
      <left/>
      <right style="thin">
        <color rgb="FFC0C0C0"/>
      </right>
      <top/>
      <bottom/>
    </border>
    <border>
      <left style="thin">
        <color rgb="FFC0C0C0"/>
      </left>
      <right style="thin">
        <color rgb="FFC0C0C0"/>
      </right>
      <top style="thin">
        <color rgb="FFC0C0C0"/>
      </top>
      <bottom style="thin">
        <color rgb="FFBCBCBC"/>
      </bottom>
    </border>
    <border>
      <left style="hair">
        <color rgb="FFC0C0C0"/>
      </left>
      <right/>
      <top style="hair">
        <color rgb="FFC0C0C0"/>
      </top>
      <bottom style="hair">
        <color rgb="FFC0C0C0"/>
      </bottom>
    </border>
    <border>
      <left/>
      <right/>
      <top/>
      <bottom style="thin">
        <color rgb="FFC0C0C0"/>
      </bottom>
    </border>
    <border>
      <left style="thin">
        <color theme="0" tint="-0.25"/>
      </left>
      <right style="thin">
        <color rgb="FFC0C0C0"/>
      </right>
      <top style="thin">
        <color rgb="FFC0C0C0"/>
      </top>
      <bottom style="thin">
        <color rgb="FFC0C0C0"/>
      </bottom>
    </border>
    <border>
      <left/>
      <right style="thin">
        <color rgb="FFC0C0C0"/>
      </right>
      <top/>
      <bottom style="thin">
        <color rgb="FFC0C0C0"/>
      </bottom>
    </border>
    <border>
      <left style="thin">
        <color rgb="FFC0C0C0"/>
      </left>
      <right/>
      <top/>
      <bottom style="thin">
        <color rgb="FFC0C0C0"/>
      </bottom>
    </border>
    <border>
      <left style="thin">
        <color theme="0" tint="-0.25"/>
      </left>
      <right style="thin">
        <color theme="0" tint="-0.25"/>
      </right>
      <top style="thin">
        <color theme="0" tint="-0.25"/>
      </top>
      <bottom style="thin">
        <color theme="0" tint="-0.25"/>
      </bottom>
    </border>
    <border>
      <left style="thin">
        <color theme="0" tint="-0.25"/>
      </left>
      <right style="thin">
        <color theme="0" tint="-0.25"/>
      </right>
      <top/>
      <bottom style="thin">
        <color theme="0" tint="-0.25"/>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theme="0" tint="-0.25"/>
      </left>
      <right style="thin">
        <color theme="0" tint="-0.25"/>
      </right>
      <top style="thin">
        <color theme="0" tint="-0.25"/>
      </top>
      <bottom/>
    </border>
    <border>
      <left style="thin">
        <color rgb="FFC0C0C0"/>
      </left>
      <right style="thin">
        <color rgb="FFC0C0C0"/>
      </right>
      <top/>
      <bottom/>
    </border>
    <border>
      <left style="thin">
        <color rgb="FFC0C0C0"/>
      </left>
      <right/>
      <top style="thin">
        <color rgb="FFC0C0C0"/>
      </top>
      <bottom/>
    </border>
    <border>
      <left style="thin">
        <color rgb="FFBCBCBC"/>
      </left>
      <right/>
      <top/>
      <bottom/>
    </border>
    <border>
      <left/>
      <right/>
      <top/>
      <bottom style="thin">
        <color rgb="FFBCBCBC"/>
      </bottom>
    </border>
    <border>
      <left style="thin">
        <color theme="0" tint="-0.25"/>
      </left>
      <right style="thin">
        <color theme="0" tint="-0.25"/>
      </right>
      <top/>
      <bottom/>
    </border>
    <border>
      <left/>
      <right/>
      <top style="thin">
        <color rgb="FFBCBCBC"/>
      </top>
      <bottom style="thin">
        <color rgb="FFBCBCBC"/>
      </bottom>
    </border>
    <border>
      <left style="thin">
        <color rgb="FFC0C0C0"/>
      </left>
      <right/>
      <top style="thin">
        <color rgb="FFBCBCBC"/>
      </top>
      <bottom style="thin">
        <color rgb="FFC0C0C0"/>
      </bottom>
    </border>
    <border>
      <left/>
      <right/>
      <top style="thin">
        <color rgb="FFBCBCBC"/>
      </top>
      <bottom style="thin">
        <color rgb="FFC0C0C0"/>
      </bottom>
    </border>
    <border>
      <left/>
      <right/>
      <top style="thin">
        <color rgb="FFD3DBDB"/>
      </top>
      <bottom style="thin">
        <color rgb="FFD3DBDB"/>
      </bottom>
    </border>
    <border>
      <left style="thin">
        <color rgb="FFD3DBDB"/>
      </left>
      <right/>
      <top style="thin">
        <color rgb="FFD3DBDB"/>
      </top>
      <bottom style="thin">
        <color rgb="FFD3DBDB"/>
      </bottom>
    </border>
    <border>
      <left style="thin">
        <color theme="0" tint="-0.35"/>
      </left>
      <right style="thin">
        <color theme="0" tint="-0.35"/>
      </right>
      <top style="thin">
        <color theme="0" tint="-0.35"/>
      </top>
      <bottom style="thin">
        <color theme="0" tint="-0.35"/>
      </bottom>
    </border>
    <border>
      <left style="thin">
        <color rgb="FFBCBCBC"/>
      </left>
      <right/>
      <top style="medium">
        <color rgb="FFBCBCBC"/>
      </top>
      <bottom style="thin">
        <color rgb="FFC0C0C0"/>
      </bottom>
    </border>
    <border>
      <left style="thin">
        <color rgb="FFBCBCBC"/>
      </left>
      <right/>
      <top style="medium">
        <color rgb="FFBCBCBC"/>
      </top>
      <bottom/>
    </border>
    <border>
      <left/>
      <right/>
      <top style="medium">
        <color rgb="FFBCBCBC"/>
      </top>
      <bottom/>
    </border>
    <border>
      <left/>
      <right/>
      <top/>
      <bottom style="medium">
        <color rgb="FFC0C0C0"/>
      </bottom>
    </border>
    <border>
      <left/>
      <right/>
      <top style="thin">
        <color rgb="FFC0C0C0"/>
      </top>
      <bottom style="medium">
        <color rgb="FFC0C0C0"/>
      </bottom>
    </border>
    <border>
      <left/>
      <right style="thin">
        <color theme="0" tint="-0.25"/>
      </right>
      <top style="thin">
        <color rgb="FFC0C0C0"/>
      </top>
      <bottom style="thin">
        <color rgb="FFC0C0C0"/>
      </bottom>
    </border>
    <border>
      <left/>
      <right/>
      <top style="medium">
        <color rgb="FFBCBCBC"/>
      </top>
      <bottom style="thin">
        <color rgb="FFBCBCBC"/>
      </bottom>
    </border>
    <border>
      <left/>
      <right style="thin">
        <color rgb="FFBCBCBC"/>
      </right>
      <top style="medium">
        <color rgb="FFBCBCBC"/>
      </top>
      <bottom style="thin">
        <color rgb="FFBCBCBC"/>
      </bottom>
    </border>
    <border>
      <left/>
      <right/>
      <top style="medium">
        <color rgb="FFC0C0C0"/>
      </top>
      <bottom style="thin">
        <color rgb="FFC0C0C0"/>
      </bottom>
    </border>
    <border>
      <left style="thin">
        <color rgb="FFC0C0C0"/>
      </left>
      <right/>
      <top style="thin">
        <color rgb="FFC0C0C0"/>
      </top>
      <bottom style="medium">
        <color rgb="FFC0C0C0"/>
      </bottom>
    </border>
    <border>
      <left style="thin">
        <color theme="0" tint="-0.25"/>
      </left>
      <right style="thin">
        <color rgb="FFC0C0C0"/>
      </right>
      <top style="thin">
        <color rgb="FFC0C0C0"/>
      </top>
      <bottom/>
    </border>
    <border>
      <left style="thin">
        <color theme="0" tint="-0.25"/>
      </left>
      <right/>
      <top style="thin">
        <color rgb="FFC0C0C0"/>
      </top>
      <bottom style="thin">
        <color rgb="FFC0C0C0"/>
      </bottom>
    </border>
    <border>
      <left style="thin">
        <color theme="0" tint="-0.25"/>
      </left>
      <right/>
      <top style="thin">
        <color rgb="FFC0C0C0"/>
      </top>
      <bottom/>
    </border>
    <border>
      <left style="thin">
        <color rgb="FFBCBCBC"/>
      </left>
      <right/>
      <top style="thin">
        <color rgb="FFBCBCBC"/>
      </top>
      <bottom/>
    </border>
    <border>
      <left/>
      <right/>
      <top style="thin">
        <color rgb="FFBCBCBC"/>
      </top>
      <bottom/>
    </border>
    <border>
      <left style="thin">
        <color rgb="FFBCBCBC"/>
      </left>
      <right/>
      <top/>
      <bottom style="thin">
        <color rgb="FFBCBCBC"/>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rgb="FFBCBCBC"/>
      </right>
      <top/>
      <bottom/>
    </border>
    <border>
      <left/>
      <right style="thin">
        <color rgb="FFBCBCBC"/>
      </right>
      <top style="thin">
        <color rgb="FFBCBCBC"/>
      </top>
      <bottom/>
    </border>
    <border>
      <left style="thin">
        <color rgb="FFC0C0C0"/>
      </left>
      <right style="thin">
        <color rgb="FFC0C0C0"/>
      </right>
      <top style="thin">
        <color rgb="FFBCBCBC"/>
      </top>
      <bottom style="thin">
        <color rgb="FFBCBCBC"/>
      </bottom>
    </border>
    <border>
      <left style="thin">
        <color rgb="FFC0C0C0"/>
      </left>
      <right/>
      <top style="thin">
        <color rgb="FFBCBCBC"/>
      </top>
      <bottom style="thin">
        <color rgb="FFBCBCBC"/>
      </bottom>
    </border>
    <border>
      <left/>
      <right style="thin">
        <color rgb="FFC0C0C0"/>
      </right>
      <top style="thin">
        <color rgb="FFBCBCBC"/>
      </top>
      <bottom style="thin">
        <color rgb="FFBCBCBC"/>
      </bottom>
    </border>
    <border>
      <left style="thin">
        <color rgb="FFBCBCBC"/>
      </left>
      <right/>
      <top style="thin">
        <color rgb="FFBCBCBC"/>
      </top>
      <bottom style="thin">
        <color rgb="FFBCBCBC"/>
      </bottom>
    </border>
    <border>
      <left/>
      <right style="thin">
        <color rgb="FFBCBCBC"/>
      </right>
      <top style="thin">
        <color rgb="FFBCBCBC"/>
      </top>
      <bottom style="thin">
        <color rgb="FFBCBCBC"/>
      </bottom>
    </border>
    <border>
      <left style="thin">
        <color rgb="FFBCBCBC"/>
      </left>
      <right/>
      <top style="thin">
        <color rgb="FFBCBCBC"/>
      </top>
      <bottom style="thin">
        <color rgb="FFC0C0C0"/>
      </bottom>
    </border>
    <border>
      <left style="thin">
        <color rgb="FFC0C0C0"/>
      </left>
      <right style="thin">
        <color rgb="FFC0C0C0"/>
      </right>
      <top style="thin">
        <color rgb="FFC0C0C0"/>
      </top>
      <bottom style="medium">
        <color rgb="FFC0C0C0"/>
      </bottom>
    </border>
  </borders>
  <cellStyleXfs count="64">
    <xf numFmtId="49" fontId="0" fillId="0" borderId="0" applyFont="1" applyFill="0" applyBorder="0">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1" fillId="14" borderId="0" applyFont="1" applyFill="1" applyBorder="0">
      <alignment vertical="top"/>
    </xf>
    <xf numFmtId="0" fontId="1" fillId="15" borderId="0" applyFont="1" applyFill="1" applyBorder="0">
      <alignment vertical="top"/>
    </xf>
    <xf numFmtId="0" fontId="1" fillId="16" borderId="0" applyFont="1" applyFill="1" applyBorder="0">
      <alignment vertical="top"/>
    </xf>
    <xf numFmtId="0" fontId="1" fillId="17" borderId="0" applyFont="1" applyFill="1" applyBorder="0">
      <alignment vertical="top"/>
    </xf>
    <xf numFmtId="0" fontId="1" fillId="18" borderId="0" applyFont="1" applyFill="1" applyBorder="0">
      <alignment vertical="top"/>
    </xf>
    <xf numFmtId="0" fontId="1"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506" fontId="6" fillId="0" borderId="0" applyFont="0" applyFill="0" applyBorder="0" applyNumberFormat="1">
      <alignment vertical="top"/>
    </xf>
    <xf numFmtId="507" fontId="6" fillId="0" borderId="0" applyFont="0" applyFill="0" applyBorder="0" applyNumberFormat="1">
      <alignment vertical="top"/>
    </xf>
    <xf numFmtId="508" fontId="6" fillId="0" borderId="0" applyFont="0" applyFill="0" applyBorder="0" applyNumberFormat="1">
      <alignment vertical="top"/>
    </xf>
    <xf numFmtId="509"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15" fillId="0" borderId="0" applyFont="1" applyFill="0" applyBorder="0">
      <alignment vertical="top"/>
    </xf>
    <xf numFmtId="0" fontId="6" fillId="32" borderId="7" applyFont="0" applyFill="1" applyBorder="1">
      <alignment vertical="top"/>
    </xf>
    <xf numFmtId="0" fontId="16" fillId="27" borderId="8" applyFont="1" applyFill="1" applyBorder="1">
      <alignment vertical="top"/>
    </xf>
    <xf numFmtId="9" fontId="6" fillId="0" borderId="0" applyFont="0" applyFill="0" applyBorder="0" applyNumberFormat="1">
      <alignment vertical="top"/>
    </xf>
    <xf numFmtId="0" fontId="17" fillId="0" borderId="0" applyFont="1" applyFill="0" applyBorder="0">
      <alignment vertical="top"/>
    </xf>
    <xf numFmtId="0" fontId="18" fillId="0" borderId="9" applyFont="1" applyFill="0" applyBorder="1">
      <alignment vertical="top"/>
    </xf>
    <xf numFmtId="0" fontId="19" fillId="0" borderId="0" applyFont="1" applyFill="0" applyBorder="0">
      <alignment vertical="top"/>
    </xf>
    <xf numFmtId="0" fontId="20" fillId="0" borderId="0" applyFont="1" applyFill="0" applyBorder="0"/>
    <xf numFmtId="510" fontId="20" fillId="0" borderId="0" applyFont="1" applyFill="0" applyBorder="0" applyNumberFormat="1"/>
    <xf numFmtId="38" fontId="21" fillId="0" borderId="0" applyFont="1" applyFill="0" applyBorder="0" applyNumberFormat="1">
      <alignment vertical="top"/>
    </xf>
    <xf numFmtId="511" fontId="22" fillId="33" borderId="0" applyFont="1" applyFill="1" applyBorder="0" applyNumberFormat="1">
      <protection locked="0"/>
    </xf>
    <xf numFmtId="0" fontId="23" fillId="0" borderId="0" applyFont="1" applyFill="0" applyBorder="0">
      <alignment vertical="center"/>
    </xf>
    <xf numFmtId="502" fontId="22" fillId="33" borderId="0" applyFont="1" applyFill="1" applyBorder="0" applyNumberFormat="1">
      <protection locked="0"/>
    </xf>
    <xf numFmtId="503" fontId="22" fillId="33" borderId="0" applyFont="1" applyFill="1" applyBorder="0" applyNumberFormat="1">
      <protection locked="0"/>
    </xf>
    <xf numFmtId="0" fontId="24" fillId="0" borderId="0" applyFont="1" applyFill="0" applyBorder="0">
      <alignment vertical="top"/>
    </xf>
    <xf numFmtId="0" fontId="25" fillId="0" borderId="0" applyFont="1" applyFill="0" applyBorder="0">
      <alignment vertical="top"/>
    </xf>
    <xf numFmtId="0" fontId="26" fillId="0" borderId="0" applyFont="1" applyFill="0" applyBorder="0"/>
    <xf numFmtId="0" fontId="27" fillId="0" borderId="0" applyFont="1" applyFill="0" applyBorder="0">
      <alignment vertical="top"/>
    </xf>
    <xf numFmtId="49" fontId="22" fillId="0" borderId="0" applyFont="1" applyFill="0" applyBorder="0" applyNumberFormat="1">
      <alignment vertical="top"/>
    </xf>
    <xf numFmtId="0" fontId="28" fillId="0" borderId="0" applyFont="1" applyFill="0" applyBorder="0"/>
    <xf numFmtId="49" fontId="0" fillId="0" borderId="0" applyFont="1" applyFill="0" applyBorder="0" applyNumberFormat="1">
      <alignment vertical="top"/>
    </xf>
    <xf numFmtId="0" fontId="29" fillId="0" borderId="0" applyFont="1" applyFill="0" applyBorder="0"/>
    <xf numFmtId="0" fontId="30" fillId="0" borderId="0" applyFont="1" applyFill="0" applyBorder="0">
      <alignment vertical="top"/>
    </xf>
  </cellStyleXfs>
  <cellXfs count="16777">
    <xf numFmtId="49" fontId="0" fillId="0" borderId="0" xfId="0" applyFont="1" applyNumberFormat="1">
      <alignment vertical="top"/>
    </xf>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1" fillId="14" borderId="0" xfId="13" applyFont="1" applyFill="1">
      <alignment vertical="top"/>
    </xf>
    <xf numFmtId="0" fontId="1" fillId="15" borderId="0" xfId="14" applyFont="1" applyFill="1">
      <alignment vertical="top"/>
    </xf>
    <xf numFmtId="0" fontId="1" fillId="16" borderId="0" xfId="15" applyFont="1" applyFill="1">
      <alignment vertical="top"/>
    </xf>
    <xf numFmtId="0" fontId="1" fillId="17" borderId="0" xfId="16" applyFont="1" applyFill="1">
      <alignment vertical="top"/>
    </xf>
    <xf numFmtId="0" fontId="1" fillId="18" borderId="0" xfId="17" applyFont="1" applyFill="1">
      <alignment vertical="top"/>
    </xf>
    <xf numFmtId="0" fontId="1"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506" fontId="6" fillId="0" borderId="0" xfId="28" applyNumberFormat="1">
      <alignment vertical="top"/>
    </xf>
    <xf numFmtId="507" fontId="6" fillId="0" borderId="0" xfId="29" applyNumberFormat="1">
      <alignment vertical="top"/>
    </xf>
    <xf numFmtId="508" fontId="6" fillId="0" borderId="0" xfId="30" applyNumberFormat="1">
      <alignment vertical="top"/>
    </xf>
    <xf numFmtId="509" fontId="6" fillId="0" borderId="0" xfId="31"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15" fillId="0" borderId="0" xfId="41" applyFont="1">
      <alignment vertical="top"/>
    </xf>
    <xf numFmtId="0" fontId="6" fillId="32" borderId="7" xfId="42" applyFill="1" applyBorder="1">
      <alignment vertical="top"/>
    </xf>
    <xf numFmtId="0" fontId="16" fillId="27" borderId="8" xfId="43" applyFont="1" applyFill="1" applyBorder="1">
      <alignment vertical="top"/>
    </xf>
    <xf numFmtId="9" fontId="6" fillId="0" borderId="0" xfId="44" applyNumberFormat="1">
      <alignment vertical="top"/>
    </xf>
    <xf numFmtId="0" fontId="17" fillId="0" borderId="0" xfId="45" applyFont="1">
      <alignment vertical="top"/>
    </xf>
    <xf numFmtId="0" fontId="18" fillId="0" borderId="9" xfId="46" applyFont="1" applyBorder="1">
      <alignment vertical="top"/>
    </xf>
    <xf numFmtId="0" fontId="19" fillId="0" borderId="0" xfId="47" applyFont="1">
      <alignment vertical="top"/>
    </xf>
    <xf numFmtId="0" fontId="20" fillId="0" borderId="0" xfId="48" applyFont="1"/>
    <xf numFmtId="510" fontId="20" fillId="0" borderId="0" xfId="49" applyFont="1" applyNumberFormat="1"/>
    <xf numFmtId="38" fontId="21" fillId="0" borderId="0" xfId="50" applyFont="1" applyNumberFormat="1">
      <alignment vertical="top"/>
    </xf>
    <xf numFmtId="511" fontId="22" fillId="33" borderId="0" xfId="51" applyFont="1" applyFill="1" applyNumberFormat="1">
      <protection locked="0"/>
    </xf>
    <xf numFmtId="0" fontId="23" fillId="0" borderId="0" xfId="52" applyFont="1">
      <alignment vertical="center"/>
    </xf>
    <xf numFmtId="502" fontId="22" fillId="33" borderId="0" xfId="53" applyFont="1" applyFill="1" applyNumberFormat="1">
      <protection locked="0"/>
    </xf>
    <xf numFmtId="503" fontId="22" fillId="33" borderId="0" xfId="54" applyFont="1" applyFill="1" applyNumberFormat="1">
      <protection locked="0"/>
    </xf>
    <xf numFmtId="0" fontId="24" fillId="0" borderId="0" xfId="55" applyFont="1">
      <alignment vertical="top"/>
    </xf>
    <xf numFmtId="0" fontId="25" fillId="0" borderId="0" xfId="56" applyFont="1">
      <alignment vertical="top"/>
    </xf>
    <xf numFmtId="0" fontId="26" fillId="0" borderId="0" xfId="57" applyFont="1"/>
    <xf numFmtId="0" fontId="27" fillId="0" borderId="0" xfId="58" applyFont="1">
      <alignment vertical="top"/>
    </xf>
    <xf numFmtId="49" fontId="22" fillId="0" borderId="0" xfId="59" applyFont="1" applyNumberFormat="1">
      <alignment vertical="top"/>
    </xf>
    <xf numFmtId="0" fontId="28" fillId="0" borderId="0" xfId="60" applyFont="1"/>
    <xf numFmtId="49" fontId="0" fillId="0" borderId="0" xfId="61" applyFont="1" applyNumberFormat="1">
      <alignment vertical="top"/>
    </xf>
    <xf numFmtId="0" fontId="29" fillId="0" borderId="0" xfId="62" applyFont="1"/>
    <xf numFmtId="0" fontId="30" fillId="0" borderId="0" xfId="63" applyFont="1">
      <alignment vertical="top"/>
    </xf>
    <xf numFmtId="49" fontId="0" fillId="0" borderId="0" xfId="0" applyFont="1" applyNumberFormat="1">
      <alignment vertical="top"/>
    </xf>
    <xf numFmtId="0" fontId="1" fillId="2" borderId="0" xfId="1" applyFont="1" applyFill="1" applyNumberFormat="1">
      <alignment vertical="top"/>
    </xf>
    <xf numFmtId="0" fontId="1" fillId="3" borderId="0" xfId="2" applyFont="1" applyFill="1" applyNumberFormat="1">
      <alignment vertical="top"/>
    </xf>
    <xf numFmtId="0" fontId="1" fillId="4" borderId="0" xfId="3" applyFont="1" applyFill="1" applyNumberFormat="1">
      <alignment vertical="top"/>
    </xf>
    <xf numFmtId="0" fontId="1" fillId="5" borderId="0" xfId="4" applyFont="1" applyFill="1" applyNumberFormat="1">
      <alignment vertical="top"/>
    </xf>
    <xf numFmtId="0" fontId="1" fillId="6" borderId="0" xfId="5" applyFont="1" applyFill="1" applyNumberFormat="1">
      <alignment vertical="top"/>
    </xf>
    <xf numFmtId="0" fontId="1" fillId="7" borderId="0" xfId="6" applyFont="1" applyFill="1" applyNumberFormat="1">
      <alignment vertical="top"/>
    </xf>
    <xf numFmtId="0" fontId="1" fillId="8" borderId="0" xfId="7" applyFont="1" applyFill="1" applyNumberFormat="1">
      <alignment vertical="top"/>
    </xf>
    <xf numFmtId="0" fontId="1" fillId="9" borderId="0" xfId="8" applyFont="1" applyFill="1" applyNumberFormat="1">
      <alignment vertical="top"/>
    </xf>
    <xf numFmtId="0" fontId="1" fillId="10" borderId="0" xfId="9" applyFont="1" applyFill="1" applyNumberFormat="1">
      <alignment vertical="top"/>
    </xf>
    <xf numFmtId="0" fontId="1" fillId="11" borderId="0" xfId="10" applyFont="1" applyFill="1" applyNumberFormat="1">
      <alignment vertical="top"/>
    </xf>
    <xf numFmtId="0" fontId="1" fillId="12" borderId="0" xfId="11" applyFont="1" applyFill="1" applyNumberFormat="1">
      <alignment vertical="top"/>
    </xf>
    <xf numFmtId="0" fontId="1" fillId="13" borderId="0" xfId="12" applyFont="1" applyFill="1" applyNumberFormat="1">
      <alignment vertical="top"/>
    </xf>
    <xf numFmtId="0" fontId="1" fillId="14" borderId="0" xfId="13" applyFont="1" applyFill="1" applyNumberFormat="1">
      <alignment vertical="top"/>
    </xf>
    <xf numFmtId="0" fontId="1" fillId="15" borderId="0" xfId="14" applyFont="1" applyFill="1" applyNumberFormat="1">
      <alignment vertical="top"/>
    </xf>
    <xf numFmtId="0" fontId="1" fillId="16" borderId="0" xfId="15" applyFont="1" applyFill="1" applyNumberFormat="1">
      <alignment vertical="top"/>
    </xf>
    <xf numFmtId="0" fontId="1" fillId="17" borderId="0" xfId="16" applyFont="1" applyFill="1" applyNumberFormat="1">
      <alignment vertical="top"/>
    </xf>
    <xf numFmtId="0" fontId="1" fillId="18" borderId="0" xfId="17" applyFont="1" applyFill="1" applyNumberFormat="1">
      <alignment vertical="top"/>
    </xf>
    <xf numFmtId="0" fontId="1" fillId="19" borderId="0" xfId="18" applyFont="1" applyFill="1" applyNumberFormat="1">
      <alignment vertical="top"/>
    </xf>
    <xf numFmtId="0" fontId="2" fillId="20" borderId="0" xfId="19" applyFont="1" applyFill="1" applyNumberFormat="1">
      <alignment vertical="top"/>
    </xf>
    <xf numFmtId="0" fontId="2" fillId="21" borderId="0" xfId="20" applyFont="1" applyFill="1" applyNumberFormat="1">
      <alignment vertical="top"/>
    </xf>
    <xf numFmtId="0" fontId="2" fillId="22" borderId="0" xfId="21" applyFont="1" applyFill="1" applyNumberFormat="1">
      <alignment vertical="top"/>
    </xf>
    <xf numFmtId="0" fontId="2" fillId="23" borderId="0" xfId="22" applyFont="1" applyFill="1" applyNumberFormat="1">
      <alignment vertical="top"/>
    </xf>
    <xf numFmtId="0" fontId="2" fillId="24" borderId="0" xfId="23" applyFont="1" applyFill="1" applyNumberFormat="1">
      <alignment vertical="top"/>
    </xf>
    <xf numFmtId="0" fontId="2" fillId="25" borderId="0" xfId="24" applyFont="1" applyFill="1" applyNumberFormat="1">
      <alignment vertical="top"/>
    </xf>
    <xf numFmtId="0" fontId="3" fillId="26" borderId="0" xfId="25" applyFont="1" applyFill="1" applyNumberFormat="1">
      <alignment vertical="top"/>
    </xf>
    <xf numFmtId="0" fontId="4" fillId="27" borderId="1" xfId="26" applyFont="1" applyFill="1" applyBorder="1" applyNumberFormat="1">
      <alignment vertical="top"/>
    </xf>
    <xf numFmtId="0" fontId="5" fillId="28" borderId="2" xfId="27" applyFont="1" applyFill="1" applyBorder="1" applyNumberFormat="1">
      <alignment vertical="top"/>
    </xf>
    <xf numFmtId="506" fontId="31" fillId="0" borderId="0" xfId="28" applyFont="1" applyNumberFormat="1">
      <alignment vertical="top"/>
    </xf>
    <xf numFmtId="507" fontId="31" fillId="0" borderId="0" xfId="29" applyFont="1" applyNumberFormat="1">
      <alignment vertical="top"/>
    </xf>
    <xf numFmtId="508" fontId="31" fillId="0" borderId="0" xfId="30" applyFont="1" applyNumberFormat="1">
      <alignment vertical="top"/>
    </xf>
    <xf numFmtId="509" fontId="31" fillId="0" borderId="0" xfId="31" applyFont="1" applyNumberFormat="1">
      <alignment vertical="top"/>
    </xf>
    <xf numFmtId="0" fontId="7" fillId="0" borderId="0" xfId="32" applyFont="1" applyNumberFormat="1">
      <alignment vertical="top"/>
    </xf>
    <xf numFmtId="0" fontId="8" fillId="29" borderId="0" xfId="33" applyFont="1" applyFill="1" applyNumberFormat="1">
      <alignment vertical="top"/>
    </xf>
    <xf numFmtId="0" fontId="9" fillId="0" borderId="3" xfId="34" applyFont="1" applyBorder="1" applyNumberFormat="1">
      <alignment vertical="top"/>
    </xf>
    <xf numFmtId="0" fontId="10" fillId="0" borderId="4" xfId="35" applyFont="1" applyBorder="1" applyNumberFormat="1">
      <alignment vertical="top"/>
    </xf>
    <xf numFmtId="0" fontId="11" fillId="0" borderId="5" xfId="36" applyFont="1" applyBorder="1" applyNumberFormat="1">
      <alignment vertical="top"/>
    </xf>
    <xf numFmtId="0" fontId="11" fillId="0" borderId="0" xfId="37" applyFont="1" applyNumberFormat="1">
      <alignment vertical="top"/>
    </xf>
    <xf numFmtId="0" fontId="12" fillId="30" borderId="1" xfId="38" applyFont="1" applyFill="1" applyBorder="1" applyNumberFormat="1">
      <alignment vertical="top"/>
    </xf>
    <xf numFmtId="0" fontId="13" fillId="0" borderId="6" xfId="39" applyFont="1" applyBorder="1" applyNumberFormat="1">
      <alignment vertical="top"/>
    </xf>
    <xf numFmtId="0" fontId="14" fillId="31" borderId="0" xfId="40" applyFont="1" applyFill="1" applyNumberFormat="1">
      <alignment vertical="top"/>
    </xf>
    <xf numFmtId="0" fontId="31" fillId="32" borderId="7" xfId="42" applyFont="1" applyFill="1" applyBorder="1" applyNumberFormat="1">
      <alignment vertical="top"/>
    </xf>
    <xf numFmtId="0" fontId="16" fillId="27" borderId="8" xfId="43" applyFont="1" applyFill="1" applyBorder="1" applyNumberFormat="1">
      <alignment vertical="top"/>
    </xf>
    <xf numFmtId="9" fontId="31" fillId="0" borderId="0" xfId="44" applyFont="1" applyNumberFormat="1">
      <alignment vertical="top"/>
    </xf>
    <xf numFmtId="0" fontId="17" fillId="0" borderId="0" xfId="45" applyFont="1" applyNumberFormat="1">
      <alignment vertical="top"/>
    </xf>
    <xf numFmtId="0" fontId="18" fillId="0" borderId="9" xfId="46" applyFont="1" applyBorder="1" applyNumberFormat="1">
      <alignment vertical="top"/>
    </xf>
    <xf numFmtId="0" fontId="19" fillId="0" borderId="0" xfId="47" applyFont="1" applyNumberFormat="1">
      <alignment vertical="top"/>
    </xf>
    <xf numFmtId="0" fontId="20" fillId="0" borderId="0" xfId="0" applyFont="1" applyNumberFormat="1"/>
    <xf numFmtId="0" fontId="23" fillId="0" borderId="0" xfId="0" applyFont="1" applyNumberFormat="1">
      <alignment vertical="center"/>
    </xf>
    <xf numFmtId="0" fontId="24" fillId="0" borderId="0" xfId="55" applyFont="1" applyNumberFormat="1">
      <alignment vertical="top"/>
    </xf>
    <xf numFmtId="0" fontId="25" fillId="0" borderId="0" xfId="56" applyFont="1" applyNumberFormat="1">
      <alignment vertical="top"/>
    </xf>
    <xf numFmtId="0" fontId="26" fillId="0" borderId="0" xfId="57" applyFont="1" applyNumberFormat="1"/>
    <xf numFmtId="0" fontId="27" fillId="0" borderId="0" xfId="58" applyFont="1" applyNumberFormat="1">
      <alignment vertical="top"/>
    </xf>
    <xf numFmtId="0" fontId="28" fillId="0" borderId="0" xfId="60" applyFont="1" applyNumberFormat="1"/>
    <xf numFmtId="49" fontId="0" fillId="0" borderId="0" xfId="61" applyFont="1" applyNumberFormat="1">
      <alignment vertical="top"/>
    </xf>
    <xf numFmtId="0" fontId="29" fillId="0" borderId="0" xfId="0" applyFont="1" applyNumberFormat="1"/>
    <xf numFmtId="0" fontId="30" fillId="0" borderId="0" xfId="63" applyFont="1" applyNumberFormat="1">
      <alignment vertical="top"/>
    </xf>
    <xf numFmtId="49" fontId="0" fillId="0" borderId="0" xfId="0" applyFont="1" applyNumberFormat="1">
      <alignment vertical="top"/>
    </xf>
    <xf numFmtId="0" fontId="1" fillId="2" borderId="0" xfId="1" applyFont="1" applyFill="1" applyNumberFormat="1">
      <alignment vertical="top"/>
    </xf>
    <xf numFmtId="0" fontId="1" fillId="3" borderId="0" xfId="2" applyFont="1" applyFill="1" applyNumberFormat="1">
      <alignment vertical="top"/>
    </xf>
    <xf numFmtId="0" fontId="1" fillId="4" borderId="0" xfId="3" applyFont="1" applyFill="1" applyNumberFormat="1">
      <alignment vertical="top"/>
    </xf>
    <xf numFmtId="0" fontId="1" fillId="5" borderId="0" xfId="4" applyFont="1" applyFill="1" applyNumberFormat="1">
      <alignment vertical="top"/>
    </xf>
    <xf numFmtId="0" fontId="1" fillId="6" borderId="0" xfId="5" applyFont="1" applyFill="1" applyNumberFormat="1">
      <alignment vertical="top"/>
    </xf>
    <xf numFmtId="0" fontId="1" fillId="7" borderId="0" xfId="6" applyFont="1" applyFill="1" applyNumberFormat="1">
      <alignment vertical="top"/>
    </xf>
    <xf numFmtId="0" fontId="1" fillId="8" borderId="0" xfId="7" applyFont="1" applyFill="1" applyNumberFormat="1">
      <alignment vertical="top"/>
    </xf>
    <xf numFmtId="0" fontId="1" fillId="9" borderId="0" xfId="8" applyFont="1" applyFill="1" applyNumberFormat="1">
      <alignment vertical="top"/>
    </xf>
    <xf numFmtId="0" fontId="1" fillId="10" borderId="0" xfId="9" applyFont="1" applyFill="1" applyNumberFormat="1">
      <alignment vertical="top"/>
    </xf>
    <xf numFmtId="0" fontId="1" fillId="11" borderId="0" xfId="10" applyFont="1" applyFill="1" applyNumberFormat="1">
      <alignment vertical="top"/>
    </xf>
    <xf numFmtId="0" fontId="1" fillId="12" borderId="0" xfId="11" applyFont="1" applyFill="1" applyNumberFormat="1">
      <alignment vertical="top"/>
    </xf>
    <xf numFmtId="0" fontId="1" fillId="13" borderId="0" xfId="12" applyFont="1" applyFill="1" applyNumberFormat="1">
      <alignment vertical="top"/>
    </xf>
    <xf numFmtId="0" fontId="1" fillId="14" borderId="0" xfId="13" applyFont="1" applyFill="1" applyNumberFormat="1">
      <alignment vertical="top"/>
    </xf>
    <xf numFmtId="0" fontId="1" fillId="15" borderId="0" xfId="14" applyFont="1" applyFill="1" applyNumberFormat="1">
      <alignment vertical="top"/>
    </xf>
    <xf numFmtId="0" fontId="1" fillId="16" borderId="0" xfId="15" applyFont="1" applyFill="1" applyNumberFormat="1">
      <alignment vertical="top"/>
    </xf>
    <xf numFmtId="0" fontId="1" fillId="17" borderId="0" xfId="16" applyFont="1" applyFill="1" applyNumberFormat="1">
      <alignment vertical="top"/>
    </xf>
    <xf numFmtId="0" fontId="1" fillId="18" borderId="0" xfId="17" applyFont="1" applyFill="1" applyNumberFormat="1">
      <alignment vertical="top"/>
    </xf>
    <xf numFmtId="0" fontId="1" fillId="19" borderId="0" xfId="18" applyFont="1" applyFill="1" applyNumberFormat="1">
      <alignment vertical="top"/>
    </xf>
    <xf numFmtId="0" fontId="2" fillId="20" borderId="0" xfId="19" applyFont="1" applyFill="1" applyNumberFormat="1">
      <alignment vertical="top"/>
    </xf>
    <xf numFmtId="0" fontId="2" fillId="21" borderId="0" xfId="20" applyFont="1" applyFill="1" applyNumberFormat="1">
      <alignment vertical="top"/>
    </xf>
    <xf numFmtId="0" fontId="2" fillId="22" borderId="0" xfId="21" applyFont="1" applyFill="1" applyNumberFormat="1">
      <alignment vertical="top"/>
    </xf>
    <xf numFmtId="0" fontId="2" fillId="23" borderId="0" xfId="22" applyFont="1" applyFill="1" applyNumberFormat="1">
      <alignment vertical="top"/>
    </xf>
    <xf numFmtId="0" fontId="2" fillId="24" borderId="0" xfId="23" applyFont="1" applyFill="1" applyNumberFormat="1">
      <alignment vertical="top"/>
    </xf>
    <xf numFmtId="0" fontId="2" fillId="25" borderId="0" xfId="24" applyFont="1" applyFill="1" applyNumberFormat="1">
      <alignment vertical="top"/>
    </xf>
    <xf numFmtId="0" fontId="3" fillId="26" borderId="0" xfId="25" applyFont="1" applyFill="1" applyNumberFormat="1">
      <alignment vertical="top"/>
    </xf>
    <xf numFmtId="0" fontId="4" fillId="27" borderId="1" xfId="26" applyFont="1" applyFill="1" applyBorder="1" applyNumberFormat="1">
      <alignment vertical="top"/>
    </xf>
    <xf numFmtId="0" fontId="5" fillId="28" borderId="2" xfId="27" applyFont="1" applyFill="1" applyBorder="1" applyNumberFormat="1">
      <alignment vertical="top"/>
    </xf>
    <xf numFmtId="506" fontId="31" fillId="0" borderId="0" xfId="28" applyFont="1" applyNumberFormat="1">
      <alignment vertical="top"/>
    </xf>
    <xf numFmtId="507" fontId="31" fillId="0" borderId="0" xfId="29" applyFont="1" applyNumberFormat="1">
      <alignment vertical="top"/>
    </xf>
    <xf numFmtId="508" fontId="31" fillId="0" borderId="0" xfId="30" applyFont="1" applyNumberFormat="1">
      <alignment vertical="top"/>
    </xf>
    <xf numFmtId="509" fontId="31" fillId="0" borderId="0" xfId="31" applyFont="1" applyNumberFormat="1">
      <alignment vertical="top"/>
    </xf>
    <xf numFmtId="0" fontId="7" fillId="0" borderId="0" xfId="32" applyFont="1" applyNumberFormat="1">
      <alignment vertical="top"/>
    </xf>
    <xf numFmtId="0" fontId="8" fillId="29" borderId="0" xfId="33" applyFont="1" applyFill="1" applyNumberFormat="1">
      <alignment vertical="top"/>
    </xf>
    <xf numFmtId="0" fontId="9" fillId="0" borderId="3" xfId="34" applyFont="1" applyBorder="1" applyNumberFormat="1">
      <alignment vertical="top"/>
    </xf>
    <xf numFmtId="0" fontId="10" fillId="0" borderId="4" xfId="35" applyFont="1" applyBorder="1" applyNumberFormat="1">
      <alignment vertical="top"/>
    </xf>
    <xf numFmtId="0" fontId="11" fillId="0" borderId="5" xfId="36" applyFont="1" applyBorder="1" applyNumberFormat="1">
      <alignment vertical="top"/>
    </xf>
    <xf numFmtId="0" fontId="11" fillId="0" borderId="0" xfId="37" applyFont="1" applyNumberFormat="1">
      <alignment vertical="top"/>
    </xf>
    <xf numFmtId="0" fontId="12" fillId="30" borderId="1" xfId="38" applyFont="1" applyFill="1" applyBorder="1" applyNumberFormat="1">
      <alignment vertical="top"/>
    </xf>
    <xf numFmtId="0" fontId="13" fillId="0" borderId="6" xfId="39" applyFont="1" applyBorder="1" applyNumberFormat="1">
      <alignment vertical="top"/>
    </xf>
    <xf numFmtId="0" fontId="14" fillId="31" borderId="0" xfId="40" applyFont="1" applyFill="1" applyNumberFormat="1">
      <alignment vertical="top"/>
    </xf>
    <xf numFmtId="0" fontId="31" fillId="32" borderId="7" xfId="42" applyFont="1" applyFill="1" applyBorder="1" applyNumberFormat="1">
      <alignment vertical="top"/>
    </xf>
    <xf numFmtId="0" fontId="16" fillId="27" borderId="8" xfId="43" applyFont="1" applyFill="1" applyBorder="1" applyNumberFormat="1">
      <alignment vertical="top"/>
    </xf>
    <xf numFmtId="9" fontId="31" fillId="0" borderId="0" xfId="44" applyFont="1" applyNumberFormat="1">
      <alignment vertical="top"/>
    </xf>
    <xf numFmtId="0" fontId="17" fillId="0" borderId="0" xfId="45" applyFont="1" applyNumberFormat="1">
      <alignment vertical="top"/>
    </xf>
    <xf numFmtId="0" fontId="18" fillId="0" borderId="9" xfId="46" applyFont="1" applyBorder="1" applyNumberFormat="1">
      <alignment vertical="top"/>
    </xf>
    <xf numFmtId="0" fontId="19" fillId="0" borderId="0" xfId="47" applyFont="1" applyNumberFormat="1">
      <alignment vertical="top"/>
    </xf>
    <xf numFmtId="0" fontId="20" fillId="0" borderId="0" xfId="0" applyFont="1" applyNumberFormat="1"/>
    <xf numFmtId="0" fontId="23" fillId="0" borderId="0" xfId="0" applyFont="1" applyNumberFormat="1">
      <alignment vertical="center"/>
    </xf>
    <xf numFmtId="0" fontId="24" fillId="0" borderId="0" xfId="55" applyFont="1" applyNumberFormat="1">
      <alignment vertical="top"/>
    </xf>
    <xf numFmtId="0" fontId="25" fillId="0" borderId="0" xfId="56" applyFont="1" applyNumberFormat="1">
      <alignment vertical="top"/>
    </xf>
    <xf numFmtId="0" fontId="26" fillId="0" borderId="0" xfId="57" applyFont="1" applyNumberFormat="1"/>
    <xf numFmtId="0" fontId="27" fillId="0" borderId="0" xfId="58" applyFont="1" applyNumberFormat="1">
      <alignment vertical="top"/>
    </xf>
    <xf numFmtId="0" fontId="28" fillId="0" borderId="0" xfId="60" applyFont="1" applyNumberFormat="1"/>
    <xf numFmtId="49" fontId="0" fillId="0" borderId="0" xfId="61" applyFont="1" applyNumberFormat="1">
      <alignment vertical="top"/>
    </xf>
    <xf numFmtId="0" fontId="29" fillId="0" borderId="0" xfId="0" applyFont="1" applyNumberFormat="1"/>
    <xf numFmtId="0" fontId="30" fillId="0" borderId="0" xfId="63" applyFont="1" applyNumberFormat="1">
      <alignment vertical="top"/>
    </xf>
    <xf numFmtId="49" fontId="0" fillId="0" borderId="0" xfId="0" applyFont="1" applyNumberFormat="1">
      <alignment vertical="top"/>
    </xf>
    <xf numFmtId="0" fontId="1" fillId="2" borderId="0" xfId="1" applyFont="1" applyFill="1" applyNumberFormat="1">
      <alignment vertical="top"/>
    </xf>
    <xf numFmtId="0" fontId="1" fillId="3" borderId="0" xfId="2" applyFont="1" applyFill="1" applyNumberFormat="1">
      <alignment vertical="top"/>
    </xf>
    <xf numFmtId="0" fontId="1" fillId="4" borderId="0" xfId="3" applyFont="1" applyFill="1" applyNumberFormat="1">
      <alignment vertical="top"/>
    </xf>
    <xf numFmtId="0" fontId="1" fillId="5" borderId="0" xfId="4" applyFont="1" applyFill="1" applyNumberFormat="1">
      <alignment vertical="top"/>
    </xf>
    <xf numFmtId="0" fontId="1" fillId="6" borderId="0" xfId="5" applyFont="1" applyFill="1" applyNumberFormat="1">
      <alignment vertical="top"/>
    </xf>
    <xf numFmtId="0" fontId="1" fillId="7" borderId="0" xfId="6" applyFont="1" applyFill="1" applyNumberFormat="1">
      <alignment vertical="top"/>
    </xf>
    <xf numFmtId="0" fontId="1" fillId="8" borderId="0" xfId="7" applyFont="1" applyFill="1" applyNumberFormat="1">
      <alignment vertical="top"/>
    </xf>
    <xf numFmtId="0" fontId="1" fillId="9" borderId="0" xfId="8" applyFont="1" applyFill="1" applyNumberFormat="1">
      <alignment vertical="top"/>
    </xf>
    <xf numFmtId="0" fontId="1" fillId="10" borderId="0" xfId="9" applyFont="1" applyFill="1" applyNumberFormat="1">
      <alignment vertical="top"/>
    </xf>
    <xf numFmtId="0" fontId="1" fillId="11" borderId="0" xfId="10" applyFont="1" applyFill="1" applyNumberFormat="1">
      <alignment vertical="top"/>
    </xf>
    <xf numFmtId="0" fontId="1" fillId="12" borderId="0" xfId="11" applyFont="1" applyFill="1" applyNumberFormat="1">
      <alignment vertical="top"/>
    </xf>
    <xf numFmtId="0" fontId="1" fillId="13" borderId="0" xfId="12" applyFont="1" applyFill="1" applyNumberFormat="1">
      <alignment vertical="top"/>
    </xf>
    <xf numFmtId="0" fontId="1" fillId="14" borderId="0" xfId="13" applyFont="1" applyFill="1" applyNumberFormat="1">
      <alignment vertical="top"/>
    </xf>
    <xf numFmtId="0" fontId="1" fillId="15" borderId="0" xfId="14" applyFont="1" applyFill="1" applyNumberFormat="1">
      <alignment vertical="top"/>
    </xf>
    <xf numFmtId="0" fontId="1" fillId="16" borderId="0" xfId="15" applyFont="1" applyFill="1" applyNumberFormat="1">
      <alignment vertical="top"/>
    </xf>
    <xf numFmtId="0" fontId="1" fillId="17" borderId="0" xfId="16" applyFont="1" applyFill="1" applyNumberFormat="1">
      <alignment vertical="top"/>
    </xf>
    <xf numFmtId="0" fontId="1" fillId="18" borderId="0" xfId="17" applyFont="1" applyFill="1" applyNumberFormat="1">
      <alignment vertical="top"/>
    </xf>
    <xf numFmtId="0" fontId="1" fillId="19" borderId="0" xfId="18" applyFont="1" applyFill="1" applyNumberFormat="1">
      <alignment vertical="top"/>
    </xf>
    <xf numFmtId="0" fontId="2" fillId="20" borderId="0" xfId="19" applyFont="1" applyFill="1" applyNumberFormat="1">
      <alignment vertical="top"/>
    </xf>
    <xf numFmtId="0" fontId="2" fillId="21" borderId="0" xfId="20" applyFont="1" applyFill="1" applyNumberFormat="1">
      <alignment vertical="top"/>
    </xf>
    <xf numFmtId="0" fontId="2" fillId="22" borderId="0" xfId="21" applyFont="1" applyFill="1" applyNumberFormat="1">
      <alignment vertical="top"/>
    </xf>
    <xf numFmtId="0" fontId="2" fillId="23" borderId="0" xfId="22" applyFont="1" applyFill="1" applyNumberFormat="1">
      <alignment vertical="top"/>
    </xf>
    <xf numFmtId="0" fontId="2" fillId="24" borderId="0" xfId="23" applyFont="1" applyFill="1" applyNumberFormat="1">
      <alignment vertical="top"/>
    </xf>
    <xf numFmtId="0" fontId="2" fillId="25" borderId="0" xfId="24" applyFont="1" applyFill="1" applyNumberFormat="1">
      <alignment vertical="top"/>
    </xf>
    <xf numFmtId="0" fontId="3" fillId="26" borderId="0" xfId="25" applyFont="1" applyFill="1" applyNumberFormat="1">
      <alignment vertical="top"/>
    </xf>
    <xf numFmtId="0" fontId="4" fillId="27" borderId="1" xfId="26" applyFont="1" applyFill="1" applyBorder="1" applyNumberFormat="1">
      <alignment vertical="top"/>
    </xf>
    <xf numFmtId="0" fontId="5" fillId="28" borderId="2" xfId="27" applyFont="1" applyFill="1" applyBorder="1" applyNumberFormat="1">
      <alignment vertical="top"/>
    </xf>
    <xf numFmtId="506" fontId="31" fillId="0" borderId="0" xfId="28" applyFont="1" applyNumberFormat="1">
      <alignment vertical="top"/>
    </xf>
    <xf numFmtId="507" fontId="31" fillId="0" borderId="0" xfId="29" applyFont="1" applyNumberFormat="1">
      <alignment vertical="top"/>
    </xf>
    <xf numFmtId="508" fontId="31" fillId="0" borderId="0" xfId="30" applyFont="1" applyNumberFormat="1">
      <alignment vertical="top"/>
    </xf>
    <xf numFmtId="509" fontId="31" fillId="0" borderId="0" xfId="31" applyFont="1" applyNumberFormat="1">
      <alignment vertical="top"/>
    </xf>
    <xf numFmtId="0" fontId="7" fillId="0" borderId="0" xfId="32" applyFont="1" applyNumberFormat="1">
      <alignment vertical="top"/>
    </xf>
    <xf numFmtId="0" fontId="8" fillId="29" borderId="0" xfId="33" applyFont="1" applyFill="1" applyNumberFormat="1">
      <alignment vertical="top"/>
    </xf>
    <xf numFmtId="0" fontId="9" fillId="0" borderId="3" xfId="34" applyFont="1" applyBorder="1" applyNumberFormat="1">
      <alignment vertical="top"/>
    </xf>
    <xf numFmtId="0" fontId="10" fillId="0" borderId="4" xfId="35" applyFont="1" applyBorder="1" applyNumberFormat="1">
      <alignment vertical="top"/>
    </xf>
    <xf numFmtId="0" fontId="11" fillId="0" borderId="5" xfId="36" applyFont="1" applyBorder="1" applyNumberFormat="1">
      <alignment vertical="top"/>
    </xf>
    <xf numFmtId="0" fontId="11" fillId="0" borderId="0" xfId="37" applyFont="1" applyNumberFormat="1">
      <alignment vertical="top"/>
    </xf>
    <xf numFmtId="0" fontId="12" fillId="30" borderId="1" xfId="38" applyFont="1" applyFill="1" applyBorder="1" applyNumberFormat="1">
      <alignment vertical="top"/>
    </xf>
    <xf numFmtId="0" fontId="13" fillId="0" borderId="6" xfId="39" applyFont="1" applyBorder="1" applyNumberFormat="1">
      <alignment vertical="top"/>
    </xf>
    <xf numFmtId="0" fontId="14" fillId="31" borderId="0" xfId="40" applyFont="1" applyFill="1" applyNumberFormat="1">
      <alignment vertical="top"/>
    </xf>
    <xf numFmtId="0" fontId="31" fillId="32" borderId="7" xfId="42" applyFont="1" applyFill="1" applyBorder="1" applyNumberFormat="1">
      <alignment vertical="top"/>
    </xf>
    <xf numFmtId="0" fontId="16" fillId="27" borderId="8" xfId="43" applyFont="1" applyFill="1" applyBorder="1" applyNumberFormat="1">
      <alignment vertical="top"/>
    </xf>
    <xf numFmtId="9" fontId="31" fillId="0" borderId="0" xfId="44" applyFont="1" applyNumberFormat="1">
      <alignment vertical="top"/>
    </xf>
    <xf numFmtId="0" fontId="17" fillId="0" borderId="0" xfId="45" applyFont="1" applyNumberFormat="1">
      <alignment vertical="top"/>
    </xf>
    <xf numFmtId="0" fontId="18" fillId="0" borderId="9" xfId="46" applyFont="1" applyBorder="1" applyNumberFormat="1">
      <alignment vertical="top"/>
    </xf>
    <xf numFmtId="0" fontId="19" fillId="0" borderId="0" xfId="47" applyFont="1" applyNumberFormat="1">
      <alignment vertical="top"/>
    </xf>
    <xf numFmtId="0" fontId="20" fillId="0" borderId="0" xfId="0" applyFont="1" applyNumberFormat="1"/>
    <xf numFmtId="0" fontId="23" fillId="0" borderId="0" xfId="0" applyFont="1" applyNumberFormat="1">
      <alignment vertical="center"/>
    </xf>
    <xf numFmtId="0" fontId="24" fillId="0" borderId="0" xfId="55" applyFont="1" applyNumberFormat="1">
      <alignment vertical="top"/>
    </xf>
    <xf numFmtId="0" fontId="25" fillId="0" borderId="0" xfId="56" applyFont="1" applyNumberFormat="1">
      <alignment vertical="top"/>
    </xf>
    <xf numFmtId="0" fontId="26" fillId="0" borderId="0" xfId="57" applyFont="1" applyNumberFormat="1"/>
    <xf numFmtId="0" fontId="27" fillId="0" borderId="0" xfId="58" applyFont="1" applyNumberFormat="1">
      <alignment vertical="top"/>
    </xf>
    <xf numFmtId="0" fontId="28" fillId="0" borderId="0" xfId="60" applyFont="1" applyNumberFormat="1"/>
    <xf numFmtId="49" fontId="0" fillId="0" borderId="0" xfId="61" applyFont="1" applyNumberFormat="1">
      <alignment vertical="top"/>
    </xf>
    <xf numFmtId="0" fontId="29" fillId="0" borderId="0" xfId="0" applyFont="1" applyNumberFormat="1"/>
    <xf numFmtId="0" fontId="30" fillId="0" borderId="0" xfId="63" applyFont="1" applyNumberFormat="1">
      <alignment vertical="top"/>
    </xf>
    <xf numFmtId="49" fontId="0" fillId="0" borderId="0" xfId="0" applyFont="1" applyNumberFormat="1">
      <alignment vertical="top"/>
    </xf>
    <xf numFmtId="0" fontId="1" fillId="2" borderId="0" xfId="1" applyFont="1" applyFill="1" applyNumberFormat="1">
      <alignment vertical="top"/>
    </xf>
    <xf numFmtId="0" fontId="1" fillId="3" borderId="0" xfId="2" applyFont="1" applyFill="1" applyNumberFormat="1">
      <alignment vertical="top"/>
    </xf>
    <xf numFmtId="0" fontId="1" fillId="4" borderId="0" xfId="3" applyFont="1" applyFill="1" applyNumberFormat="1">
      <alignment vertical="top"/>
    </xf>
    <xf numFmtId="0" fontId="1" fillId="5" borderId="0" xfId="4" applyFont="1" applyFill="1" applyNumberFormat="1">
      <alignment vertical="top"/>
    </xf>
    <xf numFmtId="0" fontId="1" fillId="6" borderId="0" xfId="5" applyFont="1" applyFill="1" applyNumberFormat="1">
      <alignment vertical="top"/>
    </xf>
    <xf numFmtId="0" fontId="1" fillId="7" borderId="0" xfId="6" applyFont="1" applyFill="1" applyNumberFormat="1">
      <alignment vertical="top"/>
    </xf>
    <xf numFmtId="0" fontId="1" fillId="8" borderId="0" xfId="7" applyFont="1" applyFill="1" applyNumberFormat="1">
      <alignment vertical="top"/>
    </xf>
    <xf numFmtId="0" fontId="1" fillId="9" borderId="0" xfId="8" applyFont="1" applyFill="1" applyNumberFormat="1">
      <alignment vertical="top"/>
    </xf>
    <xf numFmtId="0" fontId="1" fillId="10" borderId="0" xfId="9" applyFont="1" applyFill="1" applyNumberFormat="1">
      <alignment vertical="top"/>
    </xf>
    <xf numFmtId="0" fontId="1" fillId="11" borderId="0" xfId="10" applyFont="1" applyFill="1" applyNumberFormat="1">
      <alignment vertical="top"/>
    </xf>
    <xf numFmtId="0" fontId="1" fillId="12" borderId="0" xfId="11" applyFont="1" applyFill="1" applyNumberFormat="1">
      <alignment vertical="top"/>
    </xf>
    <xf numFmtId="0" fontId="1" fillId="13" borderId="0" xfId="12" applyFont="1" applyFill="1" applyNumberFormat="1">
      <alignment vertical="top"/>
    </xf>
    <xf numFmtId="0" fontId="1" fillId="14" borderId="0" xfId="13" applyFont="1" applyFill="1" applyNumberFormat="1">
      <alignment vertical="top"/>
    </xf>
    <xf numFmtId="0" fontId="1" fillId="15" borderId="0" xfId="14" applyFont="1" applyFill="1" applyNumberFormat="1">
      <alignment vertical="top"/>
    </xf>
    <xf numFmtId="0" fontId="1" fillId="16" borderId="0" xfId="15" applyFont="1" applyFill="1" applyNumberFormat="1">
      <alignment vertical="top"/>
    </xf>
    <xf numFmtId="0" fontId="1" fillId="17" borderId="0" xfId="16" applyFont="1" applyFill="1" applyNumberFormat="1">
      <alignment vertical="top"/>
    </xf>
    <xf numFmtId="0" fontId="1" fillId="18" borderId="0" xfId="17" applyFont="1" applyFill="1" applyNumberFormat="1">
      <alignment vertical="top"/>
    </xf>
    <xf numFmtId="0" fontId="1" fillId="19" borderId="0" xfId="18" applyFont="1" applyFill="1" applyNumberFormat="1">
      <alignment vertical="top"/>
    </xf>
    <xf numFmtId="0" fontId="2" fillId="20" borderId="0" xfId="19" applyFont="1" applyFill="1" applyNumberFormat="1">
      <alignment vertical="top"/>
    </xf>
    <xf numFmtId="0" fontId="2" fillId="21" borderId="0" xfId="20" applyFont="1" applyFill="1" applyNumberFormat="1">
      <alignment vertical="top"/>
    </xf>
    <xf numFmtId="0" fontId="2" fillId="22" borderId="0" xfId="21" applyFont="1" applyFill="1" applyNumberFormat="1">
      <alignment vertical="top"/>
    </xf>
    <xf numFmtId="0" fontId="2" fillId="23" borderId="0" xfId="22" applyFont="1" applyFill="1" applyNumberFormat="1">
      <alignment vertical="top"/>
    </xf>
    <xf numFmtId="0" fontId="2" fillId="24" borderId="0" xfId="23" applyFont="1" applyFill="1" applyNumberFormat="1">
      <alignment vertical="top"/>
    </xf>
    <xf numFmtId="0" fontId="2" fillId="25" borderId="0" xfId="24" applyFont="1" applyFill="1" applyNumberFormat="1">
      <alignment vertical="top"/>
    </xf>
    <xf numFmtId="0" fontId="3" fillId="26" borderId="0" xfId="25" applyFont="1" applyFill="1" applyNumberFormat="1">
      <alignment vertical="top"/>
    </xf>
    <xf numFmtId="0" fontId="4" fillId="27" borderId="1" xfId="26" applyFont="1" applyFill="1" applyBorder="1" applyNumberFormat="1">
      <alignment vertical="top"/>
    </xf>
    <xf numFmtId="0" fontId="5" fillId="28" borderId="2" xfId="27" applyFont="1" applyFill="1" applyBorder="1" applyNumberFormat="1">
      <alignment vertical="top"/>
    </xf>
    <xf numFmtId="506" fontId="31" fillId="0" borderId="0" xfId="28" applyFont="1" applyNumberFormat="1">
      <alignment vertical="top"/>
    </xf>
    <xf numFmtId="507" fontId="31" fillId="0" borderId="0" xfId="29" applyFont="1" applyNumberFormat="1">
      <alignment vertical="top"/>
    </xf>
    <xf numFmtId="508" fontId="31" fillId="0" borderId="0" xfId="30" applyFont="1" applyNumberFormat="1">
      <alignment vertical="top"/>
    </xf>
    <xf numFmtId="509" fontId="31" fillId="0" borderId="0" xfId="31" applyFont="1" applyNumberFormat="1">
      <alignment vertical="top"/>
    </xf>
    <xf numFmtId="0" fontId="7" fillId="0" borderId="0" xfId="32" applyFont="1" applyNumberFormat="1">
      <alignment vertical="top"/>
    </xf>
    <xf numFmtId="0" fontId="8" fillId="29" borderId="0" xfId="33" applyFont="1" applyFill="1" applyNumberFormat="1">
      <alignment vertical="top"/>
    </xf>
    <xf numFmtId="0" fontId="9" fillId="0" borderId="3" xfId="34" applyFont="1" applyBorder="1" applyNumberFormat="1">
      <alignment vertical="top"/>
    </xf>
    <xf numFmtId="0" fontId="10" fillId="0" borderId="4" xfId="35" applyFont="1" applyBorder="1" applyNumberFormat="1">
      <alignment vertical="top"/>
    </xf>
    <xf numFmtId="0" fontId="11" fillId="0" borderId="5" xfId="36" applyFont="1" applyBorder="1" applyNumberFormat="1">
      <alignment vertical="top"/>
    </xf>
    <xf numFmtId="0" fontId="11" fillId="0" borderId="0" xfId="37" applyFont="1" applyNumberFormat="1">
      <alignment vertical="top"/>
    </xf>
    <xf numFmtId="0" fontId="12" fillId="30" borderId="1" xfId="38" applyFont="1" applyFill="1" applyBorder="1" applyNumberFormat="1">
      <alignment vertical="top"/>
    </xf>
    <xf numFmtId="0" fontId="13" fillId="0" borderId="6" xfId="39" applyFont="1" applyBorder="1" applyNumberFormat="1">
      <alignment vertical="top"/>
    </xf>
    <xf numFmtId="0" fontId="14" fillId="31" borderId="0" xfId="40" applyFont="1" applyFill="1" applyNumberFormat="1">
      <alignment vertical="top"/>
    </xf>
    <xf numFmtId="0" fontId="31" fillId="32" borderId="7" xfId="42" applyFont="1" applyFill="1" applyBorder="1" applyNumberFormat="1">
      <alignment vertical="top"/>
    </xf>
    <xf numFmtId="0" fontId="16" fillId="27" borderId="8" xfId="43" applyFont="1" applyFill="1" applyBorder="1" applyNumberFormat="1">
      <alignment vertical="top"/>
    </xf>
    <xf numFmtId="9" fontId="31" fillId="0" borderId="0" xfId="44" applyFont="1" applyNumberFormat="1">
      <alignment vertical="top"/>
    </xf>
    <xf numFmtId="0" fontId="17" fillId="0" borderId="0" xfId="45" applyFont="1" applyNumberFormat="1">
      <alignment vertical="top"/>
    </xf>
    <xf numFmtId="0" fontId="18" fillId="0" borderId="9" xfId="46" applyFont="1" applyBorder="1" applyNumberFormat="1">
      <alignment vertical="top"/>
    </xf>
    <xf numFmtId="0" fontId="19" fillId="0" borderId="0" xfId="47" applyFont="1" applyNumberFormat="1">
      <alignment vertical="top"/>
    </xf>
    <xf numFmtId="0" fontId="20" fillId="0" borderId="0" xfId="0" applyFont="1" applyNumberFormat="1"/>
    <xf numFmtId="0" fontId="23" fillId="0" borderId="0" xfId="0" applyFont="1" applyNumberFormat="1">
      <alignment vertical="center"/>
    </xf>
    <xf numFmtId="0" fontId="24" fillId="0" borderId="0" xfId="55" applyFont="1" applyNumberFormat="1">
      <alignment vertical="top"/>
    </xf>
    <xf numFmtId="0" fontId="25" fillId="0" borderId="0" xfId="56" applyFont="1" applyNumberFormat="1">
      <alignment vertical="top"/>
    </xf>
    <xf numFmtId="0" fontId="26" fillId="0" borderId="0" xfId="57" applyFont="1" applyNumberFormat="1"/>
    <xf numFmtId="0" fontId="27" fillId="0" borderId="0" xfId="58" applyFont="1" applyNumberFormat="1">
      <alignment vertical="top"/>
    </xf>
    <xf numFmtId="0" fontId="28" fillId="0" borderId="0" xfId="60" applyFont="1" applyNumberFormat="1"/>
    <xf numFmtId="49" fontId="0" fillId="0" borderId="0" xfId="61" applyFont="1" applyNumberFormat="1">
      <alignment vertical="top"/>
    </xf>
    <xf numFmtId="0" fontId="29" fillId="0" borderId="0" xfId="0" applyFont="1" applyNumberFormat="1"/>
    <xf numFmtId="0" fontId="30" fillId="0" borderId="0" xfId="63" applyFont="1" applyNumberFormat="1">
      <alignment vertical="top"/>
    </xf>
    <xf numFmtId="0" fontId="1" fillId="2" borderId="0" xfId="1" applyFont="1" applyFill="1" applyNumberFormat="1">
      <alignment vertical="top"/>
    </xf>
    <xf numFmtId="0" fontId="1" fillId="3" borderId="0" xfId="2" applyFont="1" applyFill="1" applyNumberFormat="1">
      <alignment vertical="top"/>
    </xf>
    <xf numFmtId="0" fontId="1" fillId="4" borderId="0" xfId="3" applyFont="1" applyFill="1" applyNumberFormat="1">
      <alignment vertical="top"/>
    </xf>
    <xf numFmtId="0" fontId="1" fillId="5" borderId="0" xfId="4" applyFont="1" applyFill="1" applyNumberFormat="1">
      <alignment vertical="top"/>
    </xf>
    <xf numFmtId="0" fontId="1" fillId="6" borderId="0" xfId="5" applyFont="1" applyFill="1" applyNumberFormat="1">
      <alignment vertical="top"/>
    </xf>
    <xf numFmtId="0" fontId="1" fillId="7" borderId="0" xfId="6" applyFont="1" applyFill="1" applyNumberFormat="1">
      <alignment vertical="top"/>
    </xf>
    <xf numFmtId="0" fontId="1" fillId="8" borderId="0" xfId="7" applyFont="1" applyFill="1" applyNumberFormat="1">
      <alignment vertical="top"/>
    </xf>
    <xf numFmtId="0" fontId="1" fillId="9" borderId="0" xfId="8" applyFont="1" applyFill="1" applyNumberFormat="1">
      <alignment vertical="top"/>
    </xf>
    <xf numFmtId="0" fontId="1" fillId="10" borderId="0" xfId="9" applyFont="1" applyFill="1" applyNumberFormat="1">
      <alignment vertical="top"/>
    </xf>
    <xf numFmtId="0" fontId="1" fillId="11" borderId="0" xfId="10" applyFont="1" applyFill="1" applyNumberFormat="1">
      <alignment vertical="top"/>
    </xf>
    <xf numFmtId="0" fontId="1" fillId="12" borderId="0" xfId="11" applyFont="1" applyFill="1" applyNumberFormat="1">
      <alignment vertical="top"/>
    </xf>
    <xf numFmtId="0" fontId="1" fillId="13" borderId="0" xfId="12" applyFont="1" applyFill="1" applyNumberFormat="1">
      <alignment vertical="top"/>
    </xf>
    <xf numFmtId="0" fontId="1" fillId="14" borderId="0" xfId="13" applyFont="1" applyFill="1" applyNumberFormat="1">
      <alignment vertical="top"/>
    </xf>
    <xf numFmtId="0" fontId="1" fillId="15" borderId="0" xfId="14" applyFont="1" applyFill="1" applyNumberFormat="1">
      <alignment vertical="top"/>
    </xf>
    <xf numFmtId="0" fontId="1" fillId="16" borderId="0" xfId="15" applyFont="1" applyFill="1" applyNumberFormat="1">
      <alignment vertical="top"/>
    </xf>
    <xf numFmtId="0" fontId="1" fillId="17" borderId="0" xfId="16" applyFont="1" applyFill="1" applyNumberFormat="1">
      <alignment vertical="top"/>
    </xf>
    <xf numFmtId="0" fontId="1" fillId="18" borderId="0" xfId="17" applyFont="1" applyFill="1" applyNumberFormat="1">
      <alignment vertical="top"/>
    </xf>
    <xf numFmtId="0" fontId="1" fillId="19" borderId="0" xfId="18" applyFont="1" applyFill="1" applyNumberFormat="1">
      <alignment vertical="top"/>
    </xf>
    <xf numFmtId="0" fontId="2" fillId="20" borderId="0" xfId="19" applyFont="1" applyFill="1" applyNumberFormat="1">
      <alignment vertical="top"/>
    </xf>
    <xf numFmtId="0" fontId="2" fillId="21" borderId="0" xfId="20" applyFont="1" applyFill="1" applyNumberFormat="1">
      <alignment vertical="top"/>
    </xf>
    <xf numFmtId="0" fontId="2" fillId="22" borderId="0" xfId="21" applyFont="1" applyFill="1" applyNumberFormat="1">
      <alignment vertical="top"/>
    </xf>
    <xf numFmtId="0" fontId="2" fillId="23" borderId="0" xfId="22" applyFont="1" applyFill="1" applyNumberFormat="1">
      <alignment vertical="top"/>
    </xf>
    <xf numFmtId="0" fontId="2" fillId="24" borderId="0" xfId="23" applyFont="1" applyFill="1" applyNumberFormat="1">
      <alignment vertical="top"/>
    </xf>
    <xf numFmtId="0" fontId="2" fillId="25" borderId="0" xfId="24" applyFont="1" applyFill="1" applyNumberFormat="1">
      <alignment vertical="top"/>
    </xf>
    <xf numFmtId="0" fontId="3" fillId="26" borderId="0" xfId="25" applyFont="1" applyFill="1" applyNumberFormat="1">
      <alignment vertical="top"/>
    </xf>
    <xf numFmtId="0" fontId="4" fillId="27" borderId="1" xfId="26" applyFont="1" applyFill="1" applyBorder="1" applyNumberFormat="1">
      <alignment vertical="top"/>
    </xf>
    <xf numFmtId="0" fontId="5" fillId="28" borderId="2" xfId="27" applyFont="1" applyFill="1" applyBorder="1" applyNumberFormat="1">
      <alignment vertical="top"/>
    </xf>
    <xf numFmtId="506" fontId="31" fillId="0" borderId="0" xfId="28" applyFont="1" applyNumberFormat="1">
      <alignment vertical="top"/>
    </xf>
    <xf numFmtId="507" fontId="31" fillId="0" borderId="0" xfId="29" applyFont="1" applyNumberFormat="1">
      <alignment vertical="top"/>
    </xf>
    <xf numFmtId="508" fontId="31" fillId="0" borderId="0" xfId="30" applyFont="1" applyNumberFormat="1">
      <alignment vertical="top"/>
    </xf>
    <xf numFmtId="509" fontId="31" fillId="0" borderId="0" xfId="31" applyFont="1" applyNumberFormat="1">
      <alignment vertical="top"/>
    </xf>
    <xf numFmtId="0" fontId="7" fillId="0" borderId="0" xfId="32" applyFont="1" applyNumberFormat="1">
      <alignment vertical="top"/>
    </xf>
    <xf numFmtId="0" fontId="8" fillId="29" borderId="0" xfId="33" applyFont="1" applyFill="1" applyNumberFormat="1">
      <alignment vertical="top"/>
    </xf>
    <xf numFmtId="0" fontId="9" fillId="0" borderId="3" xfId="34" applyFont="1" applyBorder="1" applyNumberFormat="1">
      <alignment vertical="top"/>
    </xf>
    <xf numFmtId="0" fontId="10" fillId="0" borderId="4" xfId="35" applyFont="1" applyBorder="1" applyNumberFormat="1">
      <alignment vertical="top"/>
    </xf>
    <xf numFmtId="0" fontId="11" fillId="0" borderId="5" xfId="36" applyFont="1" applyBorder="1" applyNumberFormat="1">
      <alignment vertical="top"/>
    </xf>
    <xf numFmtId="0" fontId="11" fillId="0" borderId="0" xfId="37" applyFont="1" applyNumberFormat="1">
      <alignment vertical="top"/>
    </xf>
    <xf numFmtId="0" fontId="12" fillId="30" borderId="1" xfId="38" applyFont="1" applyFill="1" applyBorder="1" applyNumberFormat="1">
      <alignment vertical="top"/>
    </xf>
    <xf numFmtId="0" fontId="13" fillId="0" borderId="6" xfId="39" applyFont="1" applyBorder="1" applyNumberFormat="1">
      <alignment vertical="top"/>
    </xf>
    <xf numFmtId="0" fontId="14" fillId="31" borderId="0" xfId="40" applyFont="1" applyFill="1" applyNumberFormat="1">
      <alignment vertical="top"/>
    </xf>
    <xf numFmtId="0" fontId="31" fillId="32" borderId="7" xfId="42" applyFont="1" applyFill="1" applyBorder="1" applyNumberFormat="1">
      <alignment vertical="top"/>
    </xf>
    <xf numFmtId="0" fontId="16" fillId="27" borderId="8" xfId="43" applyFont="1" applyFill="1" applyBorder="1" applyNumberFormat="1">
      <alignment vertical="top"/>
    </xf>
    <xf numFmtId="9" fontId="31" fillId="0" borderId="0" xfId="44" applyFont="1" applyNumberFormat="1">
      <alignment vertical="top"/>
    </xf>
    <xf numFmtId="0" fontId="17" fillId="0" borderId="0" xfId="45" applyFont="1" applyNumberFormat="1">
      <alignment vertical="top"/>
    </xf>
    <xf numFmtId="0" fontId="18" fillId="0" borderId="9" xfId="46" applyFont="1" applyBorder="1" applyNumberFormat="1">
      <alignment vertical="top"/>
    </xf>
    <xf numFmtId="0" fontId="19" fillId="0" borderId="0" xfId="47" applyFont="1" applyNumberFormat="1">
      <alignment vertical="top"/>
    </xf>
    <xf numFmtId="0" fontId="20" fillId="0" borderId="0" xfId="0" applyFont="1" applyNumberFormat="1"/>
    <xf numFmtId="0" fontId="23" fillId="0" borderId="0" xfId="0" applyFont="1" applyNumberFormat="1">
      <alignment vertical="center"/>
    </xf>
    <xf numFmtId="0" fontId="24" fillId="0" borderId="0" xfId="55" applyFont="1" applyNumberFormat="1">
      <alignment vertical="top"/>
    </xf>
    <xf numFmtId="0" fontId="25" fillId="0" borderId="0" xfId="56" applyFont="1" applyNumberFormat="1">
      <alignment vertical="top"/>
    </xf>
    <xf numFmtId="0" fontId="26" fillId="0" borderId="0" xfId="57" applyFont="1" applyNumberFormat="1"/>
    <xf numFmtId="0" fontId="27" fillId="0" borderId="0" xfId="58" applyFont="1" applyNumberFormat="1">
      <alignment vertical="top"/>
    </xf>
    <xf numFmtId="0" fontId="28" fillId="0" borderId="0" xfId="60" applyFont="1" applyNumberFormat="1"/>
    <xf numFmtId="49" fontId="0" fillId="0" borderId="0" xfId="61" applyFont="1" applyNumberFormat="1">
      <alignment vertical="top"/>
    </xf>
    <xf numFmtId="0" fontId="29" fillId="0" borderId="0" xfId="0" applyFont="1" applyNumberFormat="1"/>
    <xf numFmtId="0" fontId="30" fillId="0" borderId="0" xfId="63" applyFont="1" applyNumberFormat="1">
      <alignment vertical="top"/>
    </xf>
    <xf numFmtId="0" fontId="22" fillId="0" borderId="0" xfId="0" applyFont="1" applyNumberFormat="1">
      <alignment vertical="top" wrapText="1"/>
    </xf>
    <xf numFmtId="49" fontId="0" fillId="0" borderId="0" xfId="0" applyFont="1" applyNumberFormat="1">
      <alignment vertical="top"/>
    </xf>
    <xf numFmtId="49" fontId="22" fillId="34" borderId="10" xfId="0" applyFont="1" applyFill="1" applyBorder="1" applyNumberFormat="1">
      <alignment horizontal="center" vertical="top"/>
    </xf>
    <xf numFmtId="49" fontId="0" fillId="0" borderId="0" xfId="0" applyFont="1" applyNumberFormat="1">
      <alignment vertical="top"/>
    </xf>
    <xf numFmtId="0" fontId="22" fillId="0" borderId="0" xfId="0" applyFont="1" applyNumberFormat="1"/>
    <xf numFmtId="0" fontId="22" fillId="35" borderId="0" xfId="0" applyFont="1" applyFill="1" applyNumberFormat="1"/>
    <xf numFmtId="0" fontId="32" fillId="0" borderId="0" xfId="0" applyFont="1" applyNumberFormat="1">
      <alignment vertical="center" wrapText="1"/>
    </xf>
    <xf numFmtId="0" fontId="33" fillId="0" borderId="0" xfId="0" applyFont="1" applyNumberFormat="1">
      <alignment vertical="center" wrapText="1"/>
    </xf>
    <xf numFmtId="0" fontId="22" fillId="35" borderId="0" xfId="0" applyFont="1" applyFill="1" applyNumberFormat="1">
      <alignment vertical="center" wrapText="1"/>
    </xf>
    <xf numFmtId="0" fontId="22" fillId="0" borderId="0" xfId="0" applyFont="1" applyNumberFormat="1">
      <alignment vertical="center" wrapText="1"/>
    </xf>
    <xf numFmtId="0" fontId="34" fillId="35" borderId="0" xfId="0" applyFont="1" applyFill="1" applyNumberFormat="1">
      <alignment vertical="center" wrapText="1"/>
    </xf>
    <xf numFmtId="0" fontId="22" fillId="35" borderId="0" xfId="0" applyFont="1" applyFill="1" applyNumberFormat="1">
      <alignment horizontal="right" vertical="center" wrapText="1" indent="1"/>
    </xf>
    <xf numFmtId="0" fontId="22" fillId="35" borderId="0" xfId="0" applyFont="1" applyFill="1" applyNumberFormat="1">
      <alignment horizontal="center" vertical="center" wrapText="1"/>
    </xf>
    <xf numFmtId="0" fontId="33" fillId="0" borderId="0" xfId="0" applyFont="1" applyNumberFormat="1">
      <alignment horizontal="center" vertical="center" wrapText="1"/>
    </xf>
    <xf numFmtId="0" fontId="35" fillId="35" borderId="0" xfId="0" applyFont="1" applyFill="1" applyNumberFormat="1">
      <alignment horizontal="center" vertical="center" wrapText="1"/>
    </xf>
    <xf numFmtId="0" fontId="22" fillId="0" borderId="0" xfId="0" applyFont="1" applyNumberFormat="1">
      <alignment vertical="center"/>
    </xf>
    <xf numFmtId="49" fontId="22" fillId="35" borderId="0" xfId="0" applyFont="1" applyFill="1" applyNumberFormat="1">
      <alignment horizontal="right" vertical="center" wrapText="1" indent="1"/>
    </xf>
    <xf numFmtId="49" fontId="34" fillId="35" borderId="0" xfId="0" applyFont="1" applyFill="1" applyNumberFormat="1">
      <alignment horizontal="center" vertical="center" wrapText="1"/>
    </xf>
    <xf numFmtId="0" fontId="22" fillId="0" borderId="0" xfId="0" applyFont="1" applyNumberFormat="1">
      <alignment vertical="center" wrapText="1"/>
    </xf>
    <xf numFmtId="0" fontId="22" fillId="35" borderId="0" xfId="0" applyFont="1" applyFill="1" applyNumberFormat="1">
      <alignment vertical="center" wrapText="1"/>
    </xf>
    <xf numFmtId="0" fontId="22" fillId="35" borderId="0" xfId="0" applyFont="1" applyFill="1" applyNumberFormat="1">
      <alignment horizontal="right" vertical="center" wrapText="1"/>
    </xf>
    <xf numFmtId="49" fontId="0" fillId="35" borderId="0" xfId="0" applyFont="1" applyFill="1" applyNumberFormat="1">
      <alignment horizontal="right" vertical="center" wrapText="1" indent="1"/>
    </xf>
    <xf numFmtId="49" fontId="36" fillId="35" borderId="0" xfId="0" applyFont="1" applyFill="1" applyNumberFormat="1">
      <alignment horizontal="center" vertical="center" wrapText="1"/>
    </xf>
    <xf numFmtId="49" fontId="0" fillId="0" borderId="0" xfId="0" applyFont="1" applyNumberFormat="1">
      <alignment vertical="top"/>
    </xf>
    <xf numFmtId="49" fontId="0" fillId="0" borderId="0" xfId="0" applyFont="1" applyNumberFormat="1">
      <alignment vertical="top"/>
    </xf>
    <xf numFmtId="0" fontId="37" fillId="35" borderId="0" xfId="0" applyFont="1" applyFill="1" applyNumberFormat="1">
      <alignment horizontal="center" vertical="center" wrapText="1"/>
    </xf>
    <xf numFmtId="0" fontId="37" fillId="0" borderId="0" xfId="0" applyFont="1" applyNumberFormat="1">
      <alignment horizontal="center" vertical="center"/>
    </xf>
    <xf numFmtId="0" fontId="37" fillId="35" borderId="0" xfId="0" applyFont="1" applyFill="1" applyNumberFormat="1">
      <alignment horizontal="center" vertical="center"/>
    </xf>
    <xf numFmtId="49" fontId="38" fillId="0" borderId="11" xfId="0" applyFont="1" applyBorder="1" applyNumberFormat="1">
      <alignment vertical="top" wrapText="1"/>
    </xf>
    <xf numFmtId="0" fontId="0" fillId="0" borderId="11" xfId="0" applyFont="1" applyBorder="1" applyNumberFormat="1">
      <alignment vertical="top" wrapText="1"/>
    </xf>
    <xf numFmtId="0" fontId="22" fillId="35" borderId="0" xfId="0" applyFont="1" applyFill="1" applyNumberFormat="1">
      <alignment horizontal="center" vertical="center" wrapText="1"/>
    </xf>
    <xf numFmtId="0" fontId="39" fillId="35" borderId="0" xfId="0" applyFont="1" applyFill="1" applyNumberFormat="1">
      <alignment vertical="center" wrapText="1"/>
    </xf>
    <xf numFmtId="0" fontId="39" fillId="0" borderId="0" xfId="0" applyFont="1" applyNumberFormat="1">
      <alignment vertical="center" wrapText="1"/>
    </xf>
    <xf numFmtId="0" fontId="32" fillId="0" borderId="0" xfId="0" applyFont="1" applyNumberFormat="1">
      <alignment horizontal="left" vertical="center" wrapText="1"/>
    </xf>
    <xf numFmtId="49" fontId="32" fillId="0" borderId="0" xfId="0" applyFont="1" applyNumberFormat="1">
      <alignment horizontal="left" vertical="center" wrapText="1"/>
    </xf>
    <xf numFmtId="0" fontId="0" fillId="0" borderId="0" xfId="0" applyFont="1" applyNumberFormat="1">
      <alignment vertical="top"/>
    </xf>
    <xf numFmtId="49" fontId="22" fillId="0" borderId="0" xfId="0" applyFont="1" applyNumberFormat="1">
      <alignment vertical="center" wrapText="1"/>
    </xf>
    <xf numFmtId="49" fontId="22" fillId="0" borderId="0" xfId="0" applyFont="1" applyNumberFormat="1">
      <alignment vertical="top"/>
    </xf>
    <xf numFmtId="0" fontId="22" fillId="0" borderId="0" xfId="0" applyFont="1" applyNumberFormat="1">
      <alignment vertical="center" wrapText="1"/>
    </xf>
    <xf numFmtId="0" fontId="0" fillId="0" borderId="0" xfId="0" applyFont="1" applyNumberFormat="1">
      <alignment vertical="center"/>
    </xf>
    <xf numFmtId="0" fontId="22" fillId="35" borderId="12" xfId="0" applyFont="1" applyFill="1" applyBorder="1" applyNumberFormat="1">
      <alignment horizontal="center" vertical="center" wrapText="1"/>
    </xf>
    <xf numFmtId="49" fontId="22" fillId="36" borderId="12" xfId="0" applyFont="1" applyFill="1" applyBorder="1" applyNumberFormat="1">
      <alignment horizontal="left" vertical="center" wrapText="1"/>
      <protection locked="0"/>
    </xf>
    <xf numFmtId="49" fontId="40" fillId="37" borderId="13" xfId="0" applyFont="1" applyFill="1" applyBorder="1" applyNumberFormat="1">
      <alignment horizontal="left" vertical="center"/>
    </xf>
    <xf numFmtId="0" fontId="0" fillId="0" borderId="12" xfId="0" applyFont="1" applyBorder="1" applyNumberFormat="1">
      <alignment horizontal="center" vertical="center" wrapText="1"/>
    </xf>
    <xf numFmtId="0" fontId="22" fillId="37" borderId="14" xfId="0" applyFont="1" applyFill="1" applyBorder="1" applyNumberFormat="1">
      <alignment vertical="center" wrapText="1"/>
    </xf>
    <xf numFmtId="0" fontId="22" fillId="0" borderId="12" xfId="0" applyFont="1" applyBorder="1" applyNumberFormat="1">
      <alignment horizontal="center" vertical="center" wrapText="1"/>
    </xf>
    <xf numFmtId="0" fontId="41" fillId="0" borderId="0" xfId="0" applyFont="1" applyNumberFormat="1">
      <alignment vertical="center"/>
    </xf>
    <xf numFmtId="49" fontId="22" fillId="0" borderId="12" xfId="0" applyFont="1" applyBorder="1" applyNumberFormat="1">
      <alignment horizontal="center" vertical="center" wrapText="1"/>
    </xf>
    <xf numFmtId="0" fontId="22" fillId="35" borderId="12" xfId="0" applyFont="1" applyFill="1" applyBorder="1" applyNumberFormat="1">
      <alignment horizontal="center" vertical="center"/>
    </xf>
    <xf numFmtId="49" fontId="22" fillId="36" borderId="12" xfId="0" applyFont="1" applyFill="1" applyBorder="1" applyNumberFormat="1">
      <alignment horizontal="left" vertical="center" wrapText="1"/>
      <protection locked="0"/>
    </xf>
    <xf numFmtId="0" fontId="32" fillId="0" borderId="0" xfId="0" applyFont="1" applyNumberFormat="1">
      <alignment vertical="center" wrapText="1"/>
    </xf>
    <xf numFmtId="0" fontId="42" fillId="0" borderId="0" xfId="0" applyFont="1" applyNumberFormat="1">
      <alignment vertical="center" wrapText="1"/>
    </xf>
    <xf numFmtId="49" fontId="22" fillId="0" borderId="0" xfId="0" applyFont="1" applyNumberFormat="1">
      <alignment vertical="top"/>
    </xf>
    <xf numFmtId="49" fontId="32" fillId="0" borderId="0" xfId="0" applyFont="1" applyNumberFormat="1">
      <alignment vertical="top"/>
    </xf>
    <xf numFmtId="49" fontId="22" fillId="0" borderId="0" xfId="0" applyFont="1" applyNumberFormat="1">
      <alignment vertical="top"/>
    </xf>
    <xf numFmtId="49" fontId="37" fillId="0" borderId="0" xfId="0" applyFont="1" applyNumberFormat="1">
      <alignment horizontal="center" vertical="center"/>
    </xf>
    <xf numFmtId="49" fontId="22" fillId="0" borderId="0" xfId="0" applyFont="1" applyNumberFormat="1">
      <alignment vertical="top"/>
    </xf>
    <xf numFmtId="0" fontId="22" fillId="35" borderId="0" xfId="0" applyFont="1" applyFill="1" applyNumberFormat="1"/>
    <xf numFmtId="0" fontId="43" fillId="35" borderId="0" xfId="0" applyFont="1" applyFill="1" applyNumberFormat="1">
      <alignment horizontal="center" vertical="center" wrapText="1"/>
    </xf>
    <xf numFmtId="0" fontId="32" fillId="35" borderId="0" xfId="0" applyFont="1" applyFill="1" applyNumberFormat="1"/>
    <xf numFmtId="49" fontId="22" fillId="0" borderId="0" xfId="0" applyFont="1" applyNumberFormat="1">
      <alignment vertical="top"/>
    </xf>
    <xf numFmtId="49" fontId="37" fillId="0" borderId="0" xfId="0" applyFont="1" applyNumberFormat="1">
      <alignment horizontal="center" vertical="center" wrapText="1"/>
    </xf>
    <xf numFmtId="0" fontId="22" fillId="35"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49" fontId="44" fillId="37" borderId="15" xfId="0" applyFont="1" applyFill="1" applyBorder="1" applyNumberFormat="1">
      <alignment horizontal="center" vertical="top"/>
    </xf>
    <xf numFmtId="49" fontId="40" fillId="37" borderId="15" xfId="0" applyFont="1" applyFill="1" applyBorder="1" applyNumberFormat="1">
      <alignment horizontal="left" vertical="center"/>
    </xf>
    <xf numFmtId="49" fontId="22" fillId="0" borderId="0" xfId="0" applyFont="1" applyNumberFormat="1">
      <alignment horizontal="center" vertical="top"/>
    </xf>
    <xf numFmtId="0" fontId="41" fillId="0" borderId="0" xfId="0" applyFont="1" applyNumberFormat="1">
      <alignment vertical="center"/>
    </xf>
    <xf numFmtId="0" fontId="0" fillId="0" borderId="0" xfId="0" applyFont="1" applyNumberFormat="1">
      <alignment horizontal="center" vertical="center" wrapText="1"/>
    </xf>
    <xf numFmtId="49" fontId="22" fillId="0" borderId="0" xfId="0" applyFont="1" applyNumberFormat="1">
      <alignment horizontal="center" vertical="center" wrapText="1"/>
    </xf>
    <xf numFmtId="49" fontId="22" fillId="0" borderId="0" xfId="0" applyFont="1" applyNumberFormat="1">
      <alignment vertical="center" wrapText="1"/>
    </xf>
    <xf numFmtId="0" fontId="37" fillId="35" borderId="0" xfId="0" applyFont="1" applyFill="1" applyNumberFormat="1">
      <alignment horizontal="center" vertical="center" wrapText="1"/>
    </xf>
    <xf numFmtId="49" fontId="45" fillId="0" borderId="0" xfId="0" applyFont="1" applyNumberFormat="1">
      <alignment horizontal="right" vertical="top"/>
    </xf>
    <xf numFmtId="49" fontId="45" fillId="0" borderId="0" xfId="0" applyFont="1" applyNumberFormat="1">
      <alignment vertical="top"/>
    </xf>
    <xf numFmtId="0" fontId="22" fillId="0" borderId="0" xfId="0" applyFont="1" applyNumberFormat="1">
      <alignment horizontal="center" vertical="center" wrapText="1"/>
    </xf>
    <xf numFmtId="49" fontId="22" fillId="0" borderId="0" xfId="0" applyFont="1" applyNumberFormat="1">
      <alignment vertical="top"/>
    </xf>
    <xf numFmtId="0" fontId="0" fillId="0" borderId="0" xfId="0" applyFont="1" applyNumberFormat="1">
      <alignment vertical="center"/>
    </xf>
    <xf numFmtId="0" fontId="46" fillId="0" borderId="0" xfId="0" applyFont="1" applyNumberFormat="1">
      <alignment vertical="center" wrapText="1"/>
    </xf>
    <xf numFmtId="49" fontId="22" fillId="0" borderId="16" xfId="0" applyFont="1" applyBorder="1" applyNumberFormat="1">
      <alignment vertical="top"/>
    </xf>
    <xf numFmtId="0" fontId="29" fillId="0" borderId="0" xfId="0" applyFont="1" applyNumberFormat="1"/>
    <xf numFmtId="49" fontId="47" fillId="0" borderId="0" xfId="0" applyFont="1" applyNumberFormat="1">
      <alignment vertical="top"/>
    </xf>
    <xf numFmtId="0" fontId="47" fillId="0" borderId="0" xfId="0" applyFont="1" applyNumberFormat="1">
      <alignment vertical="center" wrapText="1"/>
    </xf>
    <xf numFmtId="49" fontId="0" fillId="35" borderId="12" xfId="0" applyFont="1" applyFill="1" applyBorder="1" applyNumberFormat="1">
      <alignment horizontal="center" vertical="center" wrapText="1"/>
    </xf>
    <xf numFmtId="0" fontId="32" fillId="0" borderId="0" xfId="0" applyFont="1" applyNumberFormat="1">
      <alignment horizontal="left" vertical="center" wrapText="1"/>
    </xf>
    <xf numFmtId="49" fontId="22" fillId="0" borderId="12" xfId="0" applyFont="1" applyBorder="1" applyNumberFormat="1">
      <alignment horizontal="left" vertical="center" wrapText="1"/>
    </xf>
    <xf numFmtId="0" fontId="22" fillId="35" borderId="17" xfId="0" applyFont="1" applyFill="1" applyBorder="1" applyNumberFormat="1">
      <alignment horizontal="center" vertical="center"/>
    </xf>
    <xf numFmtId="0" fontId="22" fillId="0" borderId="12" xfId="0" applyFont="1" applyBorder="1" applyNumberFormat="1">
      <alignment vertical="center" wrapText="1"/>
    </xf>
    <xf numFmtId="0" fontId="48" fillId="0" borderId="0" xfId="0" applyFont="1" applyNumberFormat="1">
      <alignment vertical="center" wrapText="1"/>
    </xf>
    <xf numFmtId="0" fontId="48" fillId="0" borderId="0" xfId="0" applyFont="1" applyNumberFormat="1">
      <alignment vertical="center"/>
    </xf>
    <xf numFmtId="0" fontId="49" fillId="0" borderId="0" xfId="0" applyFont="1" applyNumberFormat="1">
      <alignment vertical="center"/>
    </xf>
    <xf numFmtId="0" fontId="48" fillId="0" borderId="0" xfId="0" applyFont="1" applyNumberFormat="1">
      <alignment vertical="center"/>
    </xf>
    <xf numFmtId="0" fontId="48" fillId="0" borderId="0" xfId="0" applyFont="1" applyNumberFormat="1">
      <alignment vertical="center"/>
    </xf>
    <xf numFmtId="0" fontId="0" fillId="0" borderId="0" xfId="0" applyFont="1" applyNumberFormat="1">
      <alignment vertical="top" wrapText="1"/>
    </xf>
    <xf numFmtId="49" fontId="22" fillId="0" borderId="12" xfId="0" applyFont="1" applyBorder="1" applyNumberFormat="1">
      <alignment horizontal="center" vertical="center" wrapText="1"/>
    </xf>
    <xf numFmtId="0" fontId="46" fillId="0" borderId="18" xfId="0" applyFont="1" applyBorder="1" applyNumberFormat="1">
      <alignment vertical="top" wrapText="1"/>
    </xf>
    <xf numFmtId="49" fontId="0" fillId="0" borderId="12" xfId="0" applyFont="1" applyBorder="1" applyNumberFormat="1">
      <alignment vertical="top" wrapText="1"/>
    </xf>
    <xf numFmtId="0" fontId="0" fillId="0" borderId="12" xfId="0" applyFont="1" applyBorder="1" applyNumberFormat="1">
      <alignment vertical="top" wrapText="1"/>
    </xf>
    <xf numFmtId="0" fontId="1" fillId="0" borderId="0" xfId="0" applyFont="1" applyNumberFormat="1"/>
    <xf numFmtId="0" fontId="0" fillId="0" borderId="0" xfId="0" applyFont="1" applyNumberFormat="1"/>
    <xf numFmtId="0" fontId="37" fillId="0" borderId="0" xfId="0" applyFont="1" applyNumberFormat="1">
      <alignment horizontal="center" vertical="center" wrapText="1"/>
    </xf>
    <xf numFmtId="0" fontId="37" fillId="0" borderId="0" xfId="0" applyFont="1" applyNumberFormat="1">
      <alignment horizontal="center" vertical="center" wrapText="1"/>
    </xf>
    <xf numFmtId="0" fontId="22" fillId="0" borderId="0" xfId="0" applyFont="1" applyNumberFormat="1">
      <alignment horizontal="right" vertical="center" wrapText="1"/>
    </xf>
    <xf numFmtId="4" fontId="22" fillId="0" borderId="0" xfId="0" applyFont="1" applyNumberFormat="1">
      <alignment horizontal="right" vertical="center" wrapText="1"/>
    </xf>
    <xf numFmtId="0" fontId="22" fillId="0" borderId="0" xfId="0" applyFont="1" applyNumberFormat="1">
      <alignment horizontal="left" vertical="center" wrapText="1" indent="1"/>
    </xf>
    <xf numFmtId="49" fontId="22" fillId="0" borderId="0" xfId="0" applyFont="1" applyNumberFormat="1">
      <alignment vertical="top"/>
    </xf>
    <xf numFmtId="4" fontId="22" fillId="0" borderId="0" xfId="0" applyFont="1" applyNumberFormat="1">
      <alignment horizontal="center" vertical="center" wrapText="1"/>
    </xf>
    <xf numFmtId="0" fontId="47" fillId="0" borderId="0" xfId="0" applyFont="1" applyNumberFormat="1">
      <alignment vertical="center"/>
    </xf>
    <xf numFmtId="501" fontId="22" fillId="0" borderId="12" xfId="0" applyFont="1" applyBorder="1" applyNumberFormat="1">
      <alignment horizontal="center" vertical="center" wrapText="1"/>
    </xf>
    <xf numFmtId="49" fontId="47" fillId="37" borderId="19" xfId="0" applyFont="1" applyFill="1" applyBorder="1" applyNumberFormat="1">
      <alignment horizontal="left" vertical="center" wrapText="1"/>
    </xf>
    <xf numFmtId="49" fontId="0" fillId="37" borderId="15" xfId="0" applyFont="1" applyFill="1" applyBorder="1" applyNumberFormat="1">
      <alignment horizontal="left" vertical="center"/>
    </xf>
    <xf numFmtId="49" fontId="47" fillId="37" borderId="20" xfId="0" applyFont="1" applyFill="1" applyBorder="1" applyNumberFormat="1">
      <alignment horizontal="left" vertical="center" wrapText="1"/>
    </xf>
    <xf numFmtId="0" fontId="36" fillId="0" borderId="0" xfId="0" applyFont="1" applyNumberFormat="1">
      <alignment horizontal="center" vertical="center" wrapText="1"/>
    </xf>
    <xf numFmtId="49" fontId="50" fillId="37" borderId="15"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22" fillId="37" borderId="13" xfId="0" applyFont="1" applyFill="1" applyBorder="1" applyNumberFormat="1">
      <alignment horizontal="right" vertical="center" wrapText="1"/>
    </xf>
    <xf numFmtId="0" fontId="22" fillId="0" borderId="21" xfId="0" applyFont="1" applyBorder="1" applyNumberFormat="1">
      <alignment vertical="center" wrapText="1"/>
    </xf>
    <xf numFmtId="0" fontId="45" fillId="0" borderId="0" xfId="0" applyFont="1" applyNumberFormat="1">
      <alignment vertical="center" wrapText="1"/>
    </xf>
    <xf numFmtId="0" fontId="51" fillId="0" borderId="0" xfId="0" applyFont="1" applyNumberFormat="1">
      <alignment horizontal="center" vertical="center" wrapText="1"/>
    </xf>
    <xf numFmtId="49" fontId="0" fillId="35" borderId="0" xfId="0" applyFont="1" applyFill="1" applyNumberFormat="1">
      <alignment vertical="top"/>
    </xf>
    <xf numFmtId="49" fontId="52" fillId="38" borderId="0" xfId="0" applyFont="1" applyFill="1" applyNumberFormat="1">
      <alignment vertical="top"/>
    </xf>
    <xf numFmtId="49" fontId="52" fillId="0" borderId="0" xfId="0" applyFont="1" applyNumberFormat="1">
      <alignment vertical="top"/>
    </xf>
    <xf numFmtId="0" fontId="47" fillId="0" borderId="0" xfId="0" applyFont="1" applyNumberFormat="1">
      <alignment vertical="center"/>
    </xf>
    <xf numFmtId="49" fontId="0" fillId="37" borderId="15" xfId="0" applyFont="1" applyFill="1" applyBorder="1" applyNumberFormat="1">
      <alignment horizontal="right" vertical="center" wrapText="1"/>
    </xf>
    <xf numFmtId="49" fontId="0" fillId="0" borderId="0" xfId="0" applyFont="1" applyNumberFormat="1">
      <alignment vertical="top"/>
    </xf>
    <xf numFmtId="0" fontId="50" fillId="0" borderId="11" xfId="0" applyFont="1" applyBorder="1" applyNumberFormat="1">
      <alignment vertical="center" wrapText="1"/>
    </xf>
    <xf numFmtId="0" fontId="46" fillId="0" borderId="0" xfId="0" applyFont="1" applyNumberFormat="1">
      <alignment vertical="top" wrapText="1"/>
    </xf>
    <xf numFmtId="0" fontId="22" fillId="0" borderId="11" xfId="0" applyFont="1" applyBorder="1" applyNumberFormat="1">
      <alignment vertical="center" wrapText="1"/>
    </xf>
    <xf numFmtId="49" fontId="22" fillId="0" borderId="0" xfId="0" applyFont="1" applyNumberFormat="1">
      <alignment vertical="top"/>
    </xf>
    <xf numFmtId="0" fontId="22" fillId="35" borderId="0" xfId="0" applyFont="1" applyFill="1" applyNumberFormat="1">
      <alignment horizontal="right" vertical="center"/>
    </xf>
    <xf numFmtId="0" fontId="0" fillId="0" borderId="12" xfId="0" applyFont="1" applyBorder="1" applyNumberFormat="1">
      <alignment horizontal="left" vertical="center" wrapText="1" indent="1"/>
    </xf>
    <xf numFmtId="0" fontId="0" fillId="39" borderId="12" xfId="0" applyFont="1" applyFill="1" applyBorder="1" applyNumberFormat="1">
      <alignment horizontal="left" vertical="center" wrapText="1" indent="2"/>
      <protection locked="0"/>
    </xf>
    <xf numFmtId="49" fontId="48" fillId="0" borderId="0" xfId="0" applyFont="1" applyNumberFormat="1">
      <alignment vertical="top"/>
    </xf>
    <xf numFmtId="0" fontId="0" fillId="0" borderId="12" xfId="0" applyFont="1" applyBorder="1" applyNumberFormat="1">
      <alignment vertical="center" wrapText="1"/>
    </xf>
    <xf numFmtId="0" fontId="0" fillId="0" borderId="12" xfId="0" applyFont="1" applyBorder="1" applyNumberFormat="1">
      <alignment horizontal="center" vertical="center" wrapText="1"/>
    </xf>
    <xf numFmtId="0" fontId="0" fillId="39" borderId="12" xfId="0" applyFont="1" applyFill="1" applyBorder="1" applyNumberFormat="1">
      <alignment horizontal="left" vertical="center" wrapText="1" indent="1"/>
      <protection locked="0"/>
    </xf>
    <xf numFmtId="49" fontId="40" fillId="37" borderId="15" xfId="0" applyFont="1" applyFill="1" applyBorder="1" applyNumberFormat="1">
      <alignment horizontal="left" vertical="center" indent="3"/>
    </xf>
    <xf numFmtId="49" fontId="44" fillId="37" borderId="13" xfId="0" applyFont="1" applyFill="1" applyBorder="1" applyNumberFormat="1">
      <alignment horizontal="center" vertical="top"/>
    </xf>
    <xf numFmtId="0" fontId="46" fillId="0" borderId="0" xfId="0" applyFont="1" applyNumberFormat="1">
      <alignment horizontal="right" vertical="top" wrapText="1"/>
    </xf>
    <xf numFmtId="49" fontId="40" fillId="37" borderId="15" xfId="0" applyFont="1" applyFill="1" applyBorder="1" applyNumberFormat="1">
      <alignment horizontal="left" vertical="center" indent="1"/>
    </xf>
    <xf numFmtId="49" fontId="40" fillId="37" borderId="15" xfId="0" applyFont="1" applyFill="1" applyBorder="1" applyNumberFormat="1">
      <alignment horizontal="left" vertical="center" indent="2"/>
    </xf>
    <xf numFmtId="0" fontId="0" fillId="0" borderId="12" xfId="0" applyFont="1" applyBorder="1" applyNumberFormat="1">
      <alignment horizontal="left" vertical="center" wrapText="1" indent="1"/>
    </xf>
    <xf numFmtId="0" fontId="0" fillId="0" borderId="12" xfId="0" applyFont="1" applyBorder="1" applyNumberFormat="1">
      <alignment horizontal="left" vertical="center" wrapText="1" indent="2"/>
    </xf>
    <xf numFmtId="49" fontId="22" fillId="40" borderId="12" xfId="0" applyFont="1" applyFill="1" applyBorder="1" applyNumberFormat="1">
      <alignment horizontal="left" vertical="center" wrapText="1"/>
    </xf>
    <xf numFmtId="0" fontId="22" fillId="0" borderId="12" xfId="0" applyFont="1" applyBorder="1" applyNumberFormat="1">
      <alignment vertical="top" wrapText="1"/>
    </xf>
    <xf numFmtId="0" fontId="37" fillId="0" borderId="0" xfId="0" applyFont="1" applyNumberFormat="1">
      <alignment horizontal="center" vertical="center" wrapText="1"/>
    </xf>
    <xf numFmtId="49" fontId="0" fillId="0" borderId="17" xfId="0" applyFont="1" applyBorder="1" applyNumberFormat="1">
      <alignment vertical="top"/>
    </xf>
    <xf numFmtId="0" fontId="48" fillId="0" borderId="0" xfId="0" applyFont="1" applyNumberFormat="1">
      <alignment vertical="center"/>
    </xf>
    <xf numFmtId="0" fontId="31" fillId="0" borderId="0" xfId="0" applyFont="1" applyNumberFormat="1">
      <alignment vertical="center"/>
    </xf>
    <xf numFmtId="49" fontId="53" fillId="39" borderId="12" xfId="0" applyFont="1" applyFill="1" applyBorder="1" applyNumberFormat="1">
      <alignment horizontal="left" vertical="center" wrapText="1"/>
      <protection locked="0"/>
    </xf>
    <xf numFmtId="49" fontId="44" fillId="37" borderId="13" xfId="0" applyFont="1" applyFill="1" applyBorder="1" applyNumberFormat="1">
      <alignment horizontal="center" vertical="top"/>
    </xf>
    <xf numFmtId="0" fontId="0" fillId="34" borderId="12" xfId="0" applyFont="1" applyFill="1" applyBorder="1" applyNumberFormat="1">
      <alignment horizontal="left" vertical="center" wrapText="1" indent="1"/>
    </xf>
    <xf numFmtId="49" fontId="22" fillId="39" borderId="12" xfId="0" applyFont="1" applyFill="1" applyBorder="1" applyNumberFormat="1">
      <alignment horizontal="left" vertical="center" wrapText="1" indent="1"/>
      <protection locked="0"/>
    </xf>
    <xf numFmtId="49" fontId="22" fillId="34" borderId="12" xfId="0" applyFont="1" applyFill="1" applyBorder="1" applyNumberFormat="1">
      <alignment horizontal="left" vertical="center" wrapText="1" indent="1"/>
    </xf>
    <xf numFmtId="49" fontId="22" fillId="0" borderId="12" xfId="0" applyFont="1" applyBorder="1" applyNumberFormat="1">
      <alignment horizontal="left" vertical="center" wrapText="1" indent="1"/>
    </xf>
    <xf numFmtId="0" fontId="22" fillId="0" borderId="12" xfId="0" applyFont="1" applyBorder="1" applyNumberFormat="1">
      <alignment horizontal="center" vertical="center" wrapText="1"/>
    </xf>
    <xf numFmtId="0" fontId="46" fillId="0" borderId="0" xfId="0" applyFont="1" applyNumberFormat="1">
      <alignment vertical="center" wrapText="1"/>
    </xf>
    <xf numFmtId="0" fontId="48" fillId="0" borderId="0" xfId="0" applyFont="1" applyNumberFormat="1">
      <alignment horizontal="center" vertical="center" wrapText="1"/>
    </xf>
    <xf numFmtId="0" fontId="0" fillId="0" borderId="12" xfId="0" applyFont="1" applyBorder="1" applyNumberFormat="1">
      <alignment horizontal="left" vertical="center" wrapText="1"/>
    </xf>
    <xf numFmtId="49" fontId="36" fillId="0" borderId="15" xfId="0" applyFont="1" applyBorder="1" applyNumberFormat="1">
      <alignment horizontal="center" vertical="center" wrapText="1"/>
    </xf>
    <xf numFmtId="0" fontId="54" fillId="0" borderId="0" xfId="0" applyFont="1" applyNumberFormat="1">
      <alignment vertical="center"/>
    </xf>
    <xf numFmtId="0" fontId="55" fillId="0" borderId="0" xfId="0" applyFont="1" applyNumberFormat="1">
      <alignment vertical="center"/>
    </xf>
    <xf numFmtId="0" fontId="48" fillId="0" borderId="0" xfId="0" applyFont="1" applyNumberFormat="1">
      <alignment vertical="center"/>
    </xf>
    <xf numFmtId="0" fontId="48" fillId="0" borderId="0" xfId="0" applyFont="1" applyNumberFormat="1">
      <alignment horizontal="left" vertical="center" wrapText="1" indent="1"/>
    </xf>
    <xf numFmtId="0" fontId="47" fillId="0" borderId="0" xfId="0" applyFont="1" applyNumberFormat="1">
      <alignment horizontal="left" vertical="center" wrapText="1" indent="1"/>
    </xf>
    <xf numFmtId="0" fontId="56" fillId="0" borderId="0" xfId="0" applyFont="1" applyNumberFormat="1">
      <alignment horizontal="left" vertical="center" wrapText="1" indent="1"/>
    </xf>
    <xf numFmtId="0" fontId="57" fillId="0" borderId="0" xfId="0" applyFont="1" applyNumberFormat="1">
      <alignment horizontal="left" vertical="center" indent="1"/>
    </xf>
    <xf numFmtId="0" fontId="56" fillId="0" borderId="0" xfId="0" applyFont="1" applyNumberFormat="1">
      <alignment vertical="center" wrapText="1"/>
    </xf>
    <xf numFmtId="0" fontId="58" fillId="0" borderId="0" xfId="0" applyFont="1" applyNumberFormat="1">
      <alignment horizontal="left" vertical="center" wrapText="1"/>
    </xf>
    <xf numFmtId="0" fontId="59" fillId="0" borderId="0" xfId="0" applyFont="1" applyNumberFormat="1">
      <alignment vertical="center" wrapText="1"/>
    </xf>
    <xf numFmtId="0" fontId="60" fillId="35" borderId="0" xfId="0" applyFont="1" applyFill="1" applyNumberFormat="1">
      <alignment vertical="center" wrapText="1"/>
    </xf>
    <xf numFmtId="0" fontId="61" fillId="35" borderId="0" xfId="0" applyFont="1" applyFill="1" applyNumberFormat="1">
      <alignment horizontal="right" vertical="center" wrapText="1" indent="1"/>
    </xf>
    <xf numFmtId="0" fontId="60" fillId="0" borderId="0" xfId="0" applyFont="1" applyNumberFormat="1">
      <alignment vertical="center" wrapText="1"/>
    </xf>
    <xf numFmtId="0" fontId="60" fillId="35" borderId="0" xfId="0" applyFont="1" applyFill="1" applyNumberFormat="1">
      <alignment horizontal="right" vertical="center" wrapText="1" indent="1"/>
    </xf>
    <xf numFmtId="0" fontId="62" fillId="35" borderId="0" xfId="0" applyFont="1" applyFill="1" applyNumberFormat="1">
      <alignment horizontal="center" vertical="center" wrapText="1"/>
    </xf>
    <xf numFmtId="0" fontId="58" fillId="35" borderId="0" xfId="0" applyFont="1" applyFill="1" applyNumberFormat="1">
      <alignment horizontal="center" vertical="center" wrapText="1"/>
    </xf>
    <xf numFmtId="0" fontId="60" fillId="35" borderId="0" xfId="0" applyFont="1" applyFill="1" applyNumberFormat="1">
      <alignment horizontal="left" vertical="center" wrapText="1" indent="1"/>
    </xf>
    <xf numFmtId="0" fontId="63" fillId="0" borderId="0" xfId="0" applyFont="1" applyNumberFormat="1">
      <alignment horizontal="left" vertical="center" wrapText="1"/>
    </xf>
    <xf numFmtId="0" fontId="63" fillId="0" borderId="0" xfId="0" applyFont="1" applyNumberFormat="1">
      <alignment vertical="center" wrapText="1"/>
    </xf>
    <xf numFmtId="0" fontId="60" fillId="0" borderId="0" xfId="0" applyFont="1" applyNumberFormat="1">
      <alignment vertical="center" wrapText="1"/>
    </xf>
    <xf numFmtId="0" fontId="60" fillId="0" borderId="0" xfId="0" applyFont="1" applyNumberFormat="1">
      <alignment horizontal="right" vertical="center"/>
    </xf>
    <xf numFmtId="49" fontId="22" fillId="0" borderId="0" xfId="0" applyFont="1" applyNumberFormat="1">
      <alignment vertical="center" wrapText="1"/>
    </xf>
    <xf numFmtId="0" fontId="0" fillId="0" borderId="0" xfId="0" applyFont="1" applyNumberFormat="1">
      <alignment horizontal="left" vertical="center" indent="1"/>
    </xf>
    <xf numFmtId="0" fontId="48" fillId="0" borderId="0" xfId="0" applyFont="1" applyNumberFormat="1">
      <alignment horizontal="left" vertical="center" indent="1"/>
    </xf>
    <xf numFmtId="0" fontId="48" fillId="0" borderId="0" xfId="0" applyFont="1" applyNumberFormat="1">
      <alignment horizontal="left" vertical="center" indent="1"/>
    </xf>
    <xf numFmtId="0" fontId="48" fillId="0" borderId="22" xfId="0" applyFont="1" applyBorder="1" applyNumberFormat="1">
      <alignment vertical="center"/>
    </xf>
    <xf numFmtId="0" fontId="22" fillId="0" borderId="12" xfId="0" applyFont="1" applyBorder="1" applyNumberFormat="1">
      <alignment horizontal="center" vertical="center" wrapText="1"/>
    </xf>
    <xf numFmtId="0" fontId="0" fillId="0" borderId="12" xfId="0" applyFont="1" applyBorder="1" applyNumberFormat="1">
      <alignment horizontal="center" vertical="center"/>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0" xfId="0" applyFont="1" applyNumberFormat="1">
      <alignment vertical="top"/>
    </xf>
    <xf numFmtId="0" fontId="22" fillId="0" borderId="0" xfId="0" applyFont="1" applyNumberFormat="1">
      <alignment horizontal="left" vertical="center" wrapText="1" indent="2"/>
    </xf>
    <xf numFmtId="0" fontId="22" fillId="0" borderId="12" xfId="0" applyFont="1" applyBorder="1" applyNumberFormat="1">
      <alignment vertical="top" wrapText="1"/>
    </xf>
    <xf numFmtId="0" fontId="0" fillId="39" borderId="12" xfId="0" applyFont="1" applyFill="1" applyBorder="1" applyNumberFormat="1">
      <alignment horizontal="left" vertical="center" wrapText="1"/>
      <protection locked="0"/>
    </xf>
    <xf numFmtId="0" fontId="22" fillId="0" borderId="12" xfId="0" applyFont="1" applyBorder="1" applyNumberFormat="1">
      <alignment horizontal="left" vertical="top" wrapText="1"/>
    </xf>
    <xf numFmtId="0" fontId="22" fillId="0" borderId="12" xfId="0" applyFont="1" applyBorder="1" applyNumberFormat="1">
      <alignment horizontal="left" vertical="center" wrapText="1"/>
    </xf>
    <xf numFmtId="0" fontId="22" fillId="0" borderId="12" xfId="0" applyFont="1" applyBorder="1" applyNumberFormat="1">
      <alignment horizontal="center" vertical="center" wrapText="1"/>
    </xf>
    <xf numFmtId="49" fontId="22" fillId="0" borderId="17" xfId="0" applyFont="1" applyBorder="1" applyNumberFormat="1">
      <alignment horizontal="left" vertical="center" wrapText="1"/>
    </xf>
    <xf numFmtId="49" fontId="50" fillId="37" borderId="14" xfId="0" applyFont="1" applyFill="1" applyBorder="1" applyNumberFormat="1">
      <alignment horizontal="center" vertical="center"/>
    </xf>
    <xf numFmtId="49" fontId="40" fillId="37" borderId="13" xfId="0" applyFont="1" applyFill="1" applyBorder="1" applyNumberFormat="1">
      <alignment horizontal="left" vertical="center"/>
    </xf>
    <xf numFmtId="0" fontId="22" fillId="0" borderId="0" xfId="0" applyFont="1" applyNumberFormat="1"/>
    <xf numFmtId="0" fontId="64" fillId="0" borderId="0" xfId="0" applyFont="1" applyNumberFormat="1">
      <alignment vertical="center" wrapText="1"/>
    </xf>
    <xf numFmtId="0" fontId="64" fillId="0" borderId="0" xfId="0" applyFont="1" applyNumberFormat="1">
      <alignment vertical="center" wrapText="1"/>
    </xf>
    <xf numFmtId="0" fontId="64" fillId="0" borderId="0" xfId="0" applyFont="1" applyNumberFormat="1"/>
    <xf numFmtId="49" fontId="65" fillId="0" borderId="0" xfId="0" applyFont="1" applyNumberFormat="1">
      <alignment vertical="top"/>
    </xf>
    <xf numFmtId="49" fontId="66" fillId="0" borderId="0" xfId="0" applyFont="1" applyNumberFormat="1">
      <alignment vertical="top"/>
    </xf>
    <xf numFmtId="0" fontId="22" fillId="0" borderId="0" xfId="0" applyFont="1" applyNumberFormat="1">
      <alignment horizontal="center" vertical="center" wrapText="1"/>
    </xf>
    <xf numFmtId="49" fontId="22" fillId="39" borderId="12" xfId="0" applyFont="1" applyFill="1" applyBorder="1" applyNumberFormat="1">
      <alignment horizontal="left" vertical="center" wrapText="1" indent="1"/>
      <protection locked="0"/>
    </xf>
    <xf numFmtId="0" fontId="48" fillId="0" borderId="0" xfId="0" applyFont="1" applyNumberFormat="1">
      <alignment vertical="top"/>
    </xf>
    <xf numFmtId="49" fontId="48" fillId="0" borderId="0" xfId="0" applyFont="1" applyNumberFormat="1">
      <alignment vertical="top"/>
    </xf>
    <xf numFmtId="0" fontId="0" fillId="0" borderId="0" xfId="0" applyFont="1" applyNumberFormat="1">
      <alignment vertical="top"/>
    </xf>
    <xf numFmtId="49" fontId="22" fillId="0" borderId="12" xfId="0" applyFont="1" applyBorder="1" applyNumberFormat="1">
      <alignment horizontal="right" vertical="center"/>
    </xf>
    <xf numFmtId="0" fontId="67" fillId="0" borderId="0" xfId="0" applyFont="1" applyNumberFormat="1">
      <alignment vertical="center"/>
    </xf>
    <xf numFmtId="0" fontId="48" fillId="0" borderId="0" xfId="0" applyFont="1" applyNumberFormat="1">
      <alignment vertical="center"/>
    </xf>
    <xf numFmtId="0" fontId="48" fillId="0" borderId="0" xfId="0" applyFont="1" applyNumberFormat="1">
      <alignment vertical="center" wrapText="1"/>
    </xf>
    <xf numFmtId="0" fontId="22" fillId="0" borderId="12" xfId="0" applyFont="1" applyBorder="1" applyNumberFormat="1">
      <alignment horizontal="left" vertical="center" wrapText="1"/>
    </xf>
    <xf numFmtId="0" fontId="68" fillId="0" borderId="0" xfId="0" applyFont="1" applyNumberFormat="1">
      <alignment vertical="center"/>
    </xf>
    <xf numFmtId="49" fontId="36" fillId="35" borderId="0" xfId="0" applyFont="1" applyFill="1" applyNumberFormat="1">
      <alignment horizontal="center" vertical="center" wrapText="1"/>
    </xf>
    <xf numFmtId="0" fontId="0" fillId="0" borderId="0" xfId="0" applyFont="1" applyNumberFormat="1">
      <alignment vertical="center"/>
    </xf>
    <xf numFmtId="0" fontId="22" fillId="0" borderId="12" xfId="0" applyFont="1" applyBorder="1" applyNumberFormat="1">
      <alignment horizontal="center" vertical="center" wrapText="1"/>
    </xf>
    <xf numFmtId="49" fontId="22" fillId="0" borderId="12" xfId="0" applyFont="1" applyBorder="1" applyNumberFormat="1">
      <alignment horizontal="center" vertical="center" wrapText="1"/>
    </xf>
    <xf numFmtId="0" fontId="22" fillId="35" borderId="12" xfId="0" applyFont="1" applyFill="1" applyBorder="1" applyNumberFormat="1">
      <alignment horizontal="left" vertical="center" wrapText="1" indent="4"/>
    </xf>
    <xf numFmtId="0" fontId="22" fillId="35" borderId="12" xfId="0" applyFont="1" applyFill="1" applyBorder="1" applyNumberFormat="1">
      <alignment horizontal="left" vertical="center" wrapText="1" indent="5"/>
    </xf>
    <xf numFmtId="49" fontId="40" fillId="37" borderId="15" xfId="0" applyFont="1" applyFill="1" applyBorder="1" applyNumberFormat="1">
      <alignment horizontal="left" vertical="center" indent="5"/>
    </xf>
    <xf numFmtId="49" fontId="40" fillId="37" borderId="15" xfId="0" applyFont="1" applyFill="1" applyBorder="1" applyNumberFormat="1">
      <alignment horizontal="left" vertical="center" indent="6"/>
    </xf>
    <xf numFmtId="0" fontId="22" fillId="0" borderId="12" xfId="0" applyFont="1" applyBorder="1" applyNumberFormat="1">
      <alignment vertical="center" wrapText="1"/>
    </xf>
    <xf numFmtId="0" fontId="46" fillId="0" borderId="0" xfId="0" applyFont="1" applyNumberFormat="1">
      <alignment vertical="center" wrapText="1"/>
    </xf>
    <xf numFmtId="0" fontId="69" fillId="35" borderId="0" xfId="0" applyFont="1" applyFill="1" applyNumberFormat="1">
      <alignment vertical="center" wrapText="1"/>
    </xf>
    <xf numFmtId="49" fontId="22" fillId="0" borderId="12" xfId="0" applyFont="1" applyBorder="1" applyNumberFormat="1">
      <alignment horizontal="center" vertical="center" wrapText="1"/>
    </xf>
    <xf numFmtId="49" fontId="0" fillId="0" borderId="0" xfId="0" applyFont="1" applyNumberFormat="1">
      <alignment vertical="top"/>
    </xf>
    <xf numFmtId="49" fontId="40" fillId="37" borderId="14" xfId="0" applyFont="1" applyFill="1" applyBorder="1" applyNumberFormat="1">
      <alignment horizontal="left" vertical="center" indent="1"/>
    </xf>
    <xf numFmtId="0" fontId="0" fillId="35" borderId="12" xfId="0" applyFont="1" applyFill="1" applyBorder="1" applyNumberFormat="1">
      <alignment horizontal="right" vertical="center" wrapText="1" indent="1"/>
    </xf>
    <xf numFmtId="49" fontId="0" fillId="0" borderId="12" xfId="0" applyFont="1" applyBorder="1" applyNumberFormat="1">
      <alignment horizontal="left" vertical="center"/>
    </xf>
    <xf numFmtId="0" fontId="22" fillId="0" borderId="12" xfId="0" applyFont="1" applyBorder="1" applyNumberFormat="1">
      <alignment vertical="top" wrapText="1"/>
    </xf>
    <xf numFmtId="0" fontId="22" fillId="0" borderId="12" xfId="0" applyFont="1" applyBorder="1" applyNumberFormat="1">
      <alignment vertical="center" wrapText="1"/>
    </xf>
    <xf numFmtId="0" fontId="67" fillId="0" borderId="0" xfId="0" applyFont="1" applyNumberFormat="1">
      <alignment vertical="center"/>
    </xf>
    <xf numFmtId="0" fontId="22" fillId="0" borderId="12" xfId="0" applyFont="1" applyBorder="1" applyNumberFormat="1">
      <alignment horizontal="left" vertical="center" wrapText="1" indent="6"/>
    </xf>
    <xf numFmtId="0" fontId="22" fillId="0" borderId="17" xfId="0" applyFont="1" applyBorder="1" applyNumberFormat="1">
      <alignment vertical="center" wrapText="1"/>
    </xf>
    <xf numFmtId="0" fontId="22" fillId="0" borderId="23" xfId="0" applyFont="1" applyBorder="1" applyNumberFormat="1">
      <alignment vertical="center" wrapText="1"/>
    </xf>
    <xf numFmtId="49" fontId="0" fillId="37" borderId="13" xfId="0" applyFont="1" applyFill="1" applyBorder="1" applyNumberFormat="1">
      <alignment horizontal="center" vertical="center" wrapText="1"/>
    </xf>
    <xf numFmtId="0" fontId="0" fillId="0" borderId="14" xfId="0" applyFont="1" applyBorder="1" applyNumberFormat="1">
      <alignment vertical="center"/>
    </xf>
    <xf numFmtId="0" fontId="0" fillId="35" borderId="14" xfId="0" applyFont="1" applyFill="1" applyBorder="1" applyNumberFormat="1">
      <alignment horizontal="right" vertical="center" wrapText="1" indent="1"/>
    </xf>
    <xf numFmtId="49" fontId="32" fillId="0" borderId="0" xfId="0" applyFont="1" applyNumberFormat="1">
      <alignment vertical="top"/>
    </xf>
    <xf numFmtId="0" fontId="39" fillId="35" borderId="0" xfId="0" applyFont="1" applyFill="1" applyNumberFormat="1">
      <alignment vertical="center" wrapText="1"/>
    </xf>
    <xf numFmtId="0" fontId="22" fillId="35" borderId="12" xfId="0" applyFont="1" applyFill="1" applyBorder="1" applyNumberFormat="1">
      <alignment horizontal="left" vertical="center" wrapText="1" indent="1"/>
    </xf>
    <xf numFmtId="0" fontId="22" fillId="35" borderId="12" xfId="0" applyFont="1" applyFill="1" applyBorder="1" applyNumberFormat="1">
      <alignment horizontal="left" vertical="center" wrapText="1" indent="2"/>
    </xf>
    <xf numFmtId="0" fontId="22" fillId="35" borderId="12" xfId="0" applyFont="1" applyFill="1" applyBorder="1" applyNumberFormat="1">
      <alignment horizontal="left" vertical="center" wrapText="1" indent="3"/>
    </xf>
    <xf numFmtId="0" fontId="22" fillId="0" borderId="12" xfId="0" applyFont="1" applyBorder="1" applyNumberFormat="1">
      <alignment horizontal="left" vertical="center" wrapText="1" indent="4"/>
    </xf>
    <xf numFmtId="49" fontId="40" fillId="37" borderId="14" xfId="0" applyFont="1" applyFill="1" applyBorder="1" applyNumberFormat="1">
      <alignment vertical="center" wrapText="1"/>
    </xf>
    <xf numFmtId="49" fontId="40" fillId="37" borderId="15" xfId="0" applyFont="1" applyFill="1" applyBorder="1" applyNumberFormat="1">
      <alignment vertical="center"/>
    </xf>
    <xf numFmtId="49" fontId="40" fillId="37" borderId="15" xfId="0" applyFont="1" applyFill="1" applyBorder="1" applyNumberFormat="1">
      <alignment vertical="center" wrapText="1"/>
    </xf>
    <xf numFmtId="0" fontId="22" fillId="0" borderId="0" xfId="0" applyFont="1" applyNumberFormat="1">
      <alignment vertical="top" wrapText="1"/>
    </xf>
    <xf numFmtId="49" fontId="40" fillId="37" borderId="14" xfId="0" applyFont="1" applyFill="1" applyBorder="1" applyNumberFormat="1">
      <alignment horizontal="left" vertical="center"/>
    </xf>
    <xf numFmtId="0" fontId="40" fillId="37" borderId="14"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3" xfId="0" applyFont="1" applyFill="1" applyBorder="1" applyNumberFormat="1">
      <alignment horizontal="left" vertical="center"/>
    </xf>
    <xf numFmtId="0" fontId="0" fillId="0" borderId="0" xfId="0" applyFont="1" applyNumberFormat="1">
      <alignment vertical="center"/>
    </xf>
    <xf numFmtId="49" fontId="0" fillId="0" borderId="0" xfId="0" applyFont="1" applyNumberFormat="1">
      <alignment vertical="center"/>
    </xf>
    <xf numFmtId="0" fontId="50" fillId="35" borderId="0" xfId="0" applyFont="1" applyFill="1" applyNumberFormat="1">
      <alignment horizontal="center" vertical="center" wrapText="1"/>
    </xf>
    <xf numFmtId="0" fontId="22" fillId="0" borderId="0" xfId="0" applyFont="1" applyNumberFormat="1">
      <alignment vertical="center" wrapText="1"/>
    </xf>
    <xf numFmtId="49" fontId="22" fillId="37" borderId="13" xfId="0" applyFont="1" applyFill="1" applyBorder="1" applyNumberFormat="1">
      <alignment horizontal="center" vertical="center" wrapText="1"/>
    </xf>
    <xf numFmtId="4" fontId="22" fillId="0" borderId="12" xfId="0" applyFont="1" applyBorder="1" applyNumberFormat="1">
      <alignment horizontal="right" vertical="center" wrapText="1"/>
    </xf>
    <xf numFmtId="0" fontId="22" fillId="0" borderId="0" xfId="0" applyFont="1" applyNumberFormat="1">
      <alignment vertical="center" wrapText="1"/>
    </xf>
    <xf numFmtId="0" fontId="22" fillId="0" borderId="0" xfId="0" applyFont="1" applyNumberFormat="1">
      <alignment vertical="center" wrapText="1"/>
    </xf>
    <xf numFmtId="4" fontId="48" fillId="0" borderId="12" xfId="0" applyFont="1" applyBorder="1" applyNumberFormat="1">
      <alignment horizontal="center" vertical="center" wrapText="1"/>
    </xf>
    <xf numFmtId="0" fontId="0" fillId="0" borderId="0" xfId="0" applyFont="1" applyNumberFormat="1">
      <alignment vertical="center"/>
    </xf>
    <xf numFmtId="0" fontId="0" fillId="0" borderId="12" xfId="0" applyFont="1" applyBorder="1" applyNumberFormat="1">
      <alignment horizontal="left" vertical="center" wrapText="1" indent="1"/>
    </xf>
    <xf numFmtId="49" fontId="70" fillId="0" borderId="14" xfId="0" applyFont="1" applyBorder="1" applyNumberFormat="1">
      <alignment horizontal="left" vertical="center" wrapText="1"/>
    </xf>
    <xf numFmtId="0" fontId="67" fillId="0" borderId="12" xfId="0" applyFont="1" applyBorder="1" applyNumberFormat="1">
      <alignment horizontal="left" vertical="center" wrapText="1" indent="2"/>
    </xf>
    <xf numFmtId="49" fontId="67" fillId="0" borderId="12" xfId="0" applyFont="1" applyBorder="1" applyNumberFormat="1">
      <alignment horizontal="center" vertical="center" wrapText="1"/>
    </xf>
    <xf numFmtId="0" fontId="71" fillId="0" borderId="0" xfId="0" applyFont="1" applyNumberFormat="1">
      <alignment vertical="center" wrapText="1"/>
    </xf>
    <xf numFmtId="0" fontId="22" fillId="0" borderId="0" xfId="0" applyFont="1" applyNumberFormat="1">
      <alignment vertical="top"/>
    </xf>
    <xf numFmtId="0" fontId="22" fillId="0" borderId="0" xfId="0" applyFont="1" applyNumberFormat="1">
      <alignment horizontal="right" vertical="top" wrapText="1"/>
    </xf>
    <xf numFmtId="0" fontId="22" fillId="0" borderId="17" xfId="0" applyFont="1" applyBorder="1" applyNumberFormat="1">
      <alignment vertical="center" wrapText="1"/>
    </xf>
    <xf numFmtId="49" fontId="44" fillId="37" borderId="15" xfId="0" applyFont="1" applyFill="1" applyBorder="1" applyNumberFormat="1">
      <alignment horizontal="center" vertical="top"/>
    </xf>
    <xf numFmtId="0" fontId="22" fillId="0" borderId="23" xfId="0" applyFont="1" applyBorder="1" applyNumberFormat="1">
      <alignment vertical="top" wrapText="1"/>
    </xf>
    <xf numFmtId="0" fontId="0" fillId="0" borderId="0" xfId="0" applyFont="1" applyNumberFormat="1">
      <alignment horizontal="left" vertical="top" wrapText="1"/>
    </xf>
    <xf numFmtId="0" fontId="22" fillId="0" borderId="17" xfId="0" applyFont="1" applyBorder="1" applyNumberFormat="1">
      <alignment vertical="top" wrapText="1"/>
    </xf>
    <xf numFmtId="0" fontId="22" fillId="0" borderId="0" xfId="0" applyFont="1" applyNumberFormat="1">
      <alignment vertical="center" wrapText="1"/>
    </xf>
    <xf numFmtId="49" fontId="22" fillId="0" borderId="0" xfId="0" applyFont="1" applyNumberFormat="1">
      <alignment vertical="top"/>
    </xf>
    <xf numFmtId="0" fontId="39" fillId="0" borderId="0" xfId="0" applyFont="1" applyNumberFormat="1">
      <alignment vertical="center" wrapText="1"/>
    </xf>
    <xf numFmtId="0" fontId="22" fillId="0" borderId="12" xfId="0" applyFont="1" applyBorder="1" applyNumberFormat="1">
      <alignment vertical="center" wrapText="1"/>
    </xf>
    <xf numFmtId="49" fontId="22" fillId="0" borderId="0" xfId="0" applyFont="1" applyNumberFormat="1">
      <alignment horizontal="center" vertical="center" wrapText="1"/>
    </xf>
    <xf numFmtId="0" fontId="22" fillId="37" borderId="14" xfId="0" applyFont="1" applyFill="1" applyBorder="1" applyNumberFormat="1">
      <alignment vertical="center" wrapText="1"/>
    </xf>
    <xf numFmtId="0" fontId="22" fillId="39" borderId="12" xfId="0" applyFont="1" applyFill="1" applyBorder="1" applyNumberFormat="1">
      <alignment horizontal="left" vertical="center" wrapText="1" indent="1"/>
      <protection locked="0"/>
    </xf>
    <xf numFmtId="49" fontId="40" fillId="37" borderId="15" xfId="0" applyFont="1" applyFill="1" applyBorder="1" applyNumberFormat="1">
      <alignment horizontal="left" vertical="center" indent="2"/>
    </xf>
    <xf numFmtId="0" fontId="48" fillId="0" borderId="0" xfId="0" applyFont="1" applyNumberFormat="1">
      <alignment vertical="center"/>
    </xf>
    <xf numFmtId="0" fontId="72" fillId="0" borderId="0" xfId="0" applyFont="1" applyNumberFormat="1">
      <alignment vertical="center" wrapText="1"/>
    </xf>
    <xf numFmtId="0" fontId="42" fillId="35" borderId="0" xfId="0" applyFont="1" applyFill="1" applyNumberFormat="1">
      <alignment horizontal="center" vertical="center" wrapText="1"/>
    </xf>
    <xf numFmtId="0" fontId="22" fillId="0" borderId="24" xfId="0" applyFont="1" applyBorder="1" applyNumberFormat="1">
      <alignment vertical="center" wrapText="1"/>
    </xf>
    <xf numFmtId="0" fontId="37" fillId="0" borderId="0" xfId="0" applyFont="1" applyNumberFormat="1">
      <alignment vertical="center" wrapText="1"/>
    </xf>
    <xf numFmtId="49" fontId="22" fillId="0" borderId="24" xfId="0" applyFont="1" applyBorder="1" applyNumberFormat="1">
      <alignment vertical="top"/>
    </xf>
    <xf numFmtId="0" fontId="48" fillId="0" borderId="24" xfId="0" applyFont="1" applyBorder="1" applyNumberFormat="1">
      <alignment horizontal="center" vertical="center" wrapText="1"/>
    </xf>
    <xf numFmtId="0" fontId="48" fillId="0" borderId="24" xfId="0" applyFont="1" applyBorder="1" applyNumberFormat="1">
      <alignment vertical="center" wrapText="1"/>
    </xf>
    <xf numFmtId="49" fontId="32" fillId="0" borderId="0" xfId="0" applyFont="1" applyNumberFormat="1">
      <alignment vertical="top"/>
    </xf>
    <xf numFmtId="49" fontId="0" fillId="0" borderId="24" xfId="0" applyFont="1" applyBorder="1" applyNumberFormat="1">
      <alignment vertical="top"/>
    </xf>
    <xf numFmtId="49" fontId="22" fillId="0" borderId="0" xfId="0" applyFont="1" applyNumberFormat="1">
      <alignment vertical="top"/>
    </xf>
    <xf numFmtId="49" fontId="22" fillId="0" borderId="0" xfId="0" applyFont="1" applyNumberFormat="1">
      <alignment vertical="center" wrapText="1"/>
    </xf>
    <xf numFmtId="0" fontId="32" fillId="0" borderId="0" xfId="0" applyFont="1" applyNumberFormat="1">
      <alignment vertical="center" wrapText="1"/>
    </xf>
    <xf numFmtId="0" fontId="22" fillId="35" borderId="0" xfId="0" applyFont="1" applyFill="1" applyNumberFormat="1">
      <alignment vertical="center" wrapText="1"/>
    </xf>
    <xf numFmtId="49" fontId="22" fillId="0" borderId="0" xfId="0" applyFont="1" applyNumberFormat="1">
      <alignment vertical="center" wrapText="1"/>
    </xf>
    <xf numFmtId="49" fontId="40" fillId="37" borderId="15" xfId="0" applyFont="1" applyFill="1" applyBorder="1" applyNumberFormat="1">
      <alignment horizontal="left" vertical="center" indent="4"/>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0" fontId="48" fillId="0" borderId="0" xfId="0" applyFont="1" applyNumberFormat="1">
      <alignment vertical="center"/>
    </xf>
    <xf numFmtId="0" fontId="22" fillId="0" borderId="0" xfId="0" applyFont="1" applyNumberFormat="1">
      <alignment vertical="top" wrapText="1"/>
    </xf>
    <xf numFmtId="49" fontId="22" fillId="0" borderId="12" xfId="0" applyFont="1" applyBorder="1" applyNumberFormat="1">
      <alignment horizontal="right" vertical="top"/>
    </xf>
    <xf numFmtId="49" fontId="22" fillId="0" borderId="17" xfId="0" applyFont="1" applyBorder="1" applyNumberFormat="1">
      <alignment horizontal="right" vertical="top"/>
    </xf>
    <xf numFmtId="49" fontId="40" fillId="37" borderId="15" xfId="0" applyFont="1" applyFill="1" applyBorder="1" applyNumberFormat="1">
      <alignment horizontal="left" vertical="center" indent="3"/>
    </xf>
    <xf numFmtId="49" fontId="0" fillId="0" borderId="0" xfId="0" applyFont="1" applyNumberFormat="1">
      <alignment vertical="top"/>
    </xf>
    <xf numFmtId="0" fontId="22" fillId="0" borderId="0" xfId="0" applyFont="1" applyNumberFormat="1">
      <alignment vertical="center" wrapText="1"/>
    </xf>
    <xf numFmtId="49" fontId="39" fillId="0" borderId="0" xfId="0" applyFont="1" applyNumberFormat="1">
      <alignment vertical="top"/>
    </xf>
    <xf numFmtId="0" fontId="39" fillId="35" borderId="0" xfId="0" applyFont="1" applyFill="1" applyNumberFormat="1">
      <alignment vertical="center" wrapText="1"/>
    </xf>
    <xf numFmtId="49" fontId="22" fillId="39"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49" fontId="48" fillId="0" borderId="0" xfId="0" applyFont="1" applyNumberFormat="1">
      <alignment vertical="top"/>
    </xf>
    <xf numFmtId="49" fontId="48" fillId="0" borderId="0" xfId="0" applyFont="1" applyNumberFormat="1">
      <alignment vertical="top"/>
    </xf>
    <xf numFmtId="49" fontId="22" fillId="39" borderId="12" xfId="0" applyFont="1" applyFill="1" applyBorder="1" applyNumberFormat="1">
      <alignment horizontal="left" vertical="center" wrapText="1"/>
      <protection locked="0"/>
    </xf>
    <xf numFmtId="49" fontId="53" fillId="39" borderId="12" xfId="0" applyFont="1" applyFill="1" applyBorder="1" applyNumberFormat="1">
      <alignment horizontal="left" vertical="center" wrapText="1"/>
      <protection locked="0"/>
    </xf>
    <xf numFmtId="49" fontId="0" fillId="0" borderId="25" xfId="0" applyFont="1" applyBorder="1" applyNumberFormat="1">
      <alignment horizontal="center" vertical="center"/>
    </xf>
    <xf numFmtId="502" fontId="22" fillId="0" borderId="12" xfId="0" applyFont="1" applyBorder="1" applyNumberFormat="1">
      <alignment horizontal="right" vertical="center" wrapText="1"/>
    </xf>
    <xf numFmtId="49" fontId="53" fillId="39" borderId="14" xfId="0" applyFont="1" applyFill="1" applyBorder="1" applyNumberFormat="1">
      <alignment horizontal="left" vertical="center" wrapText="1"/>
      <protection locked="0"/>
    </xf>
    <xf numFmtId="0" fontId="22" fillId="35" borderId="12" xfId="0" applyFont="1" applyFill="1" applyBorder="1" applyNumberFormat="1">
      <alignment horizontal="center" vertical="center" wrapText="1"/>
    </xf>
    <xf numFmtId="0" fontId="37" fillId="35" borderId="0" xfId="0" applyFont="1" applyFill="1" applyNumberFormat="1">
      <alignment horizontal="center" vertical="center" wrapText="1"/>
    </xf>
    <xf numFmtId="0" fontId="0" fillId="0" borderId="12" xfId="0" applyFont="1" applyBorder="1" applyNumberFormat="1">
      <alignment horizontal="left" vertical="center" wrapText="1"/>
    </xf>
    <xf numFmtId="0" fontId="22" fillId="35" borderId="0" xfId="0" applyFont="1" applyFill="1" applyNumberFormat="1">
      <alignment horizontal="center" vertical="center" wrapText="1"/>
    </xf>
    <xf numFmtId="0" fontId="50" fillId="0" borderId="0" xfId="0" applyFont="1" applyNumberFormat="1">
      <alignment vertical="top" wrapText="1"/>
    </xf>
    <xf numFmtId="0" fontId="22" fillId="35" borderId="26" xfId="0" applyFont="1" applyFill="1" applyBorder="1" applyNumberFormat="1">
      <alignment horizontal="right" vertical="center" wrapText="1" indent="1"/>
    </xf>
    <xf numFmtId="0" fontId="0" fillId="35" borderId="26" xfId="0" applyFont="1" applyFill="1" applyBorder="1" applyNumberFormat="1">
      <alignment horizontal="right" vertical="center" wrapText="1" indent="1"/>
    </xf>
    <xf numFmtId="0" fontId="22" fillId="0" borderId="0" xfId="0" applyFont="1" applyNumberFormat="1">
      <alignment horizontal="left" vertical="center" wrapText="1" indent="4"/>
    </xf>
    <xf numFmtId="0" fontId="22" fillId="35" borderId="0" xfId="0" applyFont="1" applyFill="1" applyNumberFormat="1">
      <alignment horizontal="center" vertical="center" wrapText="1"/>
    </xf>
    <xf numFmtId="49" fontId="40" fillId="37" borderId="15" xfId="0" applyFont="1" applyFill="1" applyBorder="1" applyNumberFormat="1">
      <alignment horizontal="left" vertical="center"/>
    </xf>
    <xf numFmtId="0" fontId="22" fillId="0" borderId="19" xfId="0" applyFont="1" applyBorder="1" applyNumberFormat="1">
      <alignment vertical="center" wrapText="1"/>
    </xf>
    <xf numFmtId="0" fontId="22" fillId="0" borderId="0" xfId="0" applyFont="1" applyNumberFormat="1">
      <alignment horizontal="left" vertical="center" wrapText="1" indent="1"/>
    </xf>
    <xf numFmtId="0" fontId="71" fillId="0" borderId="0" xfId="0" applyFont="1" applyNumberFormat="1">
      <alignment vertical="center" wrapText="1"/>
    </xf>
    <xf numFmtId="49" fontId="0" fillId="35" borderId="14" xfId="0" applyFont="1" applyFill="1" applyBorder="1" applyNumberFormat="1">
      <alignment horizontal="center" vertical="center" wrapText="1"/>
    </xf>
    <xf numFmtId="49" fontId="40" fillId="37" borderId="27" xfId="0" applyFont="1" applyFill="1" applyBorder="1" applyNumberFormat="1">
      <alignment horizontal="left" vertical="center" indent="2"/>
    </xf>
    <xf numFmtId="49" fontId="53" fillId="36" borderId="12" xfId="0" applyFont="1" applyFill="1" applyBorder="1" applyNumberFormat="1">
      <alignment horizontal="left" vertical="center" wrapText="1"/>
      <protection locked="0"/>
    </xf>
    <xf numFmtId="49" fontId="22" fillId="0" borderId="19" xfId="0" applyFont="1" applyBorder="1" applyNumberFormat="1">
      <alignment vertical="top"/>
    </xf>
    <xf numFmtId="49" fontId="73" fillId="37" borderId="13" xfId="0" applyFont="1" applyFill="1" applyBorder="1" applyNumberFormat="1">
      <alignment horizontal="left" vertical="center" indent="1"/>
    </xf>
    <xf numFmtId="49" fontId="73" fillId="37" borderId="15" xfId="0" applyFont="1" applyFill="1" applyBorder="1" applyNumberFormat="1">
      <alignment horizontal="left" vertical="center" indent="1"/>
    </xf>
    <xf numFmtId="49" fontId="50" fillId="37" borderId="14" xfId="0" applyFont="1" applyFill="1" applyBorder="1" applyNumberFormat="1">
      <alignment horizontal="center" vertical="center"/>
    </xf>
    <xf numFmtId="49" fontId="73" fillId="37" borderId="15" xfId="0" applyFont="1" applyFill="1" applyBorder="1" applyNumberFormat="1">
      <alignment vertical="center"/>
    </xf>
    <xf numFmtId="0" fontId="0" fillId="41" borderId="12" xfId="0" applyFont="1" applyFill="1" applyBorder="1" applyNumberFormat="1">
      <alignment horizontal="right" vertical="center"/>
    </xf>
    <xf numFmtId="0" fontId="33" fillId="0" borderId="0" xfId="0" applyFont="1" applyNumberFormat="1">
      <alignment vertical="center" wrapText="1"/>
    </xf>
    <xf numFmtId="0" fontId="22" fillId="0" borderId="0" xfId="0" applyFont="1" applyNumberFormat="1">
      <alignment vertical="center" wrapText="1"/>
    </xf>
    <xf numFmtId="0" fontId="34" fillId="35" borderId="0" xfId="0" applyFont="1" applyFill="1" applyNumberFormat="1">
      <alignment vertical="center" wrapText="1"/>
    </xf>
    <xf numFmtId="0" fontId="32" fillId="0" borderId="0" xfId="0" applyFont="1" applyNumberFormat="1">
      <alignment horizontal="center" vertical="center" wrapText="1"/>
    </xf>
    <xf numFmtId="0" fontId="0" fillId="0" borderId="0" xfId="0" applyFont="1" applyNumberFormat="1">
      <alignment vertical="center" wrapText="1"/>
    </xf>
    <xf numFmtId="0" fontId="32" fillId="0" borderId="0" xfId="0" applyFont="1" applyNumberFormat="1">
      <alignment horizontal="left" vertical="center" wrapText="1"/>
    </xf>
    <xf numFmtId="0" fontId="0" fillId="0" borderId="12" xfId="0" applyFont="1" applyBorder="1" applyNumberFormat="1">
      <alignment horizontal="center" vertical="center" wrapText="1"/>
    </xf>
    <xf numFmtId="49" fontId="40" fillId="37" borderId="15" xfId="0" applyFont="1" applyFill="1" applyBorder="1" applyNumberFormat="1">
      <alignment horizontal="left" vertical="center" indent="1"/>
    </xf>
    <xf numFmtId="49" fontId="40" fillId="37" borderId="15" xfId="0" applyFont="1" applyFill="1" applyBorder="1" applyNumberFormat="1">
      <alignment horizontal="left" vertical="center"/>
    </xf>
    <xf numFmtId="0" fontId="47" fillId="0" borderId="0" xfId="0" applyFont="1" applyNumberFormat="1">
      <alignment vertical="center" wrapText="1"/>
    </xf>
    <xf numFmtId="0" fontId="0" fillId="0" borderId="0" xfId="0" applyFont="1" applyNumberFormat="1">
      <alignment vertical="center"/>
    </xf>
    <xf numFmtId="49" fontId="48" fillId="0" borderId="0" xfId="0" applyFont="1" applyNumberFormat="1">
      <alignment vertical="top"/>
    </xf>
    <xf numFmtId="0" fontId="74" fillId="0" borderId="0" xfId="0" applyFont="1" applyNumberFormat="1">
      <alignment vertical="center" wrapText="1"/>
    </xf>
    <xf numFmtId="49" fontId="50" fillId="37" borderId="14" xfId="0" applyFont="1" applyFill="1" applyBorder="1" applyNumberFormat="1">
      <alignment horizontal="right" vertical="center" wrapText="1"/>
    </xf>
    <xf numFmtId="49" fontId="47" fillId="0" borderId="0" xfId="0" applyFont="1" applyNumberFormat="1">
      <alignment vertical="top"/>
    </xf>
    <xf numFmtId="49" fontId="0" fillId="0" borderId="0" xfId="0" applyFont="1" applyNumberFormat="1">
      <alignment vertical="top"/>
    </xf>
    <xf numFmtId="49" fontId="0" fillId="37" borderId="13" xfId="0" applyFont="1" applyFill="1" applyBorder="1" applyNumberFormat="1">
      <alignment horizontal="right" vertical="center" wrapText="1"/>
    </xf>
    <xf numFmtId="0" fontId="0" fillId="0" borderId="12" xfId="0" applyFont="1" applyBorder="1" applyNumberFormat="1">
      <alignment horizontal="center" vertical="center" wrapText="1"/>
    </xf>
    <xf numFmtId="0" fontId="58" fillId="0" borderId="0" xfId="0" applyFont="1" applyNumberFormat="1">
      <alignment horizontal="left" vertical="center" wrapText="1"/>
    </xf>
    <xf numFmtId="0" fontId="59" fillId="0" borderId="0" xfId="0" applyFont="1" applyNumberFormat="1">
      <alignment vertical="center" wrapText="1"/>
    </xf>
    <xf numFmtId="0" fontId="60" fillId="35" borderId="0" xfId="0" applyFont="1" applyFill="1" applyNumberFormat="1">
      <alignment vertical="center" wrapText="1"/>
    </xf>
    <xf numFmtId="0" fontId="61" fillId="35" borderId="0" xfId="0" applyFont="1" applyFill="1" applyNumberFormat="1">
      <alignment horizontal="right" vertical="center" wrapText="1" indent="1"/>
    </xf>
    <xf numFmtId="0" fontId="60" fillId="0" borderId="0" xfId="0" applyFont="1" applyNumberFormat="1">
      <alignment vertical="center" wrapText="1"/>
    </xf>
    <xf numFmtId="0" fontId="0" fillId="0" borderId="14" xfId="0" applyFont="1" applyBorder="1" applyNumberFormat="1">
      <alignment horizontal="center" vertical="center" wrapText="1"/>
    </xf>
    <xf numFmtId="0" fontId="0" fillId="36" borderId="12" xfId="0" applyFont="1" applyFill="1" applyBorder="1" applyNumberFormat="1">
      <alignment horizontal="right" vertical="center" wrapText="1"/>
      <protection locked="0"/>
    </xf>
    <xf numFmtId="3" fontId="0" fillId="39"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vertical="top" wrapText="1"/>
    </xf>
    <xf numFmtId="0" fontId="0" fillId="35" borderId="14" xfId="0" applyFont="1" applyFill="1" applyBorder="1" applyNumberFormat="1">
      <alignment horizontal="left" vertical="center" wrapText="1" indent="1"/>
    </xf>
    <xf numFmtId="0" fontId="0" fillId="35" borderId="17" xfId="0" applyFont="1" applyFill="1" applyBorder="1" applyNumberFormat="1">
      <alignment horizontal="left" vertical="center" wrapText="1"/>
    </xf>
    <xf numFmtId="0" fontId="0" fillId="35" borderId="12" xfId="0" applyFont="1" applyFill="1" applyBorder="1" applyNumberFormat="1">
      <alignment horizontal="left" vertical="center" wrapText="1"/>
    </xf>
    <xf numFmtId="0" fontId="0" fillId="35" borderId="12" xfId="0" applyFont="1" applyFill="1" applyBorder="1" applyNumberFormat="1">
      <alignment horizontal="left" vertical="center" wrapText="1" indent="2"/>
    </xf>
    <xf numFmtId="0" fontId="0" fillId="35" borderId="12" xfId="0" applyFont="1" applyFill="1" applyBorder="1" applyNumberFormat="1">
      <alignment horizontal="center" vertical="center"/>
    </xf>
    <xf numFmtId="49" fontId="0" fillId="39" borderId="12" xfId="0" applyFont="1" applyFill="1" applyBorder="1" applyNumberFormat="1">
      <alignment horizontal="left" vertical="center" wrapText="1"/>
      <protection locked="0"/>
    </xf>
    <xf numFmtId="0" fontId="0" fillId="35" borderId="12" xfId="0" applyFont="1" applyFill="1" applyBorder="1" applyNumberFormat="1">
      <alignment horizontal="left" vertical="center" wrapText="1" indent="1"/>
    </xf>
    <xf numFmtId="0" fontId="0" fillId="0" borderId="12" xfId="0" applyFont="1" applyBorder="1" applyNumberFormat="1">
      <alignment horizontal="center" vertical="center" wrapText="1"/>
    </xf>
    <xf numFmtId="0" fontId="0" fillId="35" borderId="12" xfId="0" applyFont="1" applyFill="1" applyBorder="1" applyNumberFormat="1">
      <alignment vertical="center" wrapText="1"/>
    </xf>
    <xf numFmtId="49" fontId="0" fillId="35" borderId="12" xfId="0" applyFont="1" applyFill="1" applyBorder="1" applyNumberFormat="1">
      <alignment horizontal="center" vertical="center"/>
    </xf>
    <xf numFmtId="0" fontId="0" fillId="35" borderId="12" xfId="0" applyFont="1" applyFill="1" applyBorder="1" applyNumberFormat="1">
      <alignment horizontal="center" vertical="center" wrapText="1"/>
    </xf>
    <xf numFmtId="0" fontId="22" fillId="0" borderId="0" xfId="0" applyFont="1" applyNumberFormat="1">
      <alignment vertical="center" wrapText="1"/>
    </xf>
    <xf numFmtId="49" fontId="36" fillId="35" borderId="0" xfId="0" applyFont="1" applyFill="1" applyNumberFormat="1">
      <alignment horizontal="center" vertical="center" wrapText="1"/>
    </xf>
    <xf numFmtId="0" fontId="32" fillId="0" borderId="0" xfId="0" applyFont="1" applyNumberFormat="1">
      <alignment vertical="center" wrapText="1"/>
    </xf>
    <xf numFmtId="0" fontId="37" fillId="35" borderId="0" xfId="0" applyFont="1" applyFill="1" applyNumberFormat="1">
      <alignment horizontal="center" vertical="center" wrapText="1"/>
    </xf>
    <xf numFmtId="0" fontId="37" fillId="0" borderId="0" xfId="0" applyFont="1" applyNumberFormat="1">
      <alignment horizontal="center" vertical="center" wrapText="1"/>
    </xf>
    <xf numFmtId="0" fontId="42" fillId="0" borderId="0" xfId="0" applyFont="1" applyNumberFormat="1">
      <alignment vertical="center" wrapText="1"/>
    </xf>
    <xf numFmtId="0" fontId="46" fillId="0" borderId="0" xfId="0" applyFont="1" applyNumberFormat="1">
      <alignment horizontal="center" vertical="center" wrapText="1"/>
    </xf>
    <xf numFmtId="0" fontId="45" fillId="0" borderId="0" xfId="0" applyFont="1" applyNumberFormat="1">
      <alignment vertical="center" wrapText="1"/>
    </xf>
    <xf numFmtId="0" fontId="0" fillId="35" borderId="0" xfId="0" applyFont="1" applyFill="1" applyNumberFormat="1"/>
    <xf numFmtId="0" fontId="0" fillId="35" borderId="0" xfId="0" applyFont="1" applyFill="1" applyNumberFormat="1">
      <alignment horizontal="center"/>
    </xf>
    <xf numFmtId="0" fontId="22" fillId="35" borderId="0" xfId="0" applyFont="1" applyFill="1" applyNumberFormat="1">
      <alignment vertical="center" wrapText="1"/>
    </xf>
    <xf numFmtId="0" fontId="75" fillId="35" borderId="0" xfId="0" applyFont="1" applyFill="1" applyNumberFormat="1">
      <alignment horizontal="center"/>
    </xf>
    <xf numFmtId="0" fontId="75" fillId="35" borderId="0" xfId="0" applyFont="1" applyFill="1" applyNumberFormat="1"/>
    <xf numFmtId="0" fontId="76" fillId="35" borderId="0" xfId="0" applyFont="1" applyFill="1" applyNumberFormat="1"/>
    <xf numFmtId="0" fontId="77" fillId="35" borderId="0" xfId="0" applyFont="1" applyFill="1" applyNumberFormat="1">
      <alignment horizontal="right" vertical="center"/>
    </xf>
    <xf numFmtId="0" fontId="77" fillId="35" borderId="0" xfId="0" applyFont="1" applyFill="1" applyNumberFormat="1">
      <alignment horizontal="right" vertical="top"/>
    </xf>
    <xf numFmtId="0" fontId="22" fillId="35" borderId="0" xfId="0" applyFont="1" applyFill="1" applyNumberFormat="1">
      <alignment horizontal="center" vertical="center" wrapText="1"/>
    </xf>
    <xf numFmtId="0" fontId="36" fillId="35" borderId="0" xfId="0" applyFont="1" applyFill="1" applyNumberFormat="1">
      <alignment horizontal="center" vertical="center"/>
    </xf>
    <xf numFmtId="0" fontId="22" fillId="0" borderId="12" xfId="0" applyFont="1" applyBorder="1" applyNumberFormat="1">
      <alignment horizontal="center" vertical="center" wrapText="1"/>
    </xf>
    <xf numFmtId="0" fontId="45" fillId="0" borderId="0" xfId="0" applyFont="1" applyNumberFormat="1">
      <alignment vertical="top" wrapText="1"/>
    </xf>
    <xf numFmtId="0" fontId="22" fillId="37" borderId="14" xfId="0" applyFont="1" applyFill="1" applyBorder="1" applyNumberFormat="1">
      <alignment horizontal="center"/>
    </xf>
    <xf numFmtId="0" fontId="73" fillId="37" borderId="15" xfId="0" applyFont="1" applyFill="1" applyBorder="1" applyNumberFormat="1">
      <alignment horizontal="left" vertical="center"/>
    </xf>
    <xf numFmtId="0" fontId="73" fillId="37" borderId="13" xfId="0" applyFont="1" applyFill="1" applyBorder="1" applyNumberFormat="1">
      <alignment horizontal="left" vertical="center"/>
    </xf>
    <xf numFmtId="0" fontId="78" fillId="35" borderId="0" xfId="0" applyFont="1" applyFill="1" applyNumberFormat="1">
      <alignment vertical="center"/>
    </xf>
    <xf numFmtId="0" fontId="78" fillId="35" borderId="0" xfId="0" applyFont="1" applyFill="1" applyNumberFormat="1">
      <alignment vertical="center" wrapText="1"/>
    </xf>
    <xf numFmtId="49" fontId="22" fillId="35" borderId="12" xfId="0" applyFont="1" applyFill="1" applyBorder="1" applyNumberFormat="1">
      <alignment horizontal="center" vertical="center" wrapText="1"/>
    </xf>
    <xf numFmtId="0" fontId="22" fillId="35" borderId="12" xfId="0" applyFont="1" applyFill="1" applyBorder="1" applyNumberFormat="1">
      <alignment horizontal="center" vertical="center" wrapText="1"/>
    </xf>
    <xf numFmtId="0" fontId="22" fillId="35" borderId="12" xfId="0" applyFont="1" applyFill="1" applyBorder="1" applyNumberFormat="1">
      <alignment vertical="center" wrapText="1"/>
    </xf>
    <xf numFmtId="0" fontId="65" fillId="35" borderId="0" xfId="0" applyFont="1" applyFill="1" applyNumberFormat="1"/>
    <xf numFmtId="0" fontId="52" fillId="35" borderId="0" xfId="0" applyFont="1" applyFill="1" applyNumberFormat="1"/>
    <xf numFmtId="0" fontId="61" fillId="35" borderId="0" xfId="0" applyFont="1" applyFill="1" applyNumberFormat="1"/>
    <xf numFmtId="0" fontId="61" fillId="35" borderId="0" xfId="0" applyFont="1" applyFill="1" applyNumberFormat="1">
      <alignment horizontal="center"/>
    </xf>
    <xf numFmtId="0" fontId="58" fillId="0" borderId="0" xfId="0" applyFont="1" applyNumberFormat="1">
      <alignment vertical="center" wrapText="1"/>
    </xf>
    <xf numFmtId="0" fontId="60" fillId="0" borderId="0" xfId="0" applyFont="1" applyNumberFormat="1">
      <alignment vertical="center" wrapText="1"/>
    </xf>
    <xf numFmtId="0" fontId="60" fillId="35" borderId="0" xfId="0" applyFont="1" applyFill="1" applyNumberFormat="1">
      <alignment vertical="center" wrapText="1"/>
    </xf>
    <xf numFmtId="0" fontId="60" fillId="35" borderId="0" xfId="0" applyFont="1" applyFill="1" applyNumberFormat="1">
      <alignment horizontal="right" vertical="center"/>
    </xf>
    <xf numFmtId="0" fontId="60" fillId="35" borderId="0" xfId="0" applyFont="1" applyFill="1" applyNumberFormat="1">
      <alignment horizontal="right" vertical="center" wrapText="1"/>
    </xf>
    <xf numFmtId="4" fontId="60" fillId="0" borderId="0" xfId="0" applyFont="1" applyNumberFormat="1">
      <alignment horizontal="right" vertical="center" wrapText="1"/>
    </xf>
    <xf numFmtId="0" fontId="60" fillId="0" borderId="0" xfId="0" applyFont="1" applyNumberFormat="1">
      <alignment horizontal="left" vertical="center" wrapText="1" indent="1"/>
    </xf>
    <xf numFmtId="0" fontId="79" fillId="35" borderId="0" xfId="0" applyFont="1" applyFill="1" applyNumberFormat="1">
      <alignment horizontal="center" vertical="center" wrapText="1"/>
    </xf>
    <xf numFmtId="0" fontId="36" fillId="35" borderId="0" xfId="0" applyFont="1" applyFill="1" applyNumberFormat="1">
      <alignment horizontal="center" vertical="center" wrapText="1"/>
    </xf>
    <xf numFmtId="0" fontId="64" fillId="0" borderId="0" xfId="0" applyFont="1" applyNumberFormat="1">
      <alignment vertical="center" wrapText="1"/>
    </xf>
    <xf numFmtId="0" fontId="48" fillId="0" borderId="0" xfId="0" applyFont="1" applyNumberFormat="1">
      <alignment vertical="center" wrapText="1"/>
    </xf>
    <xf numFmtId="49" fontId="22" fillId="40" borderId="12" xfId="0" applyFont="1" applyFill="1" applyBorder="1" applyNumberFormat="1">
      <alignment horizontal="left" vertical="center" wrapText="1"/>
    </xf>
    <xf numFmtId="0" fontId="64" fillId="0" borderId="0" xfId="0" applyFont="1" applyNumberFormat="1">
      <alignment horizontal="center" vertical="center" wrapText="1"/>
    </xf>
    <xf numFmtId="0" fontId="22" fillId="35" borderId="24" xfId="0" applyFont="1" applyFill="1" applyBorder="1" applyNumberFormat="1">
      <alignment vertical="center" wrapText="1"/>
    </xf>
    <xf numFmtId="49" fontId="36" fillId="35" borderId="15" xfId="0" applyFont="1" applyFill="1" applyBorder="1" applyNumberFormat="1">
      <alignment horizontal="center" vertical="center" wrapText="1"/>
    </xf>
    <xf numFmtId="0" fontId="48" fillId="0" borderId="0" xfId="0" applyFont="1" applyNumberFormat="1">
      <alignment horizontal="center" vertical="center" wrapText="1"/>
    </xf>
    <xf numFmtId="0" fontId="79" fillId="0" borderId="0" xfId="0" applyFont="1" applyNumberFormat="1">
      <alignment horizontal="center" vertical="center" wrapText="1"/>
    </xf>
    <xf numFmtId="0" fontId="72" fillId="0" borderId="0" xfId="0" applyFont="1" applyNumberFormat="1">
      <alignment vertical="center" wrapText="1"/>
    </xf>
    <xf numFmtId="49" fontId="72" fillId="0" borderId="12" xfId="0" applyFont="1" applyBorder="1" applyNumberFormat="1">
      <alignment horizontal="left" vertical="center" wrapText="1"/>
    </xf>
    <xf numFmtId="0" fontId="80" fillId="35" borderId="0" xfId="0" applyFont="1" applyFill="1" applyNumberFormat="1">
      <alignment horizontal="center" vertical="center" wrapText="1"/>
    </xf>
    <xf numFmtId="49" fontId="72" fillId="0" borderId="17" xfId="0" applyFont="1" applyBorder="1" applyNumberFormat="1">
      <alignment horizontal="left" vertical="center" wrapText="1"/>
    </xf>
    <xf numFmtId="0" fontId="48" fillId="0" borderId="0" xfId="0" applyFont="1" applyNumberFormat="1">
      <alignment vertical="center"/>
    </xf>
    <xf numFmtId="0" fontId="48" fillId="35" borderId="0" xfId="0" applyFont="1" applyFill="1" applyNumberFormat="1"/>
    <xf numFmtId="0" fontId="48" fillId="35" borderId="0" xfId="0" applyFont="1" applyFill="1" applyNumberFormat="1">
      <alignment vertical="center" wrapText="1"/>
    </xf>
    <xf numFmtId="0" fontId="48" fillId="0" borderId="0" xfId="0" applyFont="1" applyNumberFormat="1">
      <alignment vertical="center" wrapText="1"/>
    </xf>
    <xf numFmtId="49" fontId="22" fillId="0" borderId="0" xfId="0" applyFont="1" applyNumberFormat="1">
      <alignment vertical="top"/>
    </xf>
    <xf numFmtId="0" fontId="22" fillId="0" borderId="0" xfId="0" applyFont="1" applyNumberFormat="1">
      <alignment vertical="center" wrapText="1"/>
    </xf>
    <xf numFmtId="0" fontId="37" fillId="35" borderId="0" xfId="0" applyFont="1" applyFill="1" applyNumberFormat="1">
      <alignment horizontal="center" vertical="center" wrapText="1"/>
    </xf>
    <xf numFmtId="0" fontId="42" fillId="0" borderId="0" xfId="0" applyFont="1" applyNumberFormat="1">
      <alignment vertical="center" wrapText="1"/>
    </xf>
    <xf numFmtId="49" fontId="22" fillId="0" borderId="12" xfId="0" applyFont="1" applyBorder="1" applyNumberFormat="1">
      <alignment horizontal="left" vertical="center" wrapText="1"/>
    </xf>
    <xf numFmtId="0" fontId="22" fillId="0" borderId="0" xfId="0" applyFont="1" applyNumberFormat="1">
      <alignment vertical="center" wrapText="1"/>
    </xf>
    <xf numFmtId="49" fontId="48" fillId="0" borderId="0" xfId="0" applyFont="1" applyNumberFormat="1">
      <alignment vertical="center" wrapText="1"/>
    </xf>
    <xf numFmtId="0" fontId="48" fillId="0" borderId="0" xfId="0" applyFont="1" applyNumberFormat="1">
      <alignment vertical="center" wrapText="1"/>
    </xf>
    <xf numFmtId="0" fontId="22" fillId="0" borderId="12" xfId="0" applyFont="1" applyBorder="1" applyNumberFormat="1">
      <alignment horizontal="center" vertical="center"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0" fontId="48" fillId="0" borderId="0" xfId="0" applyFont="1" applyNumberFormat="1">
      <alignment horizontal="left" vertical="center" wrapText="1"/>
    </xf>
    <xf numFmtId="49" fontId="48" fillId="0" borderId="0" xfId="0" applyFont="1" applyNumberFormat="1">
      <alignment horizontal="left" vertical="center" wrapText="1"/>
    </xf>
    <xf numFmtId="0" fontId="48" fillId="0" borderId="0" xfId="0" applyFont="1" applyNumberFormat="1">
      <alignment vertical="center" wrapText="1"/>
    </xf>
    <xf numFmtId="49" fontId="53" fillId="0" borderId="12" xfId="0" applyFont="1" applyBorder="1" applyNumberFormat="1">
      <alignment horizontal="left" vertical="center" wrapText="1"/>
    </xf>
    <xf numFmtId="14" fontId="22" fillId="40" borderId="12" xfId="0" applyFont="1" applyFill="1" applyBorder="1" applyNumberFormat="1">
      <alignment horizontal="center" vertical="center" wrapText="1"/>
    </xf>
    <xf numFmtId="0" fontId="22" fillId="0" borderId="12" xfId="0" applyFont="1" applyBorder="1" applyNumberFormat="1">
      <alignment horizontal="center" vertical="center" wrapText="1"/>
    </xf>
    <xf numFmtId="0" fontId="22" fillId="0" borderId="0" xfId="0" applyFont="1" applyNumberFormat="1">
      <alignment horizontal="center" vertical="center" wrapText="1"/>
    </xf>
    <xf numFmtId="0" fontId="22" fillId="0" borderId="12" xfId="0" applyFont="1" applyBorder="1" applyNumberFormat="1">
      <alignment horizontal="center" vertical="center" wrapText="1"/>
    </xf>
    <xf numFmtId="49" fontId="22" fillId="40" borderId="12" xfId="0" applyFont="1" applyFill="1" applyBorder="1" applyNumberFormat="1">
      <alignment horizontal="center" vertical="center" wrapText="1"/>
    </xf>
    <xf numFmtId="0" fontId="82" fillId="0" borderId="0" xfId="0" applyFont="1" applyNumberFormat="1">
      <alignment horizontal="center" vertical="center" wrapText="1"/>
    </xf>
    <xf numFmtId="0" fontId="37" fillId="0" borderId="0" xfId="0" applyFont="1" applyNumberFormat="1">
      <alignment horizontal="center" vertical="center" wrapText="1"/>
    </xf>
    <xf numFmtId="49" fontId="22" fillId="0" borderId="12" xfId="0" applyFont="1" applyBorder="1" applyNumberFormat="1">
      <alignment horizontal="center" vertical="center" wrapText="1"/>
    </xf>
    <xf numFmtId="0" fontId="0" fillId="35" borderId="14" xfId="0" applyFont="1" applyFill="1" applyBorder="1" applyNumberFormat="1">
      <alignment horizontal="left" vertical="center" wrapText="1"/>
    </xf>
    <xf numFmtId="49" fontId="50" fillId="37" borderId="15" xfId="0" applyFont="1" applyFill="1" applyBorder="1" applyNumberFormat="1">
      <alignment horizontal="center" vertical="center"/>
    </xf>
    <xf numFmtId="0" fontId="33" fillId="0" borderId="0" xfId="0" applyFont="1" applyNumberFormat="1">
      <alignment vertical="center" wrapText="1"/>
    </xf>
    <xf numFmtId="0" fontId="32" fillId="0" borderId="0" xfId="0" applyFont="1" applyNumberFormat="1">
      <alignment horizontal="center" vertical="center" wrapText="1"/>
    </xf>
    <xf numFmtId="0" fontId="22" fillId="0" borderId="0" xfId="0" applyFont="1" applyNumberFormat="1">
      <alignment horizontal="center" vertical="center" wrapText="1"/>
    </xf>
    <xf numFmtId="0" fontId="22" fillId="0" borderId="0" xfId="0" applyFont="1" applyNumberFormat="1">
      <alignment vertical="center" wrapText="1"/>
    </xf>
    <xf numFmtId="0" fontId="47" fillId="0" borderId="0" xfId="0" applyFont="1" applyNumberFormat="1">
      <alignment horizontal="center" vertical="center" wrapText="1"/>
    </xf>
    <xf numFmtId="0" fontId="83" fillId="0" borderId="0" xfId="0" applyFont="1" applyNumberFormat="1">
      <alignment vertical="center" wrapText="1"/>
    </xf>
    <xf numFmtId="49" fontId="47" fillId="0" borderId="0" xfId="0" applyFont="1" applyNumberFormat="1">
      <alignment horizontal="center" vertical="center" wrapText="1"/>
    </xf>
    <xf numFmtId="0" fontId="47" fillId="0" borderId="0" xfId="0" applyFont="1" applyNumberFormat="1">
      <alignment vertical="center" wrapText="1"/>
    </xf>
    <xf numFmtId="49" fontId="22" fillId="0" borderId="0" xfId="0" applyFont="1" applyNumberFormat="1">
      <alignment horizontal="center" vertical="top" wrapText="1"/>
    </xf>
    <xf numFmtId="49" fontId="22" fillId="0" borderId="12" xfId="0" applyFont="1" applyBorder="1" applyNumberFormat="1">
      <alignment horizontal="center" vertical="center" wrapText="1"/>
    </xf>
    <xf numFmtId="49" fontId="22" fillId="39" borderId="12" xfId="0" applyFont="1" applyFill="1" applyBorder="1" applyNumberFormat="1">
      <alignment vertical="center" wrapText="1"/>
      <protection locked="0"/>
    </xf>
    <xf numFmtId="4" fontId="22" fillId="36" borderId="12" xfId="0" applyFont="1" applyFill="1" applyBorder="1" applyNumberFormat="1">
      <alignment horizontal="right" vertical="center" wrapText="1"/>
      <protection locked="0"/>
    </xf>
    <xf numFmtId="0" fontId="22" fillId="0" borderId="13" xfId="0" applyFont="1" applyBorder="1" applyNumberFormat="1">
      <alignment vertical="top" wrapText="1"/>
    </xf>
    <xf numFmtId="0" fontId="84" fillId="0" borderId="0" xfId="0" applyFont="1" applyNumberFormat="1">
      <alignment vertical="center" wrapText="1"/>
    </xf>
    <xf numFmtId="0" fontId="54" fillId="0" borderId="0" xfId="0" applyFont="1" applyNumberFormat="1">
      <alignment vertical="center" wrapText="1"/>
    </xf>
    <xf numFmtId="503" fontId="22" fillId="36" borderId="12" xfId="0" applyFont="1" applyFill="1" applyBorder="1" applyNumberFormat="1">
      <alignment horizontal="right" vertical="center" wrapText="1"/>
      <protection locked="0"/>
    </xf>
    <xf numFmtId="0" fontId="22" fillId="0" borderId="28" xfId="0" applyFont="1" applyBorder="1" applyNumberFormat="1">
      <alignment horizontal="center" vertical="center" wrapText="1"/>
    </xf>
    <xf numFmtId="0" fontId="22" fillId="39" borderId="12" xfId="0" applyFont="1" applyFill="1" applyBorder="1" applyNumberFormat="1">
      <alignment horizontal="left" vertical="center" wrapText="1" indent="2"/>
      <protection locked="0"/>
    </xf>
    <xf numFmtId="49" fontId="48" fillId="0" borderId="0" xfId="0" applyFont="1" applyNumberFormat="1">
      <alignment horizontal="center" vertical="center" wrapText="1"/>
    </xf>
    <xf numFmtId="0" fontId="48" fillId="0" borderId="28" xfId="0" applyFont="1" applyBorder="1" applyNumberFormat="1">
      <alignment horizontal="center" vertical="center" wrapText="1"/>
    </xf>
    <xf numFmtId="0" fontId="48" fillId="0" borderId="12" xfId="0" applyFont="1" applyBorder="1" applyNumberFormat="1">
      <alignment horizontal="left" vertical="center" wrapText="1" indent="2"/>
    </xf>
    <xf numFmtId="0" fontId="48" fillId="0" borderId="12" xfId="0" applyFont="1" applyBorder="1" applyNumberFormat="1">
      <alignment horizontal="center" vertical="center" wrapText="1"/>
    </xf>
    <xf numFmtId="0" fontId="48" fillId="0" borderId="12" xfId="0" applyFont="1" applyBorder="1" applyNumberFormat="1">
      <alignment vertical="center" wrapText="1"/>
    </xf>
    <xf numFmtId="0" fontId="22" fillId="0" borderId="12" xfId="0" applyFont="1" applyBorder="1" applyNumberFormat="1">
      <alignment horizontal="left" vertical="center" wrapText="1" indent="3"/>
    </xf>
    <xf numFmtId="49" fontId="22" fillId="39" borderId="12" xfId="0" applyFont="1" applyFill="1" applyBorder="1" applyNumberFormat="1">
      <alignment horizontal="center" vertical="center" wrapText="1"/>
      <protection locked="0"/>
    </xf>
    <xf numFmtId="0" fontId="22" fillId="36" borderId="12" xfId="0" applyFont="1" applyFill="1" applyBorder="1" applyNumberFormat="1">
      <alignment horizontal="left" vertical="center" wrapText="1"/>
      <protection locked="0"/>
    </xf>
    <xf numFmtId="0" fontId="46" fillId="0" borderId="0" xfId="0" applyFont="1" applyNumberFormat="1">
      <alignment vertical="center" wrapText="1"/>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0" fontId="22" fillId="0" borderId="12" xfId="0" applyFont="1" applyBorder="1" applyNumberFormat="1">
      <alignment horizontal="left" vertical="center" wrapText="1" inden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pplyNumberFormat="1">
      <alignment horizontal="left" vertical="center" wrapText="1" indent="2"/>
    </xf>
    <xf numFmtId="0" fontId="72" fillId="0" borderId="12" xfId="0" applyFont="1" applyBorder="1" applyNumberFormat="1">
      <alignment horizontal="center" vertical="center" wrapText="1"/>
    </xf>
    <xf numFmtId="0" fontId="72" fillId="0" borderId="12" xfId="0" applyFont="1" applyBorder="1" applyNumberFormat="1">
      <alignment vertical="center" wrapText="1"/>
    </xf>
    <xf numFmtId="0" fontId="85" fillId="0" borderId="0" xfId="0" applyFont="1" applyNumberFormat="1">
      <alignment vertical="center" wrapText="1"/>
    </xf>
    <xf numFmtId="0" fontId="63" fillId="0" borderId="0" xfId="0" applyFont="1" applyNumberFormat="1">
      <alignment vertical="center" wrapText="1"/>
    </xf>
    <xf numFmtId="0" fontId="72" fillId="0" borderId="28" xfId="0" applyFont="1" applyBorder="1" applyNumberFormat="1">
      <alignment horizontal="center" vertical="center" wrapText="1"/>
    </xf>
    <xf numFmtId="0" fontId="72" fillId="0" borderId="12" xfId="0" applyFont="1" applyBorder="1" applyNumberFormat="1">
      <alignment horizontal="left" vertical="center" wrapText="1" indent="3"/>
    </xf>
    <xf numFmtId="4" fontId="72" fillId="0" borderId="12" xfId="0" applyFont="1" applyBorder="1" applyNumberFormat="1">
      <alignment horizontal="right" vertical="center" wrapText="1"/>
    </xf>
    <xf numFmtId="49" fontId="22" fillId="37" borderId="14" xfId="0" applyFont="1" applyFill="1" applyBorder="1" applyNumberFormat="1">
      <alignment vertical="center" wrapText="1"/>
    </xf>
    <xf numFmtId="49" fontId="40" fillId="37" borderId="15" xfId="0" applyFont="1" applyFill="1" applyBorder="1" applyNumberFormat="1">
      <alignment horizontal="left" vertical="center" indent="2"/>
    </xf>
    <xf numFmtId="0" fontId="22" fillId="37" borderId="15" xfId="0" applyFont="1" applyFill="1" applyBorder="1" applyNumberFormat="1">
      <alignment vertical="center" wrapText="1"/>
    </xf>
    <xf numFmtId="0" fontId="47" fillId="37" borderId="13" xfId="0" applyFont="1" applyFill="1" applyBorder="1" applyNumberFormat="1">
      <alignment vertical="center" wrapText="1"/>
    </xf>
    <xf numFmtId="14" fontId="22" fillId="0" borderId="0" xfId="0" applyFont="1" applyNumberFormat="1">
      <alignment horizontal="center" vertical="center" wrapText="1"/>
    </xf>
    <xf numFmtId="49" fontId="50" fillId="0" borderId="0" xfId="0" applyFont="1" applyNumberFormat="1">
      <alignment horizontal="center" vertical="center"/>
    </xf>
    <xf numFmtId="0" fontId="22" fillId="0" borderId="12" xfId="0" applyFont="1" applyBorder="1" applyNumberFormat="1">
      <alignment horizontal="left" vertical="center" wrapText="1" indent="2"/>
    </xf>
    <xf numFmtId="503" fontId="22" fillId="39" borderId="12" xfId="0" applyFont="1" applyFill="1" applyBorder="1" applyNumberFormat="1">
      <alignment horizontal="right" vertical="center" wrapText="1"/>
      <protection locked="0"/>
    </xf>
    <xf numFmtId="0" fontId="22" fillId="0" borderId="17" xfId="0" applyFont="1" applyBorder="1" applyNumberFormat="1">
      <alignment horizontal="center" vertical="center" wrapText="1"/>
    </xf>
    <xf numFmtId="4" fontId="22" fillId="34" borderId="17" xfId="0" applyFont="1" applyFill="1" applyBorder="1" applyNumberFormat="1">
      <alignment horizontal="right" vertical="center" wrapText="1"/>
    </xf>
    <xf numFmtId="49" fontId="40" fillId="37" borderId="15" xfId="0" applyFont="1" applyFill="1" applyBorder="1" applyNumberFormat="1">
      <alignment horizontal="left" vertical="center" indent="1"/>
    </xf>
    <xf numFmtId="0" fontId="22" fillId="0" borderId="0" xfId="0" applyFont="1" applyNumberFormat="1">
      <alignment horizontal="left" vertical="center" wrapText="1"/>
    </xf>
    <xf numFmtId="0" fontId="22" fillId="0" borderId="0" xfId="0" applyFont="1" applyNumberFormat="1">
      <alignment vertical="center"/>
    </xf>
    <xf numFmtId="0" fontId="0" fillId="0" borderId="0" xfId="0" applyFont="1" applyNumberFormat="1">
      <alignment vertical="center"/>
    </xf>
    <xf numFmtId="0" fontId="47" fillId="0" borderId="0" xfId="0" applyFont="1" applyNumberFormat="1">
      <alignment vertical="center"/>
    </xf>
    <xf numFmtId="0" fontId="22" fillId="0" borderId="0" xfId="0" applyFont="1" applyNumberFormat="1">
      <alignment vertical="center"/>
    </xf>
    <xf numFmtId="0" fontId="86" fillId="0" borderId="0" xfId="0" applyFont="1" applyNumberFormat="1">
      <alignment vertical="center"/>
    </xf>
    <xf numFmtId="0" fontId="41" fillId="0" borderId="0" xfId="0" applyFont="1" applyNumberFormat="1">
      <alignment vertical="center"/>
    </xf>
    <xf numFmtId="0" fontId="22" fillId="0" borderId="0" xfId="0" applyFont="1" applyNumberFormat="1">
      <alignment vertical="center" wrapText="1"/>
    </xf>
    <xf numFmtId="0" fontId="41" fillId="0" borderId="0" xfId="0" applyFont="1" applyNumberFormat="1">
      <alignment vertical="center"/>
    </xf>
    <xf numFmtId="0" fontId="86" fillId="0" borderId="0" xfId="0" applyFont="1" applyNumberFormat="1">
      <alignment vertical="center"/>
    </xf>
    <xf numFmtId="0" fontId="31" fillId="0" borderId="0" xfId="0" applyFont="1" applyNumberFormat="1">
      <alignment vertical="center"/>
    </xf>
    <xf numFmtId="0" fontId="22" fillId="0" borderId="0" xfId="0" applyFont="1" applyNumberFormat="1">
      <alignment horizontal="center" vertical="center" wrapText="1"/>
    </xf>
    <xf numFmtId="49" fontId="36" fillId="0" borderId="0" xfId="0" applyFont="1" applyNumberFormat="1">
      <alignment horizontal="center" vertical="center" wrapText="1"/>
    </xf>
    <xf numFmtId="49" fontId="36" fillId="0" borderId="12" xfId="0" applyFont="1" applyBorder="1" applyNumberFormat="1">
      <alignment horizontal="center" vertical="center" wrapText="1"/>
    </xf>
    <xf numFmtId="0" fontId="47" fillId="0" borderId="0" xfId="0" applyFont="1" applyNumberFormat="1">
      <alignment vertical="center"/>
    </xf>
    <xf numFmtId="0" fontId="0" fillId="0" borderId="0" xfId="0" applyFont="1" applyNumberFormat="1">
      <alignment vertical="center"/>
    </xf>
    <xf numFmtId="0" fontId="48" fillId="0" borderId="0" xfId="0" applyFont="1" applyNumberFormat="1">
      <alignment horizontal="center" vertical="center"/>
    </xf>
    <xf numFmtId="0" fontId="22" fillId="0" borderId="0" xfId="0" applyFont="1" applyNumberFormat="1">
      <alignment horizontal="center" vertical="center" wrapText="1"/>
    </xf>
    <xf numFmtId="0" fontId="22" fillId="37" borderId="14"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0" fontId="0" fillId="37" borderId="13" xfId="0" applyFont="1" applyFill="1" applyBorder="1" applyNumberFormat="1">
      <alignment vertical="center"/>
    </xf>
    <xf numFmtId="49" fontId="22" fillId="0" borderId="17" xfId="0" applyFont="1" applyBorder="1" applyNumberFormat="1">
      <alignment horizontal="center" vertical="center" wrapText="1"/>
    </xf>
    <xf numFmtId="49" fontId="75" fillId="0" borderId="12" xfId="0" applyFont="1" applyBorder="1" applyNumberFormat="1">
      <alignment horizontal="left" vertical="center" wrapText="1" indent="1"/>
    </xf>
    <xf numFmtId="0" fontId="47" fillId="0" borderId="0" xfId="0" applyFont="1" applyNumberFormat="1">
      <alignment vertical="center"/>
    </xf>
    <xf numFmtId="0" fontId="74" fillId="0" borderId="0" xfId="0" applyFont="1" applyNumberFormat="1">
      <alignment vertical="center"/>
    </xf>
    <xf numFmtId="0" fontId="0" fillId="0" borderId="0" xfId="0" applyFont="1" applyNumberFormat="1">
      <alignment vertical="center"/>
    </xf>
    <xf numFmtId="49" fontId="40" fillId="37" borderId="13" xfId="0" applyFont="1" applyFill="1" applyBorder="1" applyNumberFormat="1">
      <alignment horizontal="left" vertical="center" indent="1"/>
    </xf>
    <xf numFmtId="49" fontId="50" fillId="37" borderId="13" xfId="0" applyFont="1" applyFill="1" applyBorder="1" applyNumberFormat="1">
      <alignment horizontal="right" vertical="center" wrapText="1"/>
    </xf>
    <xf numFmtId="0" fontId="75" fillId="42" borderId="0" xfId="0" applyFont="1" applyFill="1" applyNumberFormat="1">
      <alignment vertical="top"/>
    </xf>
    <xf numFmtId="49" fontId="32" fillId="0" borderId="0" xfId="0" applyFont="1" applyNumberFormat="1">
      <alignment horizontal="center" vertical="center" wrapText="1"/>
    </xf>
    <xf numFmtId="0" fontId="48" fillId="0" borderId="0" xfId="0" applyFont="1" applyNumberFormat="1">
      <alignment vertical="center" wrapText="1"/>
    </xf>
    <xf numFmtId="0" fontId="32" fillId="0" borderId="0" xfId="0" applyFont="1" applyNumberFormat="1">
      <alignment vertical="center" wrapText="1"/>
    </xf>
    <xf numFmtId="0" fontId="22" fillId="0" borderId="0" xfId="0" applyFont="1" applyNumberFormat="1">
      <alignment horizontal="center" vertical="center" wrapText="1"/>
    </xf>
    <xf numFmtId="0" fontId="50" fillId="0" borderId="0" xfId="0" applyFont="1" applyNumberFormat="1">
      <alignment horizontal="center" vertical="center" wrapText="1"/>
    </xf>
    <xf numFmtId="49" fontId="32" fillId="0" borderId="0" xfId="0" applyFont="1" applyNumberFormat="1">
      <alignment horizontal="center" vertical="center" wrapText="1"/>
    </xf>
    <xf numFmtId="4" fontId="22" fillId="0" borderId="0" xfId="0" applyFont="1" applyNumberFormat="1">
      <alignment horizontal="right" vertical="center" wrapText="1"/>
    </xf>
    <xf numFmtId="9" fontId="50" fillId="0" borderId="0" xfId="0" applyFont="1" applyNumberFormat="1">
      <alignment horizontal="center" vertical="center" wrapText="1"/>
    </xf>
    <xf numFmtId="0" fontId="71" fillId="0" borderId="0" xfId="0" applyFont="1" applyNumberFormat="1">
      <alignment vertical="center" wrapText="1"/>
    </xf>
    <xf numFmtId="0" fontId="48" fillId="0" borderId="0" xfId="0" applyFont="1" applyNumberFormat="1">
      <alignment vertical="center" wrapText="1"/>
    </xf>
    <xf numFmtId="0" fontId="32" fillId="0" borderId="0" xfId="0" applyFont="1" applyNumberFormat="1">
      <alignment vertical="center" wrapText="1"/>
    </xf>
    <xf numFmtId="49" fontId="63" fillId="0" borderId="0" xfId="0" applyFont="1" applyNumberFormat="1">
      <alignment horizontal="center" vertical="center" wrapText="1"/>
    </xf>
    <xf numFmtId="0" fontId="63" fillId="0" borderId="0" xfId="0" applyFont="1" applyNumberFormat="1">
      <alignment vertical="center" wrapText="1"/>
    </xf>
    <xf numFmtId="0" fontId="0" fillId="0" borderId="0" xfId="0" applyFont="1" applyNumberFormat="1">
      <alignment vertical="top"/>
    </xf>
    <xf numFmtId="49" fontId="0" fillId="0" borderId="0" xfId="0" applyFont="1" applyNumberFormat="1">
      <alignment vertical="top"/>
    </xf>
    <xf numFmtId="49" fontId="48" fillId="0" borderId="0" xfId="0" applyFont="1" applyNumberFormat="1">
      <alignment vertical="top"/>
    </xf>
    <xf numFmtId="49" fontId="47" fillId="0" borderId="0" xfId="0" applyFont="1" applyNumberFormat="1">
      <alignment vertical="top"/>
    </xf>
    <xf numFmtId="49" fontId="48" fillId="0" borderId="0" xfId="0" applyFont="1" applyNumberFormat="1">
      <alignment vertical="top"/>
    </xf>
    <xf numFmtId="49" fontId="47" fillId="0" borderId="0" xfId="0" applyFont="1" applyNumberFormat="1">
      <alignment vertical="top"/>
    </xf>
    <xf numFmtId="49" fontId="47" fillId="0" borderId="0" xfId="0" applyFont="1" applyNumberFormat="1">
      <alignment vertical="top"/>
    </xf>
    <xf numFmtId="0" fontId="47" fillId="0" borderId="0" xfId="0" applyFont="1" applyNumberFormat="1">
      <alignment vertical="top"/>
    </xf>
    <xf numFmtId="0" fontId="74" fillId="0" borderId="0" xfId="0" applyFont="1" applyNumberFormat="1">
      <alignment vertical="top"/>
    </xf>
    <xf numFmtId="0" fontId="87" fillId="0" borderId="0" xfId="0" applyFont="1" applyNumberFormat="1">
      <alignment vertical="top"/>
    </xf>
    <xf numFmtId="0" fontId="47" fillId="0" borderId="0" xfId="0" applyFont="1" applyNumberFormat="1">
      <alignment horizontal="center" vertical="center" wrapText="1"/>
    </xf>
    <xf numFmtId="0" fontId="48" fillId="0" borderId="0" xfId="0" applyFont="1" applyNumberFormat="1">
      <alignment horizontal="center" vertical="center" wrapText="1"/>
    </xf>
    <xf numFmtId="0" fontId="48" fillId="0" borderId="12" xfId="0" applyFont="1" applyBorder="1" applyNumberFormat="1">
      <alignment horizontal="left" vertical="center" wrapText="1"/>
    </xf>
    <xf numFmtId="0" fontId="48" fillId="0" borderId="12" xfId="0" applyFont="1" applyBorder="1" applyNumberFormat="1">
      <alignment vertical="center" wrapText="1"/>
    </xf>
    <xf numFmtId="49" fontId="0" fillId="0" borderId="13" xfId="0" applyFont="1" applyBorder="1" applyNumberFormat="1">
      <alignment horizontal="center"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0" fontId="0" fillId="0" borderId="12" xfId="0" applyFont="1" applyBorder="1" applyNumberFormat="1">
      <alignment vertical="center" wrapText="1"/>
    </xf>
    <xf numFmtId="49" fontId="0" fillId="0" borderId="29" xfId="0" applyFont="1" applyBorder="1" applyNumberFormat="1">
      <alignment horizontal="center" vertical="center" wrapText="1"/>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7" fillId="0" borderId="12" xfId="0" applyFont="1" applyBorder="1" applyNumberFormat="1">
      <alignment horizontal="right" vertical="center" wrapText="1"/>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40" fillId="37" borderId="15" xfId="0" applyFont="1" applyFill="1" applyBorder="1" applyNumberFormat="1">
      <alignment horizontal="left" vertical="center"/>
    </xf>
    <xf numFmtId="49" fontId="40" fillId="37" borderId="13" xfId="0" applyFont="1" applyFill="1" applyBorder="1" applyNumberFormat="1">
      <alignment horizontal="left" vertical="center" indent="1"/>
    </xf>
    <xf numFmtId="49" fontId="40" fillId="37" borderId="14" xfId="0" applyFont="1" applyFill="1" applyBorder="1" applyNumberFormat="1">
      <alignment horizontal="left" vertical="center"/>
    </xf>
    <xf numFmtId="49" fontId="40" fillId="37" borderId="15" xfId="0" applyFont="1" applyFill="1" applyBorder="1" applyNumberFormat="1">
      <alignment horizontal="left" vertical="center" indent="1"/>
    </xf>
    <xf numFmtId="49" fontId="40" fillId="37" borderId="15" xfId="0" applyFont="1" applyFill="1" applyBorder="1" applyNumberFormat="1">
      <alignment horizontal="left" vertical="center"/>
    </xf>
    <xf numFmtId="49" fontId="40" fillId="37" borderId="13" xfId="0" applyFont="1" applyFill="1" applyBorder="1" applyNumberFormat="1">
      <alignment horizontal="left" vertical="center" indent="1"/>
    </xf>
    <xf numFmtId="0" fontId="40" fillId="0" borderId="12" xfId="0" applyFont="1" applyBorder="1" applyNumberFormat="1">
      <alignment horizontal="left" vertical="center" indent="1"/>
    </xf>
    <xf numFmtId="0" fontId="22" fillId="0" borderId="0" xfId="0" applyFont="1" applyNumberFormat="1">
      <alignment horizontal="right" vertical="center" wrapText="1"/>
    </xf>
    <xf numFmtId="0" fontId="0" fillId="0" borderId="0" xfId="0" applyFont="1" applyNumberFormat="1">
      <alignment vertical="center"/>
    </xf>
    <xf numFmtId="0" fontId="45" fillId="0" borderId="0" xfId="0" applyFont="1" applyNumberFormat="1">
      <alignment horizontal="right" vertical="top" wrapText="1"/>
    </xf>
    <xf numFmtId="0" fontId="22" fillId="0" borderId="0" xfId="0" applyFont="1" applyNumberFormat="1">
      <alignment vertical="top" wrapText="1"/>
    </xf>
    <xf numFmtId="0" fontId="22" fillId="0" borderId="0" xfId="0" applyFont="1" applyNumberFormat="1">
      <alignment horizontal="left" vertical="top" wrapText="1"/>
    </xf>
    <xf numFmtId="0" fontId="36" fillId="0" borderId="0" xfId="0" applyFont="1" applyNumberFormat="1">
      <alignment horizontal="center"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49" fontId="53" fillId="36" borderId="14"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45" fillId="0" borderId="0" xfId="0" applyFont="1" applyNumberFormat="1">
      <alignment vertical="top"/>
    </xf>
    <xf numFmtId="49" fontId="22" fillId="0" borderId="31" xfId="0" applyFont="1" applyBorder="1" applyNumberFormat="1">
      <alignment horizontal="center" vertical="center" wrapText="1"/>
    </xf>
    <xf numFmtId="0" fontId="22" fillId="0" borderId="31" xfId="0" applyFont="1" applyBorder="1" applyNumberFormat="1">
      <alignment horizontal="left" vertical="center" wrapText="1"/>
    </xf>
    <xf numFmtId="0" fontId="22" fillId="0" borderId="31" xfId="0" applyFont="1" applyBorder="1" applyNumberFormat="1">
      <alignment horizontal="left" vertical="center" wrapText="1" indent="1"/>
    </xf>
    <xf numFmtId="4" fontId="22" fillId="39" borderId="31" xfId="0" applyFont="1" applyFill="1" applyBorder="1" applyNumberFormat="1">
      <alignment horizontal="right" vertical="center" wrapText="1"/>
      <protection locked="0"/>
    </xf>
    <xf numFmtId="49" fontId="22" fillId="0" borderId="32" xfId="0" applyFont="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0" fontId="22" fillId="0" borderId="31" xfId="0" applyFont="1" applyBorder="1" applyNumberFormat="1">
      <alignment horizontal="left" vertical="center" wrapText="1" indent="2"/>
    </xf>
    <xf numFmtId="0" fontId="47" fillId="0" borderId="0" xfId="0" applyFont="1" applyNumberFormat="1">
      <alignment horizontal="center" vertical="center" wrapText="1"/>
    </xf>
    <xf numFmtId="49" fontId="22" fillId="0" borderId="0" xfId="0" applyFont="1" applyNumberFormat="1">
      <alignment horizontal="left" vertical="center" wrapText="1"/>
    </xf>
    <xf numFmtId="0" fontId="83" fillId="0" borderId="0" xfId="0" applyFont="1" applyNumberFormat="1">
      <alignment vertical="center" wrapText="1"/>
    </xf>
    <xf numFmtId="0" fontId="83" fillId="0" borderId="0" xfId="0" applyFont="1" applyNumberFormat="1">
      <alignment vertical="center" wrapText="1"/>
    </xf>
    <xf numFmtId="0" fontId="22" fillId="0" borderId="0" xfId="0" applyFont="1" applyNumberFormat="1">
      <alignment horizontal="left" vertical="center" wrapText="1"/>
    </xf>
    <xf numFmtId="0" fontId="22" fillId="0" borderId="12" xfId="0" applyFont="1" applyBorder="1" applyNumberFormat="1">
      <alignment horizontal="left" vertical="center" wrapText="1"/>
    </xf>
    <xf numFmtId="3" fontId="22" fillId="0" borderId="14" xfId="0" applyFont="1" applyBorder="1" applyNumberFormat="1">
      <alignment vertical="center" wrapText="1"/>
    </xf>
    <xf numFmtId="0" fontId="22" fillId="0" borderId="13" xfId="0" applyFont="1" applyBorder="1" applyNumberFormat="1">
      <alignment vertical="center" wrapText="1"/>
    </xf>
    <xf numFmtId="4" fontId="22" fillId="36" borderId="14" xfId="0" applyFont="1" applyFill="1" applyBorder="1" applyNumberFormat="1">
      <alignment horizontal="right" vertical="center" wrapText="1"/>
      <protection locked="0"/>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36" fillId="0" borderId="0" xfId="0" applyFont="1" applyNumberFormat="1">
      <alignment horizontal="center" vertical="center" wrapText="1"/>
    </xf>
    <xf numFmtId="0" fontId="22" fillId="0" borderId="14" xfId="0" applyFont="1" applyBorder="1" applyNumberFormat="1">
      <alignment horizontal="center" vertical="center" wrapText="1"/>
    </xf>
    <xf numFmtId="3" fontId="22" fillId="39" borderId="14" xfId="0" applyFont="1" applyFill="1" applyBorder="1" applyNumberFormat="1">
      <alignment vertical="center" wrapText="1"/>
      <protection locked="0"/>
    </xf>
    <xf numFmtId="49" fontId="22" fillId="36" borderId="14" xfId="0" applyFont="1" applyFill="1" applyBorder="1" applyNumberFormat="1">
      <alignment horizontal="left" vertical="center" wrapText="1"/>
      <protection locked="0"/>
    </xf>
    <xf numFmtId="4" fontId="22" fillId="34" borderId="14" xfId="0" applyFont="1" applyFill="1" applyBorder="1" applyNumberFormat="1">
      <alignment horizontal="right" vertical="center" wrapText="1"/>
    </xf>
    <xf numFmtId="0" fontId="22" fillId="0" borderId="0" xfId="0" applyFont="1" applyNumberFormat="1">
      <alignment horizontal="left" vertical="center" wrapText="1"/>
    </xf>
    <xf numFmtId="0" fontId="0" fillId="0" borderId="14" xfId="0" applyFont="1" applyBorder="1" applyNumberFormat="1">
      <alignment horizontal="center" vertical="center"/>
    </xf>
    <xf numFmtId="49" fontId="0" fillId="0" borderId="12" xfId="0" applyFont="1" applyBorder="1" applyNumberFormat="1">
      <alignment horizontal="left" vertical="center" wrapText="1" indent="1"/>
    </xf>
    <xf numFmtId="0" fontId="22" fillId="0" borderId="13" xfId="0" applyFont="1" applyBorder="1" applyNumberFormat="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37" borderId="19" xfId="0" applyFont="1" applyFill="1" applyBorder="1" applyNumberFormat="1">
      <alignment vertical="center" wrapText="1"/>
    </xf>
    <xf numFmtId="0" fontId="22" fillId="0" borderId="15" xfId="0" applyFont="1" applyBorder="1" applyNumberFormat="1">
      <alignment horizontal="center" vertical="center" wrapText="1"/>
    </xf>
    <xf numFmtId="0" fontId="22" fillId="37" borderId="27" xfId="0" applyFont="1" applyFill="1" applyBorder="1" applyNumberFormat="1">
      <alignment vertical="center" wrapText="1"/>
    </xf>
    <xf numFmtId="49" fontId="22" fillId="39" borderId="14" xfId="0" applyFont="1" applyFill="1" applyBorder="1" applyNumberFormat="1">
      <alignment horizontal="left" vertical="center" wrapText="1"/>
      <protection locked="0"/>
    </xf>
    <xf numFmtId="49" fontId="0" fillId="36" borderId="12" xfId="0" applyFont="1" applyFill="1" applyBorder="1" applyNumberFormat="1">
      <alignment horizontal="left" vertical="center" wrapText="1"/>
      <protection locked="0"/>
    </xf>
    <xf numFmtId="0" fontId="46" fillId="0" borderId="0" xfId="0" applyFont="1" applyNumberFormat="1">
      <alignment horizontal="left" vertical="center" wrapText="1" indent="1"/>
    </xf>
    <xf numFmtId="0" fontId="88" fillId="0" borderId="0" xfId="0" applyFont="1" applyNumberFormat="1">
      <alignment vertical="center" wrapText="1"/>
    </xf>
    <xf numFmtId="0" fontId="88" fillId="35" borderId="0" xfId="0" applyFont="1" applyFill="1" applyNumberFormat="1">
      <alignment horizontal="center" vertical="center" wrapText="1"/>
    </xf>
    <xf numFmtId="0" fontId="88" fillId="35" borderId="0" xfId="0" applyFont="1" applyFill="1" applyNumberFormat="1">
      <alignment horizontal="right" vertical="center" wrapText="1"/>
    </xf>
    <xf numFmtId="0" fontId="22" fillId="0" borderId="12" xfId="0" applyFont="1" applyBorder="1" applyNumberFormat="1">
      <alignment horizontal="center" vertical="center" wrapText="1"/>
    </xf>
    <xf numFmtId="49" fontId="47" fillId="0" borderId="0" xfId="0" applyFont="1" applyNumberFormat="1">
      <alignment horizontal="center" vertical="center" wrapText="1"/>
    </xf>
    <xf numFmtId="0" fontId="22" fillId="0" borderId="12" xfId="0" applyFont="1" applyBorder="1" applyNumberFormat="1">
      <alignment horizontal="center" vertical="center" wrapText="1"/>
    </xf>
    <xf numFmtId="0" fontId="47" fillId="0" borderId="0" xfId="0" applyFont="1" applyNumberFormat="1">
      <alignment horizontal="center" vertical="top"/>
    </xf>
    <xf numFmtId="0" fontId="22" fillId="0" borderId="12" xfId="0" applyFont="1" applyBorder="1" applyNumberFormat="1">
      <alignment horizontal="left" vertical="center" wrapText="1"/>
    </xf>
    <xf numFmtId="0" fontId="48" fillId="0" borderId="0" xfId="0" applyFont="1" applyNumberFormat="1">
      <alignment horizontal="center" vertical="center" wrapText="1"/>
    </xf>
    <xf numFmtId="0" fontId="22" fillId="0" borderId="12" xfId="0" applyFont="1" applyBorder="1" applyNumberFormat="1">
      <alignment horizontal="left" vertical="center" wrapText="1"/>
    </xf>
    <xf numFmtId="49" fontId="22" fillId="40" borderId="12" xfId="0" applyFont="1" applyFill="1" applyBorder="1" applyNumberFormat="1">
      <alignment horizontal="left" vertical="center" wrapText="1" indent="1"/>
    </xf>
    <xf numFmtId="0" fontId="22" fillId="0" borderId="14" xfId="0" applyFont="1" applyBorder="1" applyNumberFormat="1">
      <alignment vertical="center" wrapText="1"/>
    </xf>
    <xf numFmtId="0" fontId="22" fillId="0" borderId="0" xfId="0" applyFont="1" applyNumberFormat="1">
      <alignment horizontal="right" vertical="center"/>
    </xf>
    <xf numFmtId="49" fontId="53" fillId="37" borderId="13" xfId="0" applyFont="1" applyFill="1" applyBorder="1" applyNumberFormat="1">
      <alignment horizontal="left" vertical="center" wrapText="1"/>
    </xf>
    <xf numFmtId="0" fontId="89" fillId="0" borderId="0" xfId="0" applyFont="1" applyNumberFormat="1">
      <alignment vertical="center"/>
    </xf>
    <xf numFmtId="0" fontId="90" fillId="0" borderId="0" xfId="0" applyFont="1" applyNumberFormat="1">
      <alignment vertical="center"/>
    </xf>
    <xf numFmtId="49" fontId="48" fillId="0" borderId="22" xfId="0" applyFont="1" applyBorder="1" applyNumberFormat="1">
      <alignment vertical="top"/>
    </xf>
    <xf numFmtId="49" fontId="48" fillId="0" borderId="22" xfId="0" applyFont="1" applyBorder="1" applyNumberFormat="1">
      <alignment vertical="top"/>
    </xf>
    <xf numFmtId="0" fontId="48" fillId="0" borderId="22" xfId="0" applyFont="1" applyBorder="1" applyNumberFormat="1">
      <alignment vertical="center" wrapText="1"/>
    </xf>
    <xf numFmtId="0" fontId="22" fillId="0" borderId="13" xfId="0" applyFont="1" applyBorder="1" applyNumberFormat="1">
      <alignment horizontal="left" vertical="center" wrapText="1" indent="1"/>
    </xf>
    <xf numFmtId="0" fontId="71" fillId="0" borderId="22" xfId="0" applyFont="1" applyBorder="1" applyNumberFormat="1">
      <alignment vertical="center" wrapText="1"/>
    </xf>
    <xf numFmtId="4" fontId="22" fillId="0" borderId="31" xfId="0" applyFont="1" applyBorder="1" applyNumberFormat="1">
      <alignment horizontal="center" vertical="center" wrapText="1"/>
    </xf>
    <xf numFmtId="0" fontId="22" fillId="0" borderId="33" xfId="0" applyFont="1" applyBorder="1" applyNumberFormat="1">
      <alignment horizontal="left" vertical="center" wrapText="1"/>
    </xf>
    <xf numFmtId="0" fontId="22" fillId="0" borderId="33" xfId="0" applyFont="1" applyBorder="1" applyNumberFormat="1">
      <alignment horizontal="left" vertical="center" wrapText="1" indent="1"/>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9" fontId="22" fillId="0" borderId="34" xfId="0" applyFont="1" applyBorder="1" applyNumberFormat="1">
      <alignment horizontal="center" vertical="center" wrapText="1"/>
    </xf>
    <xf numFmtId="4" fontId="22" fillId="39" borderId="14" xfId="0" applyFont="1" applyFill="1" applyBorder="1" applyNumberFormat="1">
      <alignment horizontal="right" vertical="center" wrapText="1"/>
      <protection locked="0"/>
    </xf>
    <xf numFmtId="4" fontId="22" fillId="39" borderId="34" xfId="0" applyFont="1" applyFill="1" applyBorder="1" applyNumberFormat="1">
      <alignment horizontal="right" vertical="center" wrapText="1"/>
      <protection locked="0"/>
    </xf>
    <xf numFmtId="0" fontId="47" fillId="0" borderId="0" xfId="0" applyFont="1" applyNumberFormat="1">
      <alignment horizontal="left" vertical="center" wrapText="1"/>
    </xf>
    <xf numFmtId="0" fontId="48" fillId="0" borderId="0" xfId="0" applyFont="1" applyNumberFormat="1">
      <alignment horizontal="left" vertical="center" wrapText="1"/>
    </xf>
    <xf numFmtId="0" fontId="54" fillId="0" borderId="0" xfId="0" applyFont="1" applyNumberFormat="1">
      <alignment horizontal="left" vertical="center" wrapText="1"/>
    </xf>
    <xf numFmtId="0" fontId="32" fillId="0" borderId="0" xfId="0" applyFont="1" applyNumberFormat="1">
      <alignment horizontal="left" vertical="center" wrapText="1"/>
    </xf>
    <xf numFmtId="49" fontId="22" fillId="0" borderId="0" xfId="0" applyFont="1" applyNumberFormat="1">
      <alignment horizontal="center" vertical="center" wrapText="1"/>
    </xf>
    <xf numFmtId="0" fontId="84" fillId="0" borderId="0" xfId="0" applyFont="1" applyNumberFormat="1">
      <alignment vertical="center" wrapText="1"/>
    </xf>
    <xf numFmtId="0" fontId="48" fillId="0" borderId="0" xfId="0" applyFont="1" applyNumberFormat="1">
      <alignment vertical="center" wrapText="1"/>
    </xf>
    <xf numFmtId="0" fontId="54" fillId="0" borderId="0" xfId="0" applyFont="1" applyNumberFormat="1">
      <alignment vertical="center" wrapText="1"/>
    </xf>
    <xf numFmtId="0" fontId="32" fillId="0" borderId="0" xfId="0" applyFont="1" applyNumberFormat="1">
      <alignment vertical="center" wrapText="1"/>
    </xf>
    <xf numFmtId="49" fontId="50" fillId="0" borderId="0" xfId="0" applyFont="1" applyNumberFormat="1">
      <alignment horizontal="center" vertical="center"/>
    </xf>
    <xf numFmtId="0" fontId="22" fillId="0" borderId="0" xfId="0" applyFont="1" applyNumberFormat="1">
      <alignment vertical="center" wrapText="1"/>
    </xf>
    <xf numFmtId="4" fontId="22" fillId="0" borderId="35"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49" fontId="22" fillId="0" borderId="33" xfId="0" applyFont="1" applyBorder="1" applyNumberFormat="1">
      <alignment horizontal="center" vertical="center" wrapText="1"/>
    </xf>
    <xf numFmtId="0" fontId="22" fillId="0" borderId="35" xfId="0" applyFont="1" applyBorder="1" applyNumberFormat="1">
      <alignment horizontal="left" vertical="center" wrapText="1"/>
    </xf>
    <xf numFmtId="0" fontId="22" fillId="0" borderId="20" xfId="0" applyFont="1" applyBorder="1" applyNumberFormat="1">
      <alignment vertical="center" wrapText="1"/>
    </xf>
    <xf numFmtId="0" fontId="37" fillId="0" borderId="0" xfId="0" applyFont="1" applyNumberFormat="1">
      <alignment horizontal="center" vertical="center" wrapText="1"/>
    </xf>
    <xf numFmtId="0" fontId="22" fillId="37" borderId="15" xfId="0" applyFont="1" applyFill="1" applyBorder="1" applyNumberFormat="1">
      <alignment vertical="center" wrapText="1"/>
    </xf>
    <xf numFmtId="0" fontId="47" fillId="37" borderId="13" xfId="0" applyFont="1" applyFill="1" applyBorder="1" applyNumberFormat="1">
      <alignment vertical="center" wrapText="1"/>
    </xf>
    <xf numFmtId="503" fontId="22" fillId="34" borderId="12" xfId="0" applyFont="1" applyFill="1" applyBorder="1" applyNumberFormat="1">
      <alignment horizontal="right" vertical="center" wrapText="1"/>
    </xf>
    <xf numFmtId="0" fontId="0" fillId="0" borderId="0" xfId="0" applyFont="1" applyNumberFormat="1">
      <alignment vertical="center"/>
    </xf>
    <xf numFmtId="4" fontId="22" fillId="36" borderId="12" xfId="0" applyFont="1" applyFill="1" applyBorder="1" applyNumberFormat="1">
      <alignment horizontal="right" vertical="center" wrapText="1"/>
      <protection locked="0"/>
    </xf>
    <xf numFmtId="0" fontId="73" fillId="35" borderId="0" xfId="0" applyFont="1" applyFill="1" applyNumberFormat="1">
      <alignment horizontal="right" vertical="center"/>
    </xf>
    <xf numFmtId="49" fontId="0" fillId="0" borderId="12" xfId="0" applyFont="1" applyBorder="1" applyNumberFormat="1">
      <alignment vertical="top"/>
    </xf>
    <xf numFmtId="0" fontId="22" fillId="0" borderId="14" xfId="0" applyFont="1" applyBorder="1" applyNumberFormat="1">
      <alignment horizontal="center" vertical="center" wrapText="1"/>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43" borderId="17" xfId="0" applyFont="1" applyFill="1" applyBorder="1" applyNumberFormat="1">
      <alignment vertical="top"/>
    </xf>
    <xf numFmtId="0" fontId="22" fillId="0" borderId="0" xfId="0" applyFont="1" applyNumberFormat="1">
      <alignment vertical="center" wrapText="1"/>
    </xf>
    <xf numFmtId="0" fontId="32" fillId="0" borderId="0" xfId="0" applyFont="1" applyNumberFormat="1">
      <alignment vertical="center" wrapText="1"/>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49" fontId="22" fillId="0" borderId="0" xfId="0" applyFont="1" applyNumberFormat="1">
      <alignment vertical="center" wrapText="1"/>
    </xf>
    <xf numFmtId="0" fontId="22" fillId="0" borderId="0" xfId="0" applyFont="1" applyNumberFormat="1">
      <alignment horizontal="center" vertical="center" wrapText="1"/>
    </xf>
    <xf numFmtId="49" fontId="0" fillId="0" borderId="14" xfId="0" applyFont="1" applyBorder="1" applyNumberFormat="1">
      <alignment vertical="top"/>
    </xf>
    <xf numFmtId="49" fontId="0" fillId="0" borderId="14" xfId="0" applyFont="1" applyBorder="1" applyNumberFormat="1">
      <alignment horizontal="center" vertical="top"/>
    </xf>
    <xf numFmtId="49" fontId="0" fillId="0" borderId="15" xfId="0" applyFont="1" applyBorder="1" applyNumberFormat="1">
      <alignment horizontal="center" vertical="top"/>
    </xf>
    <xf numFmtId="49" fontId="0" fillId="5" borderId="12" xfId="0" applyFont="1" applyFill="1" applyBorder="1" applyNumberFormat="1">
      <alignment vertical="top"/>
    </xf>
    <xf numFmtId="49" fontId="0" fillId="44" borderId="12" xfId="0" applyFont="1" applyFill="1" applyBorder="1" applyNumberFormat="1">
      <alignment vertical="top"/>
    </xf>
    <xf numFmtId="49" fontId="0" fillId="3" borderId="12" xfId="0" applyFont="1" applyFill="1" applyBorder="1" applyNumberFormat="1">
      <alignment vertical="top"/>
    </xf>
    <xf numFmtId="49" fontId="0" fillId="0" borderId="0" xfId="0" applyFont="1" applyNumberFormat="1">
      <alignment vertical="top"/>
    </xf>
    <xf numFmtId="0" fontId="22" fillId="0" borderId="0" xfId="0" applyFont="1" applyNumberFormat="1">
      <alignment horizontal="center" vertical="center" wrapText="1"/>
    </xf>
    <xf numFmtId="0" fontId="50" fillId="35" borderId="0" xfId="0" applyFont="1" applyFill="1" applyNumberFormat="1">
      <alignment vertical="center" wrapText="1"/>
    </xf>
    <xf numFmtId="0" fontId="53" fillId="0" borderId="0" xfId="0" applyFont="1" applyNumberFormat="1">
      <alignment horizontal="left" vertical="center" indent="1"/>
    </xf>
    <xf numFmtId="0" fontId="0" fillId="35" borderId="0" xfId="0" applyFont="1" applyFill="1" applyNumberFormat="1">
      <alignment horizontal="right" vertical="center" wrapText="1" indent="1"/>
    </xf>
    <xf numFmtId="0" fontId="0" fillId="35" borderId="0" xfId="0" applyFont="1" applyFill="1" applyNumberFormat="1">
      <alignment horizontal="left" vertical="center" wrapText="1" indent="1"/>
    </xf>
    <xf numFmtId="14" fontId="22" fillId="35" borderId="0" xfId="0" applyFont="1" applyFill="1" applyNumberFormat="1">
      <alignment horizontal="center" vertical="center" wrapText="1"/>
    </xf>
    <xf numFmtId="501" fontId="22" fillId="0" borderId="14" xfId="0" applyFont="1" applyBorder="1" applyNumberFormat="1">
      <alignment horizontal="center" vertical="center" wrapText="1"/>
    </xf>
    <xf numFmtId="49" fontId="36" fillId="0" borderId="15" xfId="0" applyFont="1" applyBorder="1" applyNumberFormat="1">
      <alignment horizontal="center" vertical="center" wrapText="1"/>
    </xf>
    <xf numFmtId="49" fontId="22" fillId="0" borderId="0" xfId="0" applyFont="1" applyNumberFormat="1">
      <alignment horizontal="center" vertical="center" wrapText="1"/>
    </xf>
    <xf numFmtId="0" fontId="22" fillId="0" borderId="23" xfId="0" applyFont="1" applyBorder="1" applyNumberFormat="1">
      <alignment horizontal="center" vertical="center" wrapText="1"/>
    </xf>
    <xf numFmtId="49" fontId="0" fillId="45" borderId="12" xfId="0" applyFont="1" applyFill="1" applyBorder="1" applyNumberFormat="1">
      <alignment vertical="top"/>
    </xf>
    <xf numFmtId="0" fontId="37" fillId="0" borderId="0" xfId="0" applyFont="1" applyNumberFormat="1">
      <alignment horizontal="center" vertical="center" wrapText="1"/>
    </xf>
    <xf numFmtId="0" fontId="91" fillId="0" borderId="0" xfId="0" applyFont="1" applyNumberFormat="1">
      <alignment horizontal="left" vertical="center" wrapText="1"/>
    </xf>
    <xf numFmtId="0" fontId="91" fillId="0" borderId="0" xfId="0" applyFont="1" applyNumberFormat="1">
      <alignment horizontal="left" vertical="center" wrapText="1"/>
    </xf>
    <xf numFmtId="14" fontId="91" fillId="35" borderId="0" xfId="0" applyFont="1" applyFill="1" applyNumberFormat="1">
      <alignment horizontal="left" vertical="center" wrapText="1"/>
    </xf>
    <xf numFmtId="14" fontId="92" fillId="0" borderId="0" xfId="0" applyFont="1" applyNumberFormat="1">
      <alignment horizontal="center" vertical="center" wrapText="1"/>
    </xf>
    <xf numFmtId="0" fontId="91" fillId="0" borderId="0" xfId="0" applyFont="1" applyNumberFormat="1">
      <alignment horizontal="left" vertical="center" wrapText="1"/>
    </xf>
    <xf numFmtId="14" fontId="93" fillId="0" borderId="12" xfId="0" applyFont="1" applyBorder="1" applyNumberFormat="1">
      <alignment horizontal="left" vertical="center" wrapText="1"/>
    </xf>
    <xf numFmtId="0" fontId="48" fillId="0" borderId="0" xfId="0" applyFont="1" applyNumberFormat="1">
      <alignment vertical="center"/>
    </xf>
    <xf numFmtId="49" fontId="22" fillId="37" borderId="19" xfId="0" applyFont="1" applyFill="1" applyBorder="1" applyNumberFormat="1">
      <alignment horizontal="center" vertical="center" wrapText="1"/>
    </xf>
    <xf numFmtId="49" fontId="22" fillId="34" borderId="23" xfId="0" applyFont="1" applyFill="1" applyBorder="1" applyNumberFormat="1">
      <alignment horizontal="center" vertical="center" wrapText="1"/>
    </xf>
    <xf numFmtId="49" fontId="47" fillId="0" borderId="12" xfId="0" applyFont="1" applyBorder="1" applyNumberFormat="1">
      <alignment horizontal="left" vertical="center" wrapText="1"/>
    </xf>
    <xf numFmtId="14" fontId="22" fillId="40" borderId="23" xfId="0" applyFont="1" applyFill="1" applyBorder="1" applyNumberFormat="1">
      <alignment horizontal="left" vertical="center" wrapText="1" indent="1"/>
    </xf>
    <xf numFmtId="49" fontId="22" fillId="37" borderId="14" xfId="0" applyFont="1" applyFill="1" applyBorder="1" applyNumberFormat="1">
      <alignment horizontal="right" vertical="center" wrapText="1"/>
    </xf>
    <xf numFmtId="0" fontId="48" fillId="0" borderId="23" xfId="0" applyFont="1" applyBorder="1" applyNumberFormat="1">
      <alignment horizontal="center" vertical="center" wrapText="1"/>
    </xf>
    <xf numFmtId="49" fontId="22" fillId="0" borderId="13" xfId="0" applyFont="1" applyBorder="1" applyNumberFormat="1">
      <alignment horizontal="center" vertical="top"/>
    </xf>
    <xf numFmtId="49" fontId="22" fillId="0" borderId="12" xfId="0" applyFont="1" applyBorder="1" applyNumberFormat="1">
      <alignment horizontal="center" vertical="top"/>
    </xf>
    <xf numFmtId="0" fontId="22" fillId="0" borderId="23" xfId="0" applyFont="1" applyBorder="1" applyNumberFormat="1">
      <alignment horizontal="center" vertical="center" wrapText="1"/>
    </xf>
    <xf numFmtId="49" fontId="22" fillId="0" borderId="14" xfId="0" applyFont="1" applyBorder="1" applyNumberFormat="1">
      <alignment horizontal="center" vertical="top"/>
    </xf>
    <xf numFmtId="0" fontId="36" fillId="0" borderId="24" xfId="0" applyFont="1" applyBorder="1" applyNumberFormat="1">
      <alignment vertical="top" wrapText="1"/>
    </xf>
    <xf numFmtId="0" fontId="36" fillId="0" borderId="0" xfId="0" applyFont="1" applyNumberFormat="1">
      <alignment vertical="top" wrapText="1"/>
    </xf>
    <xf numFmtId="0" fontId="48" fillId="0" borderId="12" xfId="0" applyFont="1" applyBorder="1" applyNumberFormat="1">
      <alignment horizontal="center" vertical="center" wrapText="1"/>
    </xf>
    <xf numFmtId="0" fontId="47" fillId="0" borderId="23" xfId="0" applyFont="1" applyBorder="1" applyNumberFormat="1">
      <alignment horizontal="center" vertical="center" wrapText="1"/>
    </xf>
    <xf numFmtId="0" fontId="48" fillId="0" borderId="12" xfId="0" applyFont="1" applyBorder="1" applyNumberFormat="1">
      <alignment horizontal="center" vertical="center"/>
    </xf>
    <xf numFmtId="0" fontId="22" fillId="0" borderId="12" xfId="0" applyFont="1" applyBorder="1" applyNumberFormat="1">
      <alignment horizontal="center" vertical="center" wrapText="1"/>
    </xf>
    <xf numFmtId="49" fontId="22" fillId="0" borderId="0" xfId="0" applyFont="1" applyNumberFormat="1">
      <alignment horizontal="center" vertical="center" wrapText="1"/>
    </xf>
    <xf numFmtId="0" fontId="22" fillId="0" borderId="12" xfId="0" applyFont="1" applyBorder="1" applyNumberFormat="1">
      <alignment horizontal="center" vertical="center" wrapText="1"/>
    </xf>
    <xf numFmtId="0" fontId="22" fillId="0" borderId="14"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17" xfId="0" applyFont="1" applyBorder="1" applyNumberFormat="1">
      <alignment horizontal="center" vertical="center" wrapText="1"/>
    </xf>
    <xf numFmtId="49" fontId="75" fillId="39" borderId="12" xfId="0" applyFont="1" applyFill="1" applyBorder="1" applyNumberFormat="1">
      <alignment horizontal="left" vertical="center" wrapText="1" indent="1"/>
      <protection locked="0"/>
    </xf>
    <xf numFmtId="0" fontId="47" fillId="0" borderId="22" xfId="0" applyFont="1" applyBorder="1" applyNumberFormat="1">
      <alignment vertical="center"/>
    </xf>
    <xf numFmtId="0" fontId="22" fillId="0" borderId="13" xfId="0" applyFont="1" applyBorder="1" applyNumberFormat="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pplyNumberFormat="1">
      <alignment horizontal="center" vertical="center" wrapText="1"/>
    </xf>
    <xf numFmtId="0" fontId="22" fillId="34" borderId="14" xfId="0" applyFont="1" applyFill="1" applyBorder="1" applyNumberFormat="1">
      <alignment horizontal="left" vertical="top" wrapText="1" indent="1"/>
    </xf>
    <xf numFmtId="3" fontId="22" fillId="36" borderId="14" xfId="0" applyFont="1" applyFill="1" applyBorder="1" applyNumberFormat="1">
      <alignment horizontal="right" vertical="center" wrapText="1"/>
      <protection locked="0"/>
    </xf>
    <xf numFmtId="49" fontId="53" fillId="36" borderId="12" xfId="0" applyFont="1" applyFill="1" applyBorder="1" applyNumberFormat="1">
      <alignment horizontal="left" vertical="center" wrapText="1"/>
      <protection locked="0"/>
    </xf>
    <xf numFmtId="0" fontId="53" fillId="0" borderId="0" xfId="0" applyFont="1" applyNumberFormat="1">
      <alignment vertical="center" wrapText="1"/>
    </xf>
    <xf numFmtId="0" fontId="22" fillId="0" borderId="13" xfId="0" applyFont="1" applyBorder="1" applyNumberFormat="1">
      <alignment horizontal="center" vertical="center" wrapText="1"/>
    </xf>
    <xf numFmtId="0" fontId="22" fillId="0" borderId="12" xfId="0" applyFont="1" applyBorder="1" applyNumberFormat="1">
      <alignment horizontal="center" vertical="center" wrapText="1"/>
    </xf>
    <xf numFmtId="0" fontId="37" fillId="35" borderId="0" xfId="0" applyFont="1" applyFill="1" applyNumberFormat="1">
      <alignment horizontal="center" vertical="center" wrapText="1"/>
    </xf>
    <xf numFmtId="0" fontId="22" fillId="35" borderId="12" xfId="0" applyFont="1" applyFill="1" applyBorder="1" applyNumberFormat="1">
      <alignment horizontal="center" vertical="center" wrapText="1"/>
    </xf>
    <xf numFmtId="0" fontId="0" fillId="0" borderId="20" xfId="0" applyFont="1" applyBorder="1" applyNumberFormat="1">
      <alignment horizontal="center" vertical="center" wrapText="1"/>
    </xf>
    <xf numFmtId="0" fontId="0" fillId="0" borderId="29"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23" xfId="0" applyFont="1" applyBorder="1" applyNumberFormat="1">
      <alignment horizontal="center" vertical="center" wrapText="1"/>
    </xf>
    <xf numFmtId="49" fontId="36" fillId="35" borderId="15" xfId="0" applyFont="1" applyFill="1" applyBorder="1" applyNumberFormat="1">
      <alignment horizontal="center" vertical="center" wrapText="1"/>
    </xf>
    <xf numFmtId="0" fontId="22" fillId="0" borderId="0" xfId="0" applyFont="1" applyNumberFormat="1">
      <alignment horizontal="left" vertical="center" wrapText="1" indent="1"/>
    </xf>
    <xf numFmtId="0" fontId="81" fillId="0" borderId="17" xfId="0" applyFont="1" applyBorder="1" applyNumberFormat="1">
      <alignment horizontal="center" vertical="center" wrapText="1"/>
    </xf>
    <xf numFmtId="49" fontId="47" fillId="0" borderId="0" xfId="0" applyFont="1" applyNumberFormat="1">
      <alignment vertical="top"/>
    </xf>
    <xf numFmtId="0" fontId="94" fillId="0" borderId="0" xfId="0" applyFont="1" applyNumberFormat="1">
      <alignment vertical="center" wrapText="1"/>
    </xf>
    <xf numFmtId="0" fontId="0" fillId="0" borderId="0" xfId="0" applyFont="1" applyNumberFormat="1">
      <alignment vertical="top"/>
    </xf>
    <xf numFmtId="49" fontId="0" fillId="0" borderId="12" xfId="0" applyFont="1" applyBorder="1" applyNumberFormat="1">
      <alignment vertical="top"/>
    </xf>
    <xf numFmtId="49" fontId="22" fillId="0" borderId="0" xfId="0" applyFont="1" applyNumberFormat="1">
      <alignment vertical="top"/>
    </xf>
    <xf numFmtId="0" fontId="22" fillId="0" borderId="12" xfId="0" applyFont="1" applyBorder="1" applyNumberFormat="1">
      <alignment horizontal="left" vertical="top" wrapText="1"/>
    </xf>
    <xf numFmtId="49" fontId="95" fillId="0" borderId="0" xfId="0" applyFont="1" applyNumberFormat="1">
      <alignment horizontal="center" vertical="top" wrapText="1"/>
    </xf>
    <xf numFmtId="49" fontId="95" fillId="0" borderId="0" xfId="0" applyFont="1" applyNumberFormat="1">
      <alignment vertical="top" wrapText="1"/>
    </xf>
    <xf numFmtId="49" fontId="91" fillId="41" borderId="12" xfId="0" applyFont="1" applyFill="1" applyBorder="1" applyNumberFormat="1">
      <alignment horizontal="center" vertical="top" wrapText="1"/>
    </xf>
    <xf numFmtId="49" fontId="95" fillId="0" borderId="0" xfId="0" applyFont="1" applyNumberFormat="1">
      <alignment horizontal="left" vertical="top" wrapText="1"/>
    </xf>
    <xf numFmtId="49" fontId="95" fillId="0" borderId="12" xfId="0" applyFont="1" applyBorder="1" applyNumberFormat="1">
      <alignment horizontal="left" vertical="top" wrapText="1"/>
    </xf>
    <xf numFmtId="0" fontId="95" fillId="0" borderId="12" xfId="0" applyFont="1" applyBorder="1" applyNumberFormat="1">
      <alignment horizontal="left" vertical="top" wrapText="1"/>
    </xf>
    <xf numFmtId="0" fontId="95" fillId="41" borderId="12" xfId="0" applyFont="1" applyFill="1" applyBorder="1" applyNumberFormat="1">
      <alignment horizontal="right" vertical="center" wrapText="1"/>
    </xf>
    <xf numFmtId="49" fontId="95" fillId="0" borderId="12" xfId="0" applyFont="1" applyBorder="1" applyNumberFormat="1">
      <alignment vertical="top" wrapText="1"/>
    </xf>
    <xf numFmtId="0" fontId="95" fillId="0" borderId="17" xfId="0" applyFont="1" applyBorder="1" applyNumberFormat="1">
      <alignment horizontal="left" vertical="top" wrapText="1"/>
    </xf>
    <xf numFmtId="0" fontId="95" fillId="0" borderId="13" xfId="0" applyFont="1" applyBorder="1" applyNumberFormat="1">
      <alignment horizontal="left" vertical="top" wrapText="1"/>
    </xf>
    <xf numFmtId="0" fontId="95" fillId="0" borderId="12" xfId="0" applyFont="1" applyBorder="1" applyNumberFormat="1">
      <alignment vertical="top" wrapText="1"/>
    </xf>
    <xf numFmtId="0" fontId="91" fillId="41" borderId="12" xfId="0" applyFont="1" applyFill="1" applyBorder="1" applyNumberFormat="1">
      <alignment horizontal="center" vertical="top" wrapText="1"/>
    </xf>
    <xf numFmtId="0" fontId="95" fillId="0" borderId="0" xfId="0" applyFont="1" applyNumberFormat="1">
      <alignment vertical="top" wrapText="1"/>
    </xf>
    <xf numFmtId="0" fontId="90" fillId="0" borderId="0" xfId="0" applyFont="1" applyNumberFormat="1">
      <alignment vertical="center" wrapText="1"/>
    </xf>
    <xf numFmtId="0" fontId="46" fillId="0" borderId="0" xfId="0" applyFont="1" applyNumberFormat="1">
      <alignment horizontal="left" vertical="center" wrapText="1" indent="3"/>
    </xf>
    <xf numFmtId="3" fontId="0" fillId="0" borderId="13" xfId="0" applyFont="1" applyBorder="1" applyNumberFormat="1">
      <alignment horizontal="right" vertical="center" wrapText="1"/>
    </xf>
    <xf numFmtId="0" fontId="22" fillId="40" borderId="14" xfId="0" applyFont="1" applyFill="1" applyBorder="1" applyNumberFormat="1">
      <alignment horizontal="left" vertical="center" wrapText="1"/>
    </xf>
    <xf numFmtId="49" fontId="36" fillId="35" borderId="12" xfId="0" applyFont="1" applyFill="1" applyBorder="1" applyNumberFormat="1">
      <alignment horizontal="center" vertical="center" wrapText="1"/>
    </xf>
    <xf numFmtId="49" fontId="73" fillId="37" borderId="13" xfId="0" applyFont="1" applyFill="1" applyBorder="1" applyNumberFormat="1">
      <alignment vertical="center"/>
    </xf>
    <xf numFmtId="49" fontId="22" fillId="35" borderId="0" xfId="0" applyFont="1" applyFill="1" applyNumberFormat="1">
      <alignment horizontal="center" vertical="center" wrapText="1"/>
    </xf>
    <xf numFmtId="0" fontId="22" fillId="35" borderId="0" xfId="0" applyFont="1" applyFill="1" applyNumberFormat="1">
      <alignment horizontal="center" vertical="top"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49" fontId="22" fillId="39" borderId="12" xfId="0" applyFont="1" applyFill="1" applyBorder="1" applyNumberFormat="1" quotePrefix="1">
      <alignment horizontal="left" vertical="center" wrapText="1"/>
      <protection locked="0"/>
    </xf>
    <xf numFmtId="14" fontId="22" fillId="40" borderId="23" xfId="0" applyFont="1" applyFill="1" applyBorder="1" applyNumberFormat="1">
      <alignment horizontal="left" vertical="center" wrapText="1"/>
    </xf>
    <xf numFmtId="0" fontId="48" fillId="35" borderId="23" xfId="0" applyFont="1" applyFill="1" applyBorder="1" applyNumberFormat="1">
      <alignment horizontal="center" vertical="center" wrapText="1"/>
    </xf>
    <xf numFmtId="0" fontId="37" fillId="35" borderId="24" xfId="0" applyFont="1" applyFill="1" applyBorder="1" applyNumberFormat="1">
      <alignment vertical="top" wrapText="1"/>
    </xf>
    <xf numFmtId="0" fontId="37" fillId="35" borderId="0" xfId="0" applyFont="1" applyFill="1" applyNumberFormat="1">
      <alignment vertical="top" wrapText="1"/>
    </xf>
    <xf numFmtId="14" fontId="22" fillId="40" borderId="29" xfId="0" applyFont="1" applyFill="1" applyBorder="1" applyNumberFormat="1">
      <alignment horizontal="left" vertical="center" wrapText="1"/>
    </xf>
    <xf numFmtId="0" fontId="48" fillId="35" borderId="12" xfId="0" applyFont="1" applyFill="1" applyBorder="1" applyNumberFormat="1">
      <alignment horizontal="center" vertical="center" wrapText="1"/>
    </xf>
    <xf numFmtId="0" fontId="40" fillId="37" borderId="15" xfId="0" applyFont="1" applyFill="1" applyBorder="1" applyNumberFormat="1">
      <alignment vertical="center"/>
    </xf>
    <xf numFmtId="0" fontId="49" fillId="0" borderId="0" xfId="0" applyFont="1" applyNumberFormat="1">
      <alignment vertical="center"/>
    </xf>
    <xf numFmtId="0" fontId="48" fillId="0" borderId="0" xfId="0" applyFont="1" applyNumberFormat="1">
      <alignment vertical="center" wrapText="1"/>
    </xf>
    <xf numFmtId="49" fontId="47" fillId="0" borderId="0" xfId="0" applyFont="1" applyNumberFormat="1">
      <alignment vertical="center" wrapText="1"/>
    </xf>
    <xf numFmtId="49" fontId="47" fillId="0" borderId="0" xfId="0" applyFont="1" applyNumberFormat="1">
      <alignment vertical="top"/>
    </xf>
    <xf numFmtId="0" fontId="88" fillId="0" borderId="0" xfId="0" applyFont="1" applyNumberFormat="1">
      <alignment vertical="center" wrapText="1"/>
    </xf>
    <xf numFmtId="0" fontId="96" fillId="0" borderId="0" xfId="0" applyFont="1" applyNumberFormat="1">
      <alignment vertical="center" wrapText="1"/>
    </xf>
    <xf numFmtId="0" fontId="47" fillId="0" borderId="0" xfId="0" applyFont="1" applyNumberFormat="1">
      <alignment vertical="center" wrapText="1"/>
    </xf>
    <xf numFmtId="0" fontId="88" fillId="0" borderId="0" xfId="0" applyFont="1" applyNumberFormat="1">
      <alignment horizontal="center" vertical="center" wrapText="1"/>
    </xf>
    <xf numFmtId="0" fontId="47" fillId="0" borderId="0" xfId="0" applyFont="1" applyNumberFormat="1">
      <alignment vertical="center" wrapText="1"/>
    </xf>
    <xf numFmtId="14" fontId="22" fillId="35" borderId="0" xfId="0" applyFont="1" applyFill="1" applyNumberFormat="1">
      <alignment horizontal="left" vertical="center" wrapText="1"/>
    </xf>
    <xf numFmtId="49" fontId="0" fillId="5" borderId="14" xfId="0" applyFont="1" applyFill="1" applyBorder="1" applyNumberFormat="1">
      <alignment vertical="top"/>
    </xf>
    <xf numFmtId="49" fontId="0" fillId="0" borderId="12" xfId="0" applyFont="1" applyBorder="1" applyNumberFormat="1">
      <alignment horizontal="left" vertical="center" wrapText="1"/>
    </xf>
    <xf numFmtId="49" fontId="22" fillId="0" borderId="0" xfId="0" applyFont="1" applyNumberFormat="1">
      <alignment vertical="center" wrapText="1"/>
    </xf>
    <xf numFmtId="0" fontId="0" fillId="0" borderId="12" xfId="0" applyFont="1" applyBorder="1" applyNumberFormat="1">
      <alignment horizontal="left" vertical="center" wrapText="1" indent="1"/>
    </xf>
    <xf numFmtId="49" fontId="0" fillId="35" borderId="12" xfId="0" applyFont="1" applyFill="1" applyBorder="1" applyNumberFormat="1">
      <alignment horizontal="center" vertical="center" wrapText="1"/>
    </xf>
    <xf numFmtId="0" fontId="0" fillId="35" borderId="12" xfId="0" applyFont="1" applyFill="1" applyBorder="1" applyNumberFormat="1">
      <alignment horizontal="center" vertical="center" wrapText="1"/>
    </xf>
    <xf numFmtId="0" fontId="0" fillId="39" borderId="14" xfId="0" applyFont="1" applyFill="1" applyBorder="1" applyNumberFormat="1">
      <alignment horizontal="left" vertical="center" wrapText="1" indent="2"/>
      <protection locked="0"/>
    </xf>
    <xf numFmtId="0" fontId="22" fillId="0" borderId="15" xfId="0" applyFont="1" applyBorder="1" applyNumberFormat="1">
      <alignment horizontal="right" vertical="center" wrapText="1" indent="1"/>
    </xf>
    <xf numFmtId="0" fontId="22" fillId="0" borderId="13" xfId="0" applyFont="1" applyBorder="1" applyNumberFormat="1">
      <alignment horizontal="right" vertical="center" wrapText="1" indent="1"/>
    </xf>
    <xf numFmtId="0" fontId="97" fillId="35" borderId="0" xfId="0" applyFont="1" applyFill="1" applyNumberFormat="1">
      <alignment horizontal="right" vertical="center"/>
    </xf>
    <xf numFmtId="49" fontId="95" fillId="0" borderId="13" xfId="0" applyFont="1" applyBorder="1" applyNumberFormat="1">
      <alignment horizontal="left" vertical="top" wrapText="1"/>
    </xf>
    <xf numFmtId="49" fontId="95" fillId="0" borderId="14" xfId="0" applyFont="1" applyBorder="1" applyNumberFormat="1">
      <alignment horizontal="left" vertical="top" wrapText="1"/>
    </xf>
    <xf numFmtId="0" fontId="95" fillId="0" borderId="17" xfId="0" applyFont="1" applyBorder="1" applyNumberFormat="1">
      <alignment vertical="top" wrapText="1"/>
    </xf>
    <xf numFmtId="0" fontId="95" fillId="0" borderId="36" xfId="0" applyFont="1" applyBorder="1" applyNumberFormat="1">
      <alignment horizontal="left" vertical="top" wrapText="1"/>
    </xf>
    <xf numFmtId="49" fontId="95" fillId="0" borderId="30" xfId="0" applyFont="1" applyBorder="1" applyNumberFormat="1">
      <alignment horizontal="left" vertical="top" wrapText="1"/>
    </xf>
    <xf numFmtId="49" fontId="47" fillId="0" borderId="0" xfId="0" applyFont="1" applyNumberFormat="1">
      <alignment horizontal="center" vertical="center" wrapText="1"/>
    </xf>
    <xf numFmtId="49" fontId="48" fillId="0" borderId="0" xfId="0" applyFont="1" applyNumberFormat="1">
      <alignment horizontal="center" vertical="center" wrapText="1"/>
    </xf>
    <xf numFmtId="0" fontId="22" fillId="0" borderId="12" xfId="0" applyFont="1" applyBorder="1" applyNumberFormat="1">
      <alignment horizontal="left" vertical="center" wrapText="1"/>
    </xf>
    <xf numFmtId="49" fontId="95" fillId="0" borderId="12" xfId="0" applyFont="1" applyBorder="1" applyNumberFormat="1">
      <alignment horizontal="center" vertical="top" wrapText="1"/>
    </xf>
    <xf numFmtId="0" fontId="95" fillId="41" borderId="12" xfId="0" applyFont="1" applyFill="1" applyBorder="1" applyNumberFormat="1">
      <alignment horizontal="center" vertical="center" wrapText="1"/>
    </xf>
    <xf numFmtId="49" fontId="95" fillId="0" borderId="37" xfId="0" applyFont="1" applyBorder="1" applyNumberFormat="1">
      <alignment horizontal="center" vertical="top" wrapText="1"/>
    </xf>
    <xf numFmtId="49" fontId="95" fillId="0" borderId="17" xfId="0" applyFont="1" applyBorder="1" applyNumberFormat="1">
      <alignment horizontal="center" vertical="top" wrapText="1"/>
    </xf>
    <xf numFmtId="49" fontId="40" fillId="37" borderId="14" xfId="0" applyFont="1" applyFill="1" applyBorder="1" applyNumberFormat="1">
      <alignment horizontal="left" vertical="center" indent="1"/>
    </xf>
    <xf numFmtId="0" fontId="0" fillId="35" borderId="17" xfId="0" applyFont="1" applyFill="1" applyBorder="1" applyNumberFormat="1">
      <alignment horizontal="center" vertical="center" wrapText="1"/>
    </xf>
    <xf numFmtId="0" fontId="22" fillId="35" borderId="17" xfId="0" applyFont="1" applyFill="1" applyBorder="1" applyNumberFormat="1">
      <alignment horizontal="center" vertical="center" wrapText="1"/>
    </xf>
    <xf numFmtId="49" fontId="98" fillId="0" borderId="0" xfId="0" applyFont="1" applyNumberFormat="1">
      <alignment horizontal="center" vertical="center" wrapText="1"/>
    </xf>
    <xf numFmtId="0" fontId="22" fillId="0" borderId="0" xfId="0" applyFont="1" applyNumberFormat="1">
      <alignment vertical="center" wrapText="1"/>
    </xf>
    <xf numFmtId="49" fontId="22" fillId="0" borderId="0" xfId="0" applyFont="1" applyNumberFormat="1">
      <alignment vertical="top"/>
    </xf>
    <xf numFmtId="0" fontId="22" fillId="35" borderId="0" xfId="0" applyFont="1" applyFill="1" applyNumberFormat="1">
      <alignment vertical="center" wrapText="1"/>
    </xf>
    <xf numFmtId="0" fontId="22" fillId="0" borderId="38" xfId="0" applyFont="1" applyBorder="1" applyNumberFormat="1">
      <alignment vertical="center" wrapText="1"/>
    </xf>
    <xf numFmtId="0" fontId="47" fillId="0" borderId="0" xfId="0" applyFont="1" applyNumberFormat="1">
      <alignment vertical="center" wrapText="1"/>
    </xf>
    <xf numFmtId="49" fontId="22" fillId="0" borderId="0" xfId="0" applyFont="1" applyNumberFormat="1">
      <alignment vertical="top"/>
    </xf>
    <xf numFmtId="0" fontId="22" fillId="35" borderId="0" xfId="0" applyFont="1" applyFill="1" applyNumberFormat="1">
      <alignment vertical="center" wrapText="1"/>
    </xf>
    <xf numFmtId="49" fontId="22" fillId="0" borderId="0" xfId="0" applyFont="1" applyNumberFormat="1">
      <alignment vertical="top"/>
    </xf>
    <xf numFmtId="0" fontId="22" fillId="0" borderId="0" xfId="0" applyFont="1" applyNumberFormat="1">
      <alignment vertical="center"/>
    </xf>
    <xf numFmtId="0" fontId="0" fillId="35" borderId="17" xfId="0" applyFont="1" applyFill="1" applyBorder="1" applyNumberFormat="1">
      <alignment horizontal="center" vertical="center" wrapText="1"/>
    </xf>
    <xf numFmtId="0" fontId="0" fillId="35" borderId="37" xfId="0" applyFont="1" applyFill="1" applyBorder="1" applyNumberFormat="1">
      <alignment horizontal="center" vertical="center" wrapText="1"/>
    </xf>
    <xf numFmtId="0" fontId="22" fillId="37" borderId="29" xfId="0" applyFont="1" applyFill="1" applyBorder="1" applyNumberFormat="1">
      <alignment vertical="center" wrapText="1"/>
    </xf>
    <xf numFmtId="0" fontId="22" fillId="0" borderId="0" xfId="0" applyFont="1" applyNumberFormat="1">
      <alignment vertical="center" wrapText="1"/>
    </xf>
    <xf numFmtId="0" fontId="22" fillId="35" borderId="39" xfId="0" applyFont="1" applyFill="1" applyBorder="1" applyNumberFormat="1">
      <alignment vertical="center" wrapText="1"/>
    </xf>
    <xf numFmtId="0" fontId="50" fillId="35" borderId="39" xfId="0" applyFont="1" applyFill="1" applyBorder="1" applyNumberFormat="1">
      <alignment horizontal="center" wrapText="1"/>
    </xf>
    <xf numFmtId="49" fontId="73" fillId="0" borderId="39" xfId="0" applyFont="1" applyBorder="1" applyNumberFormat="1">
      <alignment vertical="top"/>
    </xf>
    <xf numFmtId="49" fontId="45" fillId="0" borderId="0" xfId="0" applyFont="1" applyNumberFormat="1">
      <alignment vertical="center"/>
    </xf>
    <xf numFmtId="49" fontId="99" fillId="0" borderId="0" xfId="0" applyFont="1" applyNumberFormat="1">
      <alignment vertical="center"/>
    </xf>
    <xf numFmtId="49" fontId="45" fillId="0" borderId="0" xfId="0" applyFont="1" applyNumberFormat="1">
      <alignment vertical="center"/>
    </xf>
    <xf numFmtId="49" fontId="45" fillId="0" borderId="0" xfId="0" applyFont="1" applyNumberFormat="1">
      <alignment vertical="center"/>
    </xf>
    <xf numFmtId="49" fontId="45" fillId="0" borderId="0" xfId="0" applyFont="1" applyNumberFormat="1">
      <alignment vertical="center" wrapText="1"/>
    </xf>
    <xf numFmtId="49" fontId="99" fillId="0" borderId="0" xfId="0" applyFont="1" applyNumberFormat="1">
      <alignment vertical="center" wrapText="1"/>
    </xf>
    <xf numFmtId="49" fontId="45" fillId="0" borderId="0" xfId="0" applyFont="1" applyNumberFormat="1">
      <alignment vertical="center" wrapText="1"/>
    </xf>
    <xf numFmtId="49" fontId="45" fillId="0" borderId="0" xfId="0" applyFont="1" applyNumberFormat="1">
      <alignment vertical="top"/>
    </xf>
    <xf numFmtId="49" fontId="45" fillId="0" borderId="0" xfId="0" applyFont="1" applyNumberFormat="1">
      <alignment vertical="center" wrapText="1"/>
    </xf>
    <xf numFmtId="49" fontId="45" fillId="0" borderId="0" xfId="0" applyFont="1" applyNumberFormat="1">
      <alignment horizontal="center" vertical="center" wrapText="1"/>
    </xf>
    <xf numFmtId="49" fontId="99" fillId="0" borderId="0" xfId="0" applyFont="1" applyNumberFormat="1">
      <alignment horizontal="center" vertical="center" wrapText="1"/>
    </xf>
    <xf numFmtId="49" fontId="45" fillId="0" borderId="0" xfId="0" applyFont="1" applyNumberFormat="1">
      <alignment horizontal="center" vertical="center" wrapText="1"/>
    </xf>
    <xf numFmtId="49" fontId="99" fillId="0" borderId="0" xfId="0" applyFont="1" applyNumberFormat="1">
      <alignment horizontal="center" vertical="center" wrapText="1"/>
    </xf>
    <xf numFmtId="0" fontId="45" fillId="0" borderId="0" xfId="0" applyFont="1" applyNumberFormat="1">
      <alignment horizontal="center" vertical="center" wrapText="1"/>
    </xf>
    <xf numFmtId="49" fontId="99" fillId="0" borderId="0" xfId="0" applyFont="1" applyNumberFormat="1">
      <alignment vertical="center" wrapText="1"/>
    </xf>
    <xf numFmtId="49" fontId="45" fillId="35" borderId="0" xfId="0" applyFont="1" applyFill="1" applyNumberFormat="1">
      <alignment vertical="center" wrapText="1"/>
    </xf>
    <xf numFmtId="49" fontId="45" fillId="0" borderId="0" xfId="0" applyFont="1" applyNumberFormat="1">
      <alignment vertical="top"/>
    </xf>
    <xf numFmtId="49" fontId="45" fillId="35" borderId="0" xfId="0" applyFont="1" applyFill="1" applyNumberFormat="1">
      <alignment vertical="center"/>
    </xf>
    <xf numFmtId="49" fontId="99" fillId="0" borderId="0" xfId="0" applyFont="1" applyNumberFormat="1">
      <alignment vertical="center"/>
    </xf>
    <xf numFmtId="49" fontId="45" fillId="0" borderId="0" xfId="0" applyFont="1" applyNumberFormat="1">
      <alignment vertical="top"/>
    </xf>
    <xf numFmtId="4" fontId="45" fillId="35" borderId="0" xfId="0" applyFont="1" applyFill="1" applyNumberFormat="1">
      <alignment vertical="center"/>
    </xf>
    <xf numFmtId="49" fontId="32" fillId="0" borderId="0" xfId="0" applyFont="1" applyNumberFormat="1">
      <alignment horizontal="center" vertical="center" wrapText="1"/>
    </xf>
    <xf numFmtId="49" fontId="22" fillId="0" borderId="0" xfId="0" applyFont="1" applyNumberFormat="1">
      <alignment horizontal="center" vertical="center" wrapText="1"/>
    </xf>
    <xf numFmtId="49" fontId="22" fillId="35" borderId="0" xfId="0" applyFont="1" applyFill="1" applyNumberFormat="1">
      <alignment horizontal="center" vertical="center" wrapText="1"/>
    </xf>
    <xf numFmtId="49" fontId="48" fillId="0" borderId="13" xfId="0" applyFont="1" applyBorder="1" applyNumberFormat="1">
      <alignment horizontal="left" vertical="center" indent="1"/>
    </xf>
    <xf numFmtId="0" fontId="22" fillId="0" borderId="24" xfId="0" applyFont="1" applyBorder="1" applyNumberFormat="1">
      <alignment vertical="top" wrapText="1"/>
    </xf>
    <xf numFmtId="0" fontId="22" fillId="0" borderId="14" xfId="0" applyFont="1" applyBorder="1" applyNumberFormat="1">
      <alignment horizontal="center" vertical="center" wrapText="1"/>
    </xf>
    <xf numFmtId="0" fontId="22" fillId="0" borderId="17" xfId="0" applyFont="1" applyBorder="1" applyNumberFormat="1">
      <alignment horizontal="center" vertical="center" wrapText="1"/>
    </xf>
    <xf numFmtId="0" fontId="22" fillId="0" borderId="12" xfId="0" applyFont="1" applyBorder="1" applyNumberFormat="1">
      <alignment horizontal="center" vertical="center" wrapText="1"/>
    </xf>
    <xf numFmtId="49" fontId="47" fillId="0" borderId="0" xfId="0" applyFont="1" applyNumberFormat="1">
      <alignment horizontal="center" vertical="center" wrapText="1"/>
    </xf>
    <xf numFmtId="49" fontId="48"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2" xfId="0" applyFont="1" applyBorder="1" applyNumberFormat="1">
      <alignment horizontal="left" vertical="center" wrapText="1" indent="1"/>
    </xf>
    <xf numFmtId="49" fontId="22" fillId="39" borderId="12" xfId="0" applyFont="1" applyFill="1" applyBorder="1" applyNumberFormat="1">
      <alignment horizontal="left" vertical="center" wrapText="1"/>
      <protection locked="0"/>
    </xf>
    <xf numFmtId="0" fontId="37" fillId="0" borderId="0" xfId="0" applyFont="1" applyNumberFormat="1">
      <alignment horizontal="center" vertical="center" wrapText="1"/>
    </xf>
    <xf numFmtId="49" fontId="91" fillId="0" borderId="12" xfId="0" applyFont="1" applyBorder="1" applyNumberFormat="1">
      <alignment horizontal="center" vertical="center" wrapText="1"/>
    </xf>
    <xf numFmtId="0" fontId="91" fillId="0" borderId="12" xfId="0" applyFont="1" applyBorder="1" applyNumberFormat="1">
      <alignment horizontal="center" vertical="center"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pplyNumberFormat="1">
      <alignment horizontal="center" vertical="center" wrapText="1"/>
    </xf>
    <xf numFmtId="49" fontId="95" fillId="0" borderId="22" xfId="0" applyFont="1" applyBorder="1" applyNumberFormat="1">
      <alignment horizontal="center" vertical="top" wrapText="1"/>
    </xf>
    <xf numFmtId="49" fontId="95" fillId="0" borderId="36" xfId="0" applyFont="1" applyBorder="1" applyNumberFormat="1">
      <alignment horizontal="left" vertical="top" wrapText="1"/>
    </xf>
    <xf numFmtId="0" fontId="91" fillId="0" borderId="12" xfId="0" applyFont="1" applyBorder="1" applyNumberFormat="1">
      <alignment vertical="center" wrapText="1"/>
    </xf>
    <xf numFmtId="0" fontId="91" fillId="0" borderId="17" xfId="0" applyFont="1" applyBorder="1" applyNumberFormat="1">
      <alignment vertical="center" wrapText="1"/>
    </xf>
    <xf numFmtId="0" fontId="91" fillId="0" borderId="23" xfId="0" applyFont="1" applyBorder="1" applyNumberFormat="1">
      <alignment vertical="center" wrapText="1"/>
    </xf>
    <xf numFmtId="49" fontId="91" fillId="0" borderId="12" xfId="0" applyFont="1" applyBorder="1" applyNumberFormat="1">
      <alignment horizontal="left" vertical="top" wrapText="1"/>
    </xf>
    <xf numFmtId="503" fontId="22" fillId="39" borderId="17" xfId="0" applyFont="1" applyFill="1" applyBorder="1" applyNumberFormat="1">
      <alignment horizontal="right" vertical="center" wrapText="1"/>
      <protection locked="0"/>
    </xf>
    <xf numFmtId="0" fontId="22" fillId="0" borderId="13" xfId="0" applyFont="1" applyBorder="1" applyNumberFormat="1">
      <alignment horizontal="center" vertical="center" wrapText="1"/>
    </xf>
    <xf numFmtId="0" fontId="22" fillId="0" borderId="20" xfId="0" applyFont="1" applyBorder="1" applyNumberFormat="1">
      <alignment horizontal="center" vertical="center" wrapText="1"/>
    </xf>
    <xf numFmtId="49" fontId="22" fillId="37" borderId="37" xfId="0" applyFont="1" applyFill="1" applyBorder="1" applyNumberFormat="1">
      <alignment vertical="center" wrapText="1"/>
    </xf>
    <xf numFmtId="49" fontId="40" fillId="37" borderId="19" xfId="0" applyFont="1" applyFill="1" applyBorder="1" applyNumberFormat="1">
      <alignment horizontal="left" vertical="center" indent="1"/>
    </xf>
    <xf numFmtId="49" fontId="22" fillId="37" borderId="37" xfId="0" applyFont="1" applyFill="1" applyBorder="1" applyNumberFormat="1">
      <alignment vertical="center" wrapText="1"/>
    </xf>
    <xf numFmtId="49" fontId="40" fillId="37" borderId="19" xfId="0" applyFont="1" applyFill="1" applyBorder="1" applyNumberFormat="1">
      <alignment horizontal="left" vertical="center" indent="1"/>
    </xf>
    <xf numFmtId="0" fontId="72" fillId="0" borderId="0" xfId="0" applyFont="1" applyNumberFormat="1">
      <alignment horizontal="center" vertical="center" wrapText="1"/>
    </xf>
    <xf numFmtId="4" fontId="22" fillId="39" borderId="13" xfId="0" applyFont="1" applyFill="1" applyBorder="1" applyNumberFormat="1">
      <alignment horizontal="right" vertical="center" wrapText="1"/>
      <protection locked="0"/>
    </xf>
    <xf numFmtId="503" fontId="22" fillId="39" borderId="13" xfId="0" applyFont="1" applyFill="1" applyBorder="1" applyNumberFormat="1">
      <alignment horizontal="right" vertical="center" wrapText="1"/>
      <protection locked="0"/>
    </xf>
    <xf numFmtId="503" fontId="22" fillId="34" borderId="13" xfId="0" applyFont="1" applyFill="1" applyBorder="1" applyNumberFormat="1">
      <alignment horizontal="right" vertical="center" wrapText="1"/>
    </xf>
    <xf numFmtId="4" fontId="22" fillId="39" borderId="29" xfId="0" applyFont="1" applyFill="1" applyBorder="1" applyNumberFormat="1">
      <alignment horizontal="right" vertical="center" wrapText="1"/>
      <protection locked="0"/>
    </xf>
    <xf numFmtId="49" fontId="91" fillId="41" borderId="12" xfId="0" applyFont="1" applyFill="1" applyBorder="1" applyNumberFormat="1">
      <alignment horizontal="center" vertical="top"/>
    </xf>
    <xf numFmtId="49" fontId="95" fillId="0" borderId="0" xfId="0" applyFont="1" applyNumberFormat="1">
      <alignment vertical="top"/>
    </xf>
    <xf numFmtId="49" fontId="91" fillId="0" borderId="12" xfId="0" applyFont="1" applyBorder="1" applyNumberFormat="1">
      <alignment horizontal="center" vertical="top" wrapText="1"/>
    </xf>
    <xf numFmtId="49" fontId="91" fillId="0" borderId="12" xfId="0" applyFont="1" applyBorder="1" applyNumberFormat="1">
      <alignment vertical="top" wrapText="1"/>
    </xf>
    <xf numFmtId="0" fontId="91" fillId="0" borderId="12" xfId="0" applyFont="1" applyBorder="1" applyNumberFormat="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49" fontId="91" fillId="0" borderId="0" xfId="0" applyFont="1" applyNumberFormat="1">
      <alignment horizontal="center" vertical="center" wrapText="1"/>
    </xf>
    <xf numFmtId="49" fontId="91" fillId="0" borderId="0" xfId="0" applyFont="1" applyNumberFormat="1">
      <alignment horizontal="left" vertical="center" wrapText="1"/>
    </xf>
    <xf numFmtId="49" fontId="91" fillId="46" borderId="0" xfId="0" applyFont="1" applyFill="1" applyNumberFormat="1">
      <alignment horizontal="center" vertical="center" wrapText="1"/>
    </xf>
    <xf numFmtId="0" fontId="91" fillId="0" borderId="0" xfId="0" applyFont="1" applyNumberFormat="1">
      <alignment vertical="center" wrapText="1"/>
    </xf>
    <xf numFmtId="0" fontId="48" fillId="0" borderId="12" xfId="0" applyFont="1" applyBorder="1" applyNumberFormat="1">
      <alignment horizontal="left" vertical="center" wrapText="1" indent="3"/>
    </xf>
    <xf numFmtId="49" fontId="48" fillId="0" borderId="12" xfId="0" applyFont="1" applyBorder="1" applyNumberFormat="1">
      <alignment vertical="center" wrapText="1"/>
    </xf>
    <xf numFmtId="0" fontId="48" fillId="0" borderId="17" xfId="0" applyFont="1" applyBorder="1" applyNumberFormat="1">
      <alignment vertical="top" wrapText="1"/>
    </xf>
    <xf numFmtId="0" fontId="48" fillId="0" borderId="36" xfId="0" applyFont="1" applyBorder="1" applyNumberFormat="1">
      <alignment horizontal="left" vertical="center" wrapText="1" indent="1"/>
    </xf>
    <xf numFmtId="0" fontId="48" fillId="0" borderId="36" xfId="0" applyFont="1" applyBorder="1" applyNumberFormat="1">
      <alignment horizontal="center" vertical="center" wrapText="1"/>
    </xf>
    <xf numFmtId="0" fontId="48" fillId="0" borderId="17" xfId="0" applyFont="1" applyBorder="1" applyNumberFormat="1">
      <alignment vertical="center" wrapText="1"/>
    </xf>
    <xf numFmtId="0" fontId="48" fillId="0" borderId="23" xfId="0" applyFont="1" applyBorder="1" applyNumberFormat="1">
      <alignment horizontal="left" vertical="center" wrapText="1" indent="1"/>
    </xf>
    <xf numFmtId="0" fontId="48" fillId="0" borderId="17" xfId="0" applyFont="1" applyBorder="1" applyNumberFormat="1">
      <alignment horizontal="left" vertical="center" wrapText="1" indent="1"/>
    </xf>
    <xf numFmtId="49" fontId="95" fillId="41" borderId="12" xfId="0" applyFont="1" applyFill="1" applyBorder="1" applyNumberFormat="1">
      <alignment horizontal="center" vertical="top" wrapText="1"/>
    </xf>
    <xf numFmtId="49" fontId="95" fillId="41" borderId="12" xfId="0" applyFont="1" applyFill="1" applyBorder="1" applyNumberFormat="1">
      <alignment horizontal="left" vertical="top" wrapText="1"/>
    </xf>
    <xf numFmtId="49" fontId="95" fillId="41" borderId="0" xfId="0" applyFont="1" applyFill="1" applyNumberFormat="1">
      <alignment horizontal="left" vertical="top" wrapText="1"/>
    </xf>
    <xf numFmtId="0" fontId="91" fillId="0" borderId="14" xfId="0" applyFont="1" applyBorder="1" applyNumberFormat="1">
      <alignment horizontal="center" vertical="center" wrapText="1"/>
    </xf>
    <xf numFmtId="0" fontId="22" fillId="0" borderId="23" xfId="0" applyFont="1" applyBorder="1" applyNumberFormat="1">
      <alignment vertical="top" wrapText="1"/>
    </xf>
    <xf numFmtId="0" fontId="22" fillId="0" borderId="23" xfId="0" applyFont="1" applyBorder="1" applyNumberFormat="1">
      <alignment vertical="top" wrapText="1"/>
    </xf>
    <xf numFmtId="0" fontId="91" fillId="0" borderId="14" xfId="0" applyFont="1" applyBorder="1" applyNumberFormat="1">
      <alignment horizontal="center" vertical="center"/>
    </xf>
    <xf numFmtId="49" fontId="48" fillId="35" borderId="12" xfId="0" applyFont="1" applyFill="1" applyBorder="1" applyNumberFormat="1">
      <alignment horizontal="center" vertical="center"/>
    </xf>
    <xf numFmtId="0" fontId="48" fillId="35" borderId="12" xfId="0" applyFont="1" applyFill="1" applyBorder="1" applyNumberFormat="1">
      <alignment horizontal="left" vertical="center" wrapText="1" indent="1"/>
    </xf>
    <xf numFmtId="0" fontId="48" fillId="35" borderId="12" xfId="0" applyFont="1" applyFill="1" applyBorder="1" applyNumberFormat="1">
      <alignment vertical="center" wrapText="1"/>
    </xf>
    <xf numFmtId="49" fontId="48" fillId="0" borderId="12" xfId="0" applyFont="1" applyBorder="1" applyNumberFormat="1">
      <alignment horizontal="center" vertical="center"/>
    </xf>
    <xf numFmtId="0" fontId="48" fillId="0" borderId="12" xfId="0" applyFont="1" applyBorder="1" applyNumberFormat="1">
      <alignment horizontal="left" vertical="center" wrapText="1" indent="1"/>
    </xf>
    <xf numFmtId="0" fontId="48" fillId="0" borderId="12" xfId="0" applyFont="1" applyBorder="1" applyNumberFormat="1">
      <alignment horizontal="left" vertical="center" wrapText="1"/>
    </xf>
    <xf numFmtId="0" fontId="48" fillId="0" borderId="12" xfId="0" applyFont="1" applyBorder="1" applyNumberFormat="1">
      <alignment vertical="center" wrapText="1"/>
    </xf>
    <xf numFmtId="0" fontId="48" fillId="0" borderId="12" xfId="0" applyFont="1" applyBorder="1" applyNumberFormat="1">
      <alignment horizontal="center" vertical="center" wrapText="1"/>
    </xf>
    <xf numFmtId="0" fontId="48" fillId="35" borderId="12" xfId="0" applyFont="1" applyFill="1" applyBorder="1" applyNumberFormat="1">
      <alignment horizontal="left" vertical="center" wrapText="1" indent="2"/>
    </xf>
    <xf numFmtId="49" fontId="48" fillId="0" borderId="12" xfId="0" applyFont="1" applyBorder="1" applyNumberFormat="1">
      <alignment horizontal="left" vertical="center" wrapText="1"/>
    </xf>
    <xf numFmtId="49" fontId="48" fillId="0" borderId="12" xfId="0" applyFont="1" applyBorder="1" applyNumberFormat="1">
      <alignment horizontal="left" vertical="center" wrapText="1"/>
    </xf>
    <xf numFmtId="2" fontId="22" fillId="0" borderId="23" xfId="0" applyFont="1" applyBorder="1" applyNumberFormat="1">
      <alignment horizontal="center" vertical="center" wrapText="1"/>
    </xf>
    <xf numFmtId="0" fontId="100" fillId="0" borderId="0" xfId="0" applyFont="1" applyNumberFormat="1">
      <alignment horizontal="center" vertical="center" wrapText="1"/>
    </xf>
    <xf numFmtId="0" fontId="101" fillId="35" borderId="0" xfId="0" applyFont="1" applyFill="1" applyNumberFormat="1">
      <alignment horizontal="right" vertical="center"/>
    </xf>
    <xf numFmtId="0" fontId="22" fillId="0" borderId="23" xfId="0" applyFont="1" applyBorder="1" applyNumberFormat="1">
      <alignment horizontal="left" vertical="center" wrapText="1"/>
    </xf>
    <xf numFmtId="49" fontId="47" fillId="0" borderId="0" xfId="0" applyFont="1" applyNumberFormat="1">
      <alignment horizontal="center" vertical="center" wrapText="1"/>
    </xf>
    <xf numFmtId="0" fontId="48" fillId="0" borderId="27" xfId="0" applyFont="1" applyBorder="1" applyNumberFormat="1">
      <alignment vertical="center" wrapText="1"/>
    </xf>
    <xf numFmtId="49" fontId="53" fillId="0" borderId="14" xfId="0" applyFont="1" applyBorder="1" applyNumberFormat="1">
      <alignment horizontal="left" vertical="center" wrapText="1"/>
    </xf>
    <xf numFmtId="49" fontId="53" fillId="0" borderId="15" xfId="0" applyFont="1" applyBorder="1" applyNumberFormat="1">
      <alignment horizontal="left" vertical="center" wrapText="1"/>
    </xf>
    <xf numFmtId="49" fontId="48" fillId="0" borderId="0" xfId="0" applyFont="1" applyNumberFormat="1">
      <alignment horizontal="center" vertical="center" wrapText="1"/>
    </xf>
    <xf numFmtId="0" fontId="48" fillId="0" borderId="0" xfId="0" applyFont="1" applyNumberFormat="1">
      <alignment horizontal="center" vertical="center" wrapText="1"/>
    </xf>
    <xf numFmtId="4" fontId="22" fillId="0" borderId="17" xfId="0" applyFont="1" applyBorder="1" applyNumberFormat="1">
      <alignment horizontal="center" vertical="center" wrapText="1"/>
    </xf>
    <xf numFmtId="4" fontId="22" fillId="0" borderId="32" xfId="0" applyFont="1" applyBorder="1" applyNumberFormat="1">
      <alignment horizontal="center" vertical="center" wrapText="1"/>
    </xf>
    <xf numFmtId="49" fontId="53" fillId="0" borderId="37" xfId="0" applyFont="1" applyBorder="1" applyNumberFormat="1">
      <alignment horizontal="left" vertical="center" wrapText="1"/>
    </xf>
    <xf numFmtId="49" fontId="53" fillId="0" borderId="30" xfId="0" applyFont="1" applyBorder="1" applyNumberFormat="1">
      <alignment horizontal="left" vertical="center" wrapText="1"/>
    </xf>
    <xf numFmtId="0" fontId="22" fillId="0" borderId="36" xfId="0" applyFont="1" applyBorder="1" applyNumberFormat="1">
      <alignment vertical="center" wrapText="1"/>
    </xf>
    <xf numFmtId="0" fontId="22" fillId="0" borderId="32" xfId="0" applyFont="1" applyBorder="1" applyNumberFormat="1">
      <alignment horizontal="left" vertical="center" wrapText="1"/>
    </xf>
    <xf numFmtId="49" fontId="47" fillId="0" borderId="0" xfId="0" applyFont="1" applyNumberFormat="1">
      <alignment horizontal="center" vertical="center" wrapText="1"/>
    </xf>
    <xf numFmtId="0" fontId="22" fillId="0" borderId="0" xfId="0" applyFont="1" applyNumberFormat="1">
      <alignment vertical="top" wrapText="1"/>
    </xf>
    <xf numFmtId="0" fontId="22" fillId="0" borderId="0" xfId="0" applyFont="1" applyNumberFormat="1">
      <alignment vertical="top"/>
    </xf>
    <xf numFmtId="4" fontId="22" fillId="0" borderId="40" xfId="0" applyFont="1" applyBorder="1" applyNumberFormat="1">
      <alignment horizontal="center" vertical="center" wrapText="1"/>
    </xf>
    <xf numFmtId="0" fontId="48" fillId="0" borderId="0" xfId="0" applyFont="1" applyNumberFormat="1">
      <alignment horizontal="center" vertical="top"/>
    </xf>
    <xf numFmtId="49" fontId="48" fillId="0" borderId="0" xfId="0" applyFont="1" applyNumberFormat="1">
      <alignment vertical="top"/>
    </xf>
    <xf numFmtId="0" fontId="48" fillId="0" borderId="23" xfId="0" applyFont="1" applyBorder="1" applyNumberFormat="1">
      <alignment vertical="center" wrapText="1"/>
    </xf>
    <xf numFmtId="4" fontId="48" fillId="0" borderId="12" xfId="0" applyFont="1" applyBorder="1" applyNumberFormat="1">
      <alignment horizontal="right" vertical="center" wrapText="1"/>
    </xf>
    <xf numFmtId="2" fontId="48" fillId="0" borderId="23" xfId="0" applyFont="1" applyBorder="1" applyNumberFormat="1">
      <alignment horizontal="center" vertical="center" wrapText="1"/>
    </xf>
    <xf numFmtId="0" fontId="48" fillId="0" borderId="12" xfId="0" applyFont="1" applyBorder="1" applyNumberFormat="1">
      <alignment horizontal="left" vertical="center" wrapText="1"/>
    </xf>
    <xf numFmtId="49" fontId="48" fillId="0" borderId="14" xfId="0" applyFont="1" applyBorder="1" applyNumberFormat="1">
      <alignment horizontal="left" vertical="center"/>
    </xf>
    <xf numFmtId="49" fontId="48" fillId="0" borderId="15" xfId="0" applyFont="1" applyBorder="1" applyNumberFormat="1">
      <alignment horizontal="left" vertical="center" indent="1"/>
    </xf>
    <xf numFmtId="49" fontId="48" fillId="0" borderId="15" xfId="0" applyFont="1" applyBorder="1" applyNumberFormat="1">
      <alignment horizontal="left" vertical="center"/>
    </xf>
    <xf numFmtId="0" fontId="48" fillId="0" borderId="12" xfId="0" applyFont="1" applyBorder="1" applyNumberFormat="1">
      <alignment horizontal="left" vertical="center" indent="1"/>
    </xf>
    <xf numFmtId="49" fontId="40" fillId="0" borderId="19" xfId="0" applyFont="1" applyBorder="1" applyNumberFormat="1">
      <alignment horizontal="right" vertical="center"/>
    </xf>
    <xf numFmtId="0" fontId="22" fillId="40" borderId="12" xfId="0" applyFont="1" applyFill="1" applyBorder="1" applyNumberFormat="1">
      <alignment horizontal="left" vertical="center" wrapText="1" indent="1"/>
    </xf>
    <xf numFmtId="0" fontId="22" fillId="0" borderId="12" xfId="0" applyFont="1" applyBorder="1" applyNumberFormat="1">
      <alignment horizontal="center" vertical="center" wrapText="1"/>
    </xf>
    <xf numFmtId="0" fontId="48" fillId="0" borderId="0" xfId="0" applyFont="1" applyNumberFormat="1">
      <alignment horizontal="center" vertical="center" wrapText="1"/>
    </xf>
    <xf numFmtId="49" fontId="47" fillId="0" borderId="0" xfId="0" applyFont="1" applyNumberFormat="1">
      <alignment horizontal="center" vertical="center" wrapText="1"/>
    </xf>
    <xf numFmtId="49" fontId="48" fillId="0" borderId="0" xfId="0" applyFont="1" applyNumberFormat="1">
      <alignment horizontal="center" vertical="center" wrapText="1"/>
    </xf>
    <xf numFmtId="0" fontId="61" fillId="35" borderId="0" xfId="0" applyFont="1" applyFill="1" applyNumberFormat="1">
      <alignment horizontal="left" vertical="center" wrapText="1" indent="1"/>
    </xf>
    <xf numFmtId="0" fontId="22" fillId="0" borderId="0" xfId="0" applyFont="1" applyNumberFormat="1">
      <alignment horizontal="left" vertical="center" wrapText="1" indent="1"/>
    </xf>
    <xf numFmtId="49" fontId="53" fillId="36" borderId="13" xfId="0" applyFont="1" applyFill="1" applyBorder="1" applyNumberFormat="1">
      <alignment horizontal="left" vertical="center" wrapText="1"/>
      <protection locked="0"/>
    </xf>
    <xf numFmtId="49" fontId="22" fillId="0" borderId="0" xfId="0" applyFont="1" applyNumberFormat="1">
      <alignment horizontal="center" vertical="center" wrapText="1"/>
    </xf>
    <xf numFmtId="0" fontId="22" fillId="0" borderId="19" xfId="0" applyFont="1" applyBorder="1" applyNumberFormat="1">
      <alignment vertical="center" wrapText="1"/>
    </xf>
    <xf numFmtId="0" fontId="22" fillId="0" borderId="27" xfId="0" applyFont="1" applyBorder="1" applyNumberFormat="1">
      <alignment vertical="center" wrapText="1"/>
    </xf>
    <xf numFmtId="49" fontId="22" fillId="37" borderId="41" xfId="0" applyFont="1" applyFill="1" applyBorder="1" applyNumberFormat="1">
      <alignment horizontal="center" vertical="center" wrapText="1"/>
    </xf>
    <xf numFmtId="49" fontId="50" fillId="37" borderId="42" xfId="0" applyFont="1" applyFill="1" applyBorder="1" applyNumberFormat="1">
      <alignment horizontal="right" vertical="center" wrapText="1"/>
    </xf>
    <xf numFmtId="49" fontId="50" fillId="37" borderId="43" xfId="0" applyFont="1" applyFill="1" applyBorder="1" applyNumberFormat="1">
      <alignment horizontal="right" vertical="center" wrapText="1"/>
    </xf>
    <xf numFmtId="49" fontId="45" fillId="0" borderId="0" xfId="0" applyFont="1" applyNumberFormat="1">
      <alignment vertical="top"/>
    </xf>
    <xf numFmtId="49" fontId="45" fillId="0" borderId="0" xfId="0" applyFont="1" applyNumberFormat="1">
      <alignment vertical="center" wrapText="1"/>
    </xf>
    <xf numFmtId="0" fontId="45" fillId="0" borderId="0" xfId="0" applyFont="1" applyNumberFormat="1">
      <alignment vertical="center" wrapText="1"/>
    </xf>
    <xf numFmtId="49" fontId="94" fillId="0" borderId="0" xfId="0" applyFont="1" applyNumberFormat="1">
      <alignment vertical="center" wrapText="1"/>
    </xf>
    <xf numFmtId="49" fontId="0" fillId="0" borderId="0" xfId="0" applyFont="1" applyNumberFormat="1">
      <alignment vertical="center" wrapText="1"/>
    </xf>
    <xf numFmtId="49" fontId="32" fillId="47" borderId="0" xfId="0" applyFont="1" applyFill="1" applyNumberFormat="1">
      <alignment horizontal="center" vertical="center"/>
    </xf>
    <xf numFmtId="0" fontId="0" fillId="48" borderId="0" xfId="0" applyFont="1" applyFill="1" applyNumberFormat="1">
      <alignment horizontal="left" vertical="center"/>
    </xf>
    <xf numFmtId="0" fontId="0" fillId="49" borderId="12" xfId="0" applyFont="1" applyFill="1" applyBorder="1" applyNumberFormat="1">
      <alignment horizontal="center" vertical="center"/>
    </xf>
    <xf numFmtId="49" fontId="0" fillId="0" borderId="0" xfId="0" applyFont="1" applyNumberFormat="1">
      <alignment vertical="center"/>
    </xf>
    <xf numFmtId="49" fontId="47" fillId="47" borderId="12" xfId="0" applyFont="1" applyFill="1" applyBorder="1" applyNumberFormat="1">
      <alignment horizontal="center" vertical="center"/>
    </xf>
    <xf numFmtId="49" fontId="47"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vertical="top"/>
    </xf>
    <xf numFmtId="0" fontId="22" fillId="0" borderId="12" xfId="0" applyFont="1" applyBorder="1" applyNumberFormat="1">
      <alignment vertical="center"/>
    </xf>
    <xf numFmtId="0" fontId="0" fillId="0" borderId="12" xfId="0" applyFont="1" applyBorder="1" applyNumberFormat="1">
      <alignment vertical="center"/>
    </xf>
    <xf numFmtId="0" fontId="0" fillId="0" borderId="12" xfId="0" applyFont="1" applyBorder="1" applyNumberFormat="1">
      <alignment vertical="center"/>
    </xf>
    <xf numFmtId="0" fontId="0" fillId="0" borderId="14" xfId="0" applyFont="1" applyBorder="1" applyNumberFormat="1">
      <alignment vertical="center"/>
    </xf>
    <xf numFmtId="0" fontId="0" fillId="0" borderId="14" xfId="0" applyFont="1" applyBorder="1" applyNumberFormat="1">
      <alignment vertical="center"/>
    </xf>
    <xf numFmtId="49" fontId="22" fillId="0" borderId="44" xfId="0" applyFont="1" applyBorder="1" applyNumberFormat="1">
      <alignment vertical="center"/>
    </xf>
    <xf numFmtId="49" fontId="22" fillId="0" borderId="45" xfId="0" applyFont="1" applyBorder="1" applyNumberFormat="1">
      <alignment vertical="top"/>
    </xf>
    <xf numFmtId="0" fontId="0" fillId="0" borderId="13" xfId="0" applyFont="1" applyBorder="1" applyNumberFormat="1">
      <alignment vertical="center"/>
    </xf>
    <xf numFmtId="0" fontId="0" fillId="0" borderId="12" xfId="0" applyFont="1" applyBorder="1" applyNumberFormat="1">
      <alignment horizontal="right" vertical="top"/>
    </xf>
    <xf numFmtId="0" fontId="0" fillId="0" borderId="12" xfId="0" applyFont="1" applyBorder="1" applyNumberFormat="1">
      <alignment vertical="top"/>
    </xf>
    <xf numFmtId="0" fontId="22" fillId="0" borderId="13" xfId="0" applyFont="1" applyBorder="1" applyNumberFormat="1">
      <alignment vertical="center"/>
    </xf>
    <xf numFmtId="49" fontId="22" fillId="0" borderId="12" xfId="0" applyFont="1" applyBorder="1" applyNumberFormat="1">
      <alignment vertical="center"/>
    </xf>
    <xf numFmtId="0" fontId="0" fillId="0" borderId="0" xfId="0" applyFont="1" applyNumberFormat="1">
      <alignment vertical="top"/>
    </xf>
    <xf numFmtId="0" fontId="22" fillId="0" borderId="12" xfId="0" applyFont="1" applyBorder="1" applyNumberFormat="1">
      <alignment vertical="top"/>
    </xf>
    <xf numFmtId="49" fontId="22" fillId="0" borderId="12" xfId="0" applyFont="1" applyBorder="1" applyNumberFormat="1">
      <alignment vertical="top"/>
    </xf>
    <xf numFmtId="49" fontId="0" fillId="0" borderId="0" xfId="0" applyFont="1" applyNumberFormat="1">
      <alignment vertical="top"/>
    </xf>
    <xf numFmtId="0" fontId="22" fillId="0" borderId="0" xfId="0" applyFont="1" applyNumberFormat="1">
      <alignment vertical="center"/>
    </xf>
    <xf numFmtId="49" fontId="22" fillId="0" borderId="14" xfId="0" applyFont="1" applyBorder="1" applyNumberFormat="1">
      <alignment vertical="top"/>
    </xf>
    <xf numFmtId="0" fontId="0" fillId="0" borderId="0" xfId="0" applyFont="1" applyNumberFormat="1">
      <alignment vertical="center"/>
    </xf>
    <xf numFmtId="0" fontId="22" fillId="0" borderId="0" xfId="0" applyFont="1" applyNumberFormat="1">
      <alignment vertical="top"/>
    </xf>
    <xf numFmtId="49" fontId="22" fillId="0" borderId="12" xfId="0" applyFont="1" applyBorder="1" applyNumberFormat="1">
      <alignment vertical="top"/>
    </xf>
    <xf numFmtId="49" fontId="0" fillId="0" borderId="14" xfId="0" applyFont="1" applyBorder="1" applyNumberFormat="1">
      <alignment vertical="top"/>
    </xf>
    <xf numFmtId="0" fontId="0" fillId="0" borderId="17" xfId="0" applyFont="1" applyBorder="1" applyNumberFormat="1">
      <alignment vertical="top"/>
    </xf>
    <xf numFmtId="0" fontId="22" fillId="0" borderId="17" xfId="0" applyFont="1" applyBorder="1" applyNumberFormat="1">
      <alignment vertical="center"/>
    </xf>
    <xf numFmtId="49" fontId="22" fillId="0" borderId="31" xfId="0" applyFont="1" applyBorder="1" applyNumberFormat="1">
      <alignment horizontal="center" vertical="center"/>
    </xf>
    <xf numFmtId="49" fontId="22" fillId="0" borderId="0" xfId="0" applyFont="1" applyNumberFormat="1">
      <alignment vertical="top"/>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pplyNumberFormat="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pplyNumberFormat="1">
      <alignment horizontal="center" vertical="center"/>
    </xf>
    <xf numFmtId="0" fontId="102" fillId="0" borderId="46" xfId="0" applyFont="1" applyBorder="1" applyNumberFormat="1">
      <alignment horizontal="center" vertical="center"/>
    </xf>
    <xf numFmtId="0" fontId="0" fillId="0" borderId="46" xfId="0" applyFont="1" applyBorder="1" applyNumberFormat="1">
      <alignment horizontal="center" vertical="center"/>
    </xf>
    <xf numFmtId="49" fontId="32"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pplyNumberFormat="1">
      <alignment vertical="top"/>
    </xf>
    <xf numFmtId="49" fontId="22" fillId="41" borderId="23" xfId="0" applyFont="1" applyFill="1" applyBorder="1" applyNumberFormat="1">
      <alignment vertical="top"/>
    </xf>
    <xf numFmtId="49" fontId="22" fillId="41" borderId="12" xfId="0" applyFont="1" applyFill="1" applyBorder="1" applyNumberFormat="1">
      <alignment vertical="top"/>
    </xf>
    <xf numFmtId="0" fontId="0" fillId="0" borderId="32" xfId="0" applyFont="1" applyBorder="1" applyNumberFormat="1">
      <alignment horizontal="center" vertical="center"/>
    </xf>
    <xf numFmtId="49" fontId="0" fillId="0" borderId="0" xfId="0" applyFont="1" applyNumberFormat="1">
      <alignment vertical="center"/>
    </xf>
    <xf numFmtId="49" fontId="32" fillId="47" borderId="14" xfId="0" applyFont="1" applyFill="1" applyBorder="1" applyNumberFormat="1">
      <alignment horizontal="right" vertical="center"/>
    </xf>
    <xf numFmtId="49" fontId="22" fillId="0" borderId="0" xfId="0" applyFont="1" applyNumberFormat="1">
      <alignment vertical="center"/>
    </xf>
    <xf numFmtId="0" fontId="0" fillId="48" borderId="0" xfId="0" applyFont="1" applyFill="1" applyNumberFormat="1">
      <alignment horizontal="right" vertical="center"/>
    </xf>
    <xf numFmtId="0" fontId="103" fillId="0" borderId="47" xfId="0" applyFont="1" applyBorder="1" applyNumberFormat="1">
      <alignment horizontal="left" vertical="center" indent="1"/>
    </xf>
    <xf numFmtId="0" fontId="103" fillId="0" borderId="48" xfId="0" applyFont="1" applyBorder="1" applyNumberFormat="1">
      <alignment horizontal="left" vertical="center" indent="1"/>
    </xf>
    <xf numFmtId="0" fontId="103" fillId="0" borderId="49" xfId="0" applyFont="1" applyBorder="1" applyNumberFormat="1">
      <alignment horizontal="left" vertical="center" indent="1"/>
    </xf>
    <xf numFmtId="0" fontId="22" fillId="35" borderId="0" xfId="0" applyFont="1" applyFill="1" applyNumberFormat="1">
      <alignment vertical="center" wrapText="1"/>
    </xf>
    <xf numFmtId="0" fontId="22" fillId="0" borderId="0" xfId="0" applyFont="1" applyNumberFormat="1">
      <alignment vertical="center" wrapText="1"/>
    </xf>
    <xf numFmtId="0" fontId="32" fillId="0" borderId="0" xfId="0" applyFont="1" applyNumberFormat="1">
      <alignment vertical="center" wrapText="1"/>
    </xf>
    <xf numFmtId="49" fontId="22" fillId="0" borderId="0" xfId="0" applyFont="1" applyNumberFormat="1">
      <alignment vertical="top"/>
    </xf>
    <xf numFmtId="0" fontId="47" fillId="0" borderId="0" xfId="0" applyFont="1" applyNumberFormat="1">
      <alignment vertical="center" wrapText="1"/>
    </xf>
    <xf numFmtId="49" fontId="98" fillId="0" borderId="0" xfId="0" applyFont="1" applyNumberFormat="1">
      <alignment horizontal="center" vertical="center" wrapText="1"/>
    </xf>
    <xf numFmtId="0" fontId="22" fillId="35" borderId="0" xfId="0" applyFont="1" applyFill="1" applyNumberFormat="1">
      <alignment vertical="center" wrapText="1"/>
    </xf>
    <xf numFmtId="0" fontId="22" fillId="0" borderId="0" xfId="0" applyFont="1" applyNumberFormat="1">
      <alignment vertical="center" wrapText="1"/>
    </xf>
    <xf numFmtId="0" fontId="50" fillId="35" borderId="39" xfId="0" applyFont="1" applyFill="1" applyBorder="1" applyNumberFormat="1">
      <alignment horizontal="center" wrapText="1"/>
    </xf>
    <xf numFmtId="49" fontId="73" fillId="0" borderId="39" xfId="0" applyFont="1" applyBorder="1" applyNumberFormat="1">
      <alignment vertical="top"/>
    </xf>
    <xf numFmtId="0" fontId="0" fillId="0" borderId="12" xfId="0" applyFont="1" applyBorder="1" applyNumberFormat="1">
      <alignment horizontal="center" vertical="center" wrapText="1"/>
    </xf>
    <xf numFmtId="0" fontId="22" fillId="0" borderId="0" xfId="0" applyFont="1" applyNumberFormat="1">
      <alignment horizontal="left" vertical="center" wrapText="1" indent="3"/>
    </xf>
    <xf numFmtId="0" fontId="22" fillId="0" borderId="0" xfId="0" applyFont="1" applyNumberFormat="1">
      <alignment horizontal="left" vertical="center" wrapText="1" indent="3"/>
    </xf>
    <xf numFmtId="0" fontId="22" fillId="0" borderId="0" xfId="0" applyFont="1" applyNumberFormat="1">
      <alignment vertical="center" wrapText="1"/>
    </xf>
    <xf numFmtId="0" fontId="32" fillId="0" borderId="0" xfId="0" applyFont="1" applyNumberFormat="1">
      <alignment vertical="center" wrapText="1"/>
    </xf>
    <xf numFmtId="49" fontId="22" fillId="0" borderId="0" xfId="0" applyFont="1" applyNumberFormat="1">
      <alignment vertical="top"/>
    </xf>
    <xf numFmtId="0" fontId="47" fillId="0" borderId="0" xfId="0" applyFont="1" applyNumberFormat="1">
      <alignment vertical="center" wrapText="1"/>
    </xf>
    <xf numFmtId="0" fontId="22" fillId="0" borderId="12" xfId="0" applyFont="1" applyBorder="1" applyNumberFormat="1">
      <alignment horizontal="center" vertical="center" wrapText="1"/>
    </xf>
    <xf numFmtId="0" fontId="22" fillId="0" borderId="0" xfId="0" applyFont="1" applyNumberFormat="1">
      <alignment vertical="center" wrapText="1"/>
    </xf>
    <xf numFmtId="0" fontId="22" fillId="35" borderId="39" xfId="0" applyFont="1" applyFill="1" applyBorder="1" applyNumberFormat="1">
      <alignment vertical="center" wrapText="1"/>
    </xf>
    <xf numFmtId="0" fontId="22" fillId="0" borderId="0" xfId="0" applyFont="1" applyNumberFormat="1">
      <alignment vertical="center" wrapText="1"/>
    </xf>
    <xf numFmtId="0" fontId="32" fillId="0" borderId="0" xfId="0" applyFont="1" applyNumberFormat="1">
      <alignment vertical="center" wrapText="1"/>
    </xf>
    <xf numFmtId="49" fontId="22" fillId="0" borderId="0" xfId="0" applyFont="1" applyNumberFormat="1">
      <alignment vertical="top"/>
    </xf>
    <xf numFmtId="0" fontId="47" fillId="0" borderId="0" xfId="0" applyFont="1" applyNumberFormat="1">
      <alignment vertical="center" wrapText="1"/>
    </xf>
    <xf numFmtId="0" fontId="22" fillId="0" borderId="0" xfId="0" applyFont="1" applyNumberFormat="1">
      <alignment vertical="center" wrapText="1"/>
    </xf>
    <xf numFmtId="0" fontId="22" fillId="0" borderId="0" xfId="0" applyFont="1" applyNumberFormat="1">
      <alignment vertical="center" wrapText="1"/>
    </xf>
    <xf numFmtId="0" fontId="22" fillId="35" borderId="39" xfId="0" applyFont="1" applyFill="1" applyBorder="1" applyNumberFormat="1">
      <alignment vertical="center" wrapText="1"/>
    </xf>
    <xf numFmtId="0" fontId="22" fillId="39" borderId="12" xfId="0" applyFont="1" applyFill="1" applyBorder="1" applyNumberFormat="1">
      <alignment horizontal="left" vertical="center" wrapText="1" indent="1"/>
      <protection locked="0"/>
    </xf>
    <xf numFmtId="49" fontId="47" fillId="47" borderId="0" xfId="0" applyFont="1" applyFill="1" applyNumberFormat="1">
      <alignment horizontal="center" vertical="center" wrapText="1"/>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0" xfId="0" applyFont="1" applyNumberFormat="1">
      <alignment vertical="center" wrapText="1"/>
    </xf>
    <xf numFmtId="0" fontId="32" fillId="0" borderId="0" xfId="0" applyFont="1" applyNumberFormat="1">
      <alignment vertical="center" wrapText="1"/>
    </xf>
    <xf numFmtId="49" fontId="22" fillId="0" borderId="0" xfId="0" applyFont="1" applyNumberFormat="1">
      <alignment vertical="top"/>
    </xf>
    <xf numFmtId="49" fontId="104" fillId="0" borderId="16" xfId="0" applyFont="1" applyBorder="1" applyNumberFormat="1">
      <alignment vertical="top"/>
    </xf>
    <xf numFmtId="0" fontId="0" fillId="0" borderId="0" xfId="0" applyFont="1" applyNumberFormat="1">
      <alignment vertical="top"/>
    </xf>
    <xf numFmtId="0" fontId="47" fillId="0" borderId="0" xfId="0" applyFont="1" applyNumberFormat="1">
      <alignment vertical="center" wrapText="1"/>
    </xf>
    <xf numFmtId="49" fontId="53" fillId="39" borderId="12" xfId="0" applyFont="1" applyFill="1" applyBorder="1" applyNumberFormat="1">
      <alignment horizontal="left" vertical="center" wrapText="1"/>
      <protection locked="0"/>
    </xf>
    <xf numFmtId="0" fontId="22" fillId="0" borderId="14" xfId="0" applyFont="1" applyBorder="1" applyNumberFormat="1">
      <alignment horizontal="left" vertical="center"/>
    </xf>
    <xf numFmtId="0" fontId="0" fillId="0" borderId="14" xfId="0" applyFont="1" applyBorder="1" applyNumberFormat="1">
      <alignment horizontal="left" vertical="center"/>
    </xf>
    <xf numFmtId="49" fontId="53" fillId="39" borderId="12" xfId="0" applyFont="1" applyFill="1" applyBorder="1" applyNumberFormat="1">
      <alignment horizontal="left" vertical="center" wrapText="1"/>
      <protection locked="0"/>
    </xf>
    <xf numFmtId="0" fontId="22" fillId="35" borderId="26" xfId="0" applyFont="1" applyFill="1" applyBorder="1" applyNumberFormat="1">
      <alignment horizontal="right" vertical="center" wrapText="1" indent="1"/>
    </xf>
    <xf numFmtId="49" fontId="47" fillId="0" borderId="0" xfId="0" applyFont="1" applyNumberFormat="1">
      <alignment horizontal="center" vertical="center" wrapText="1"/>
    </xf>
    <xf numFmtId="49" fontId="48" fillId="0" borderId="0" xfId="0" applyFont="1" applyNumberFormat="1">
      <alignment horizontal="center" vertical="center" wrapText="1"/>
    </xf>
    <xf numFmtId="49" fontId="40" fillId="37" borderId="15" xfId="0" applyFont="1" applyFill="1" applyBorder="1" applyNumberFormat="1">
      <alignment horizontal="left" vertical="center" indent="1"/>
    </xf>
    <xf numFmtId="4" fontId="22" fillId="39" borderId="31" xfId="0" applyFont="1" applyFill="1" applyBorder="1" applyNumberFormat="1">
      <alignment horizontal="right" vertical="center" wrapText="1"/>
      <protection locked="0"/>
    </xf>
    <xf numFmtId="0" fontId="22" fillId="35" borderId="0" xfId="0" applyFont="1" applyFill="1" applyNumberFormat="1">
      <alignment vertical="center" wrapText="1"/>
    </xf>
    <xf numFmtId="0" fontId="22" fillId="0" borderId="0" xfId="0" applyFont="1" applyNumberFormat="1">
      <alignment vertical="center"/>
    </xf>
    <xf numFmtId="0" fontId="22" fillId="0" borderId="0" xfId="0" applyFont="1" applyNumberFormat="1">
      <alignment vertical="center" wrapText="1"/>
    </xf>
    <xf numFmtId="0" fontId="22" fillId="37" borderId="50" xfId="0" applyFont="1" applyFill="1" applyBorder="1" applyNumberFormat="1">
      <alignment vertical="center" wrapText="1"/>
    </xf>
    <xf numFmtId="0" fontId="22" fillId="37" borderId="51" xfId="0" applyFont="1" applyFill="1" applyBorder="1" applyNumberFormat="1">
      <alignmen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0" fontId="45" fillId="40" borderId="12" xfId="0" applyFont="1" applyFill="1" applyBorder="1" applyNumberFormat="1">
      <alignment horizontal="left" vertical="center" wrapText="1" indent="1"/>
    </xf>
    <xf numFmtId="49" fontId="45" fillId="37" borderId="15" xfId="0" applyFont="1" applyFill="1" applyBorder="1" applyNumberFormat="1">
      <alignment vertical="top" wrapText="1"/>
    </xf>
    <xf numFmtId="49" fontId="45" fillId="37" borderId="13" xfId="0" applyFont="1" applyFill="1" applyBorder="1" applyNumberFormat="1">
      <alignment vertical="top" wrapText="1"/>
    </xf>
    <xf numFmtId="49" fontId="45"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0" fontId="22" fillId="35" borderId="39" xfId="0" applyFont="1" applyFill="1" applyBorder="1" applyNumberFormat="1">
      <alignment vertical="center" wrapText="1"/>
    </xf>
    <xf numFmtId="0" fontId="0" fillId="0" borderId="49" xfId="0" applyFont="1" applyBorder="1" applyNumberFormat="1">
      <alignment horizontal="left" vertical="center" wrapText="1"/>
    </xf>
    <xf numFmtId="0" fontId="22" fillId="0" borderId="49" xfId="0" applyFont="1" applyBorder="1" applyNumberFormat="1">
      <alignment vertical="center" wrapText="1"/>
    </xf>
    <xf numFmtId="0" fontId="22" fillId="0" borderId="53" xfId="0" applyFont="1" applyBorder="1" applyNumberFormat="1">
      <alignment vertical="center" wrapText="1"/>
    </xf>
    <xf numFmtId="0" fontId="22" fillId="0" borderId="54" xfId="0" applyFont="1" applyBorder="1" applyNumberFormat="1">
      <alignment vertical="center" wrapText="1"/>
    </xf>
    <xf numFmtId="0" fontId="22" fillId="40" borderId="12" xfId="0" applyFont="1" applyFill="1" applyBorder="1" applyNumberFormat="1">
      <alignment horizontal="left" vertical="center" wrapText="1" indent="1"/>
    </xf>
    <xf numFmtId="0" fontId="0" fillId="37" borderId="50" xfId="0" applyFont="1" applyFill="1" applyBorder="1" applyNumberFormat="1">
      <alignment horizontal="left" vertical="center"/>
    </xf>
    <xf numFmtId="0" fontId="22" fillId="35" borderId="12" xfId="0" applyFont="1" applyFill="1" applyBorder="1" applyNumberFormat="1">
      <alignment horizontal="center" vertical="center" wrapText="1"/>
    </xf>
    <xf numFmtId="49" fontId="36" fillId="0" borderId="12" xfId="0" applyFont="1" applyBorder="1" applyNumberFormat="1">
      <alignment horizontal="center" vertical="center"/>
    </xf>
    <xf numFmtId="49" fontId="36" fillId="41" borderId="12" xfId="0" applyFont="1" applyFill="1" applyBorder="1" applyNumberFormat="1">
      <alignment horizontal="center" vertical="center"/>
    </xf>
    <xf numFmtId="0" fontId="36" fillId="0" borderId="12" xfId="0" applyFont="1" applyBorder="1" applyNumberFormat="1">
      <alignment horizontal="center" vertical="center"/>
    </xf>
    <xf numFmtId="49" fontId="36" fillId="0" borderId="23" xfId="0" applyFont="1" applyBorder="1" applyNumberFormat="1">
      <alignment horizontal="center" vertical="center"/>
    </xf>
    <xf numFmtId="49" fontId="22" fillId="0" borderId="0" xfId="0" applyFont="1" applyNumberFormat="1">
      <alignment vertical="center"/>
    </xf>
    <xf numFmtId="49" fontId="47"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pplyNumberFormat="1">
      <alignment horizontal="right" vertical="center"/>
    </xf>
    <xf numFmtId="0" fontId="22" fillId="0" borderId="17" xfId="0" applyFont="1" applyBorder="1" applyNumberFormat="1">
      <alignment horizontal="center" vertical="center"/>
    </xf>
    <xf numFmtId="0" fontId="22" fillId="0" borderId="12" xfId="0" applyFont="1" applyBorder="1" applyNumberFormat="1">
      <alignment horizontal="right" vertical="center"/>
    </xf>
    <xf numFmtId="49" fontId="22" fillId="0" borderId="0" xfId="0" applyFont="1" applyNumberFormat="1">
      <alignment vertical="center"/>
    </xf>
    <xf numFmtId="49" fontId="22" fillId="0" borderId="55" xfId="0" applyFont="1" applyBorder="1" applyNumberFormat="1">
      <alignment horizontal="center" vertical="center"/>
    </xf>
    <xf numFmtId="0" fontId="22" fillId="0" borderId="55" xfId="0" applyFont="1" applyBorder="1" applyNumberFormat="1">
      <alignment horizontal="right" vertical="center"/>
    </xf>
    <xf numFmtId="0" fontId="22" fillId="0" borderId="55" xfId="0" applyFont="1" applyBorder="1" applyNumberFormat="1">
      <alignment horizontal="center" vertical="center"/>
    </xf>
    <xf numFmtId="0" fontId="22" fillId="0" borderId="15" xfId="0" applyFont="1" applyBorder="1" applyNumberFormat="1">
      <alignment horizontal="right" vertical="center"/>
    </xf>
    <xf numFmtId="0" fontId="22" fillId="0" borderId="13" xfId="0" applyFont="1" applyBorder="1" applyNumberFormat="1">
      <alignment horizontal="right" vertical="center"/>
    </xf>
    <xf numFmtId="0" fontId="22" fillId="35" borderId="12" xfId="0" applyFont="1" applyFill="1" applyBorder="1" applyNumberFormat="1">
      <alignment horizontal="center" vertical="center"/>
    </xf>
    <xf numFmtId="0" fontId="22" fillId="40" borderId="12" xfId="0" applyFont="1" applyFill="1" applyBorder="1" applyNumberFormat="1">
      <alignment horizontal="left" vertical="center" wrapText="1" indent="1"/>
    </xf>
    <xf numFmtId="0" fontId="22" fillId="39" borderId="12" xfId="0" applyFont="1" applyFill="1" applyBorder="1" applyNumberFormat="1">
      <alignment horizontal="left" vertical="center" wrapText="1" indent="1"/>
      <protection locked="0"/>
    </xf>
    <xf numFmtId="0" fontId="22" fillId="41" borderId="12" xfId="0" applyFont="1" applyFill="1" applyBorder="1" applyNumberFormat="1">
      <alignment horizontal="right" vertical="center"/>
    </xf>
    <xf numFmtId="4" fontId="22" fillId="36" borderId="12" xfId="0" applyFont="1" applyFill="1" applyBorder="1" applyNumberFormat="1">
      <alignment horizontal="right" vertical="center"/>
      <protection locked="0"/>
    </xf>
    <xf numFmtId="49" fontId="40" fillId="37" borderId="56"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52" borderId="13" xfId="0" applyFont="1" applyFill="1" applyBorder="1" applyNumberFormat="1">
      <alignment horizontal="left" vertical="center" indent="1"/>
    </xf>
    <xf numFmtId="49" fontId="22" fillId="0" borderId="0" xfId="0" applyFont="1" applyNumberFormat="1">
      <alignment vertical="top"/>
    </xf>
    <xf numFmtId="0" fontId="22" fillId="48" borderId="0" xfId="0" applyFont="1" applyFill="1" applyNumberFormat="1">
      <alignment horizontal="left" vertical="center"/>
    </xf>
    <xf numFmtId="49" fontId="22" fillId="0" borderId="0" xfId="0" applyFont="1" applyNumberFormat="1">
      <alignment vertical="center" wrapText="1"/>
    </xf>
    <xf numFmtId="0" fontId="22" fillId="0" borderId="0" xfId="0" applyFont="1" applyNumberFormat="1">
      <alignment horizontal="right" vertical="center" wrapText="1"/>
    </xf>
    <xf numFmtId="0" fontId="48" fillId="0" borderId="0" xfId="0" applyFont="1" applyNumberFormat="1">
      <alignment horizontal="center" vertical="center" wrapText="1"/>
    </xf>
    <xf numFmtId="0" fontId="0" fillId="0" borderId="12" xfId="0" applyFont="1" applyBorder="1" applyNumberFormat="1">
      <alignment horizontal="center" vertical="center" wrapText="1"/>
    </xf>
    <xf numFmtId="0" fontId="0" fillId="0" borderId="12" xfId="0" applyFont="1" applyBorder="1" applyNumberFormat="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pplyNumberFormat="1">
      <alignment horizontal="left" vertical="center" wrapText="1"/>
    </xf>
    <xf numFmtId="49" fontId="0" fillId="0" borderId="12" xfId="0" applyFont="1" applyBorder="1" applyNumberFormat="1">
      <alignment horizontal="center" vertical="center" wrapText="1"/>
    </xf>
    <xf numFmtId="49" fontId="0" fillId="0" borderId="12" xfId="0" applyFont="1" applyBorder="1" applyNumberFormat="1">
      <alignment horizontal="center" vertical="center"/>
    </xf>
    <xf numFmtId="0" fontId="22" fillId="35" borderId="19" xfId="0" applyFont="1" applyFill="1" applyBorder="1" applyNumberFormat="1">
      <alignment vertical="center" wrapText="1"/>
    </xf>
    <xf numFmtId="49" fontId="48" fillId="0" borderId="0" xfId="0" applyFont="1" applyNumberFormat="1">
      <alignment vertical="top"/>
    </xf>
    <xf numFmtId="0" fontId="48" fillId="0" borderId="39" xfId="0" applyFont="1" applyBorder="1" applyNumberFormat="1">
      <alignment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0" fillId="34" borderId="12" xfId="0" applyFont="1" applyFill="1" applyBorder="1" applyNumberFormat="1">
      <alignment horizontal="center" vertical="center"/>
    </xf>
    <xf numFmtId="49" fontId="22" fillId="0" borderId="22" xfId="0" applyFont="1" applyBorder="1" applyNumberFormat="1">
      <alignment vertical="top"/>
    </xf>
    <xf numFmtId="0" fontId="22" fillId="0" borderId="22" xfId="0" applyFont="1" applyBorder="1" applyNumberFormat="1">
      <alignment vertical="center" wrapText="1"/>
    </xf>
    <xf numFmtId="4" fontId="0" fillId="36" borderId="12" xfId="0" applyFont="1" applyFill="1" applyBorder="1" applyNumberFormat="1">
      <alignment horizontal="right" vertical="center" wrapText="1"/>
      <protection locked="0"/>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0" fontId="22" fillId="0" borderId="38" xfId="0" applyFont="1" applyBorder="1" applyNumberFormat="1">
      <alignment vertical="center"/>
    </xf>
    <xf numFmtId="49" fontId="40" fillId="37" borderId="15" xfId="0" applyFont="1" applyFill="1" applyBorder="1" applyNumberFormat="1">
      <alignment horizontal="left" vertical="center" indent="1"/>
    </xf>
    <xf numFmtId="49" fontId="22" fillId="39" borderId="17" xfId="0" applyFont="1" applyFill="1" applyBorder="1" applyNumberFormat="1">
      <alignment horizontal="left" vertical="center" wrapText="1" indent="1"/>
      <protection locked="0"/>
    </xf>
    <xf numFmtId="0" fontId="46" fillId="0" borderId="0" xfId="0" applyFont="1" applyNumberFormat="1">
      <alignment vertical="center" wrapText="1"/>
    </xf>
    <xf numFmtId="0" fontId="22" fillId="35" borderId="27" xfId="0" applyFont="1" applyFill="1" applyBorder="1" applyNumberFormat="1">
      <alignment vertical="center" wrapText="1"/>
    </xf>
    <xf numFmtId="0" fontId="48" fillId="35" borderId="19" xfId="0" applyFont="1" applyFill="1" applyBorder="1" applyNumberFormat="1">
      <alignment horizontal="center" vertical="center" wrapText="1"/>
    </xf>
    <xf numFmtId="49" fontId="72" fillId="0" borderId="0" xfId="0" applyFont="1" applyNumberFormat="1">
      <alignment vertical="center" wrapText="1"/>
    </xf>
    <xf numFmtId="0" fontId="106" fillId="35" borderId="0" xfId="0" applyFont="1" applyFill="1" applyNumberFormat="1">
      <alignment vertical="center" wrapText="1"/>
    </xf>
    <xf numFmtId="0" fontId="22" fillId="0" borderId="0" xfId="0" applyFont="1" applyNumberFormat="1">
      <alignment vertical="center"/>
    </xf>
    <xf numFmtId="49" fontId="48" fillId="35" borderId="0" xfId="0" applyFont="1" applyFill="1" applyNumberFormat="1">
      <alignment horizontal="center" vertical="center" wrapText="1"/>
    </xf>
    <xf numFmtId="0" fontId="22" fillId="0" borderId="0" xfId="0" applyFont="1" applyNumberFormat="1">
      <alignment horizontal="left" vertical="center" wrapText="1"/>
    </xf>
    <xf numFmtId="0" fontId="48" fillId="0" borderId="0" xfId="0" applyFont="1" applyNumberFormat="1">
      <alignment vertical="center"/>
    </xf>
    <xf numFmtId="0" fontId="22" fillId="0" borderId="0" xfId="0" applyFont="1" applyNumberFormat="1">
      <alignment horizontal="left" vertical="center" wrapText="1" indent="1"/>
    </xf>
    <xf numFmtId="0" fontId="22" fillId="0" borderId="0" xfId="0" applyFont="1" applyNumberFormat="1">
      <alignment horizontal="right" vertical="top" wrapText="1"/>
    </xf>
    <xf numFmtId="0" fontId="107" fillId="35" borderId="0" xfId="0" applyFont="1" applyFill="1" applyNumberFormat="1">
      <alignment vertical="center" wrapText="1"/>
    </xf>
    <xf numFmtId="49" fontId="80" fillId="35" borderId="19" xfId="0" applyFont="1" applyFill="1" applyBorder="1" applyNumberFormat="1">
      <alignment horizontal="center" vertical="center" wrapText="1"/>
    </xf>
    <xf numFmtId="0" fontId="80" fillId="35" borderId="19" xfId="0" applyFont="1" applyFill="1" applyBorder="1" applyNumberFormat="1">
      <alignment horizontal="center" vertical="center" wrapText="1"/>
    </xf>
    <xf numFmtId="502" fontId="22" fillId="36" borderId="12" xfId="0" applyFont="1" applyFill="1" applyBorder="1" applyNumberFormat="1">
      <alignment horizontal="right" vertical="center" wrapText="1"/>
      <protection locked="0"/>
    </xf>
    <xf numFmtId="0" fontId="45" fillId="0" borderId="12" xfId="0" applyFont="1" applyBorder="1" applyNumberFormat="1">
      <alignment vertical="top" wrapText="1"/>
    </xf>
    <xf numFmtId="0" fontId="22" fillId="0" borderId="0" xfId="0" applyFont="1" applyNumberFormat="1">
      <alignment vertical="center"/>
    </xf>
    <xf numFmtId="0" fontId="108" fillId="0" borderId="0" xfId="0" applyFont="1" applyNumberFormat="1">
      <alignment vertical="center"/>
    </xf>
    <xf numFmtId="0" fontId="108" fillId="0" borderId="0" xfId="0" applyFont="1" applyNumberFormat="1">
      <alignment vertical="center"/>
    </xf>
    <xf numFmtId="0" fontId="22" fillId="0" borderId="0" xfId="0" applyFont="1" applyNumberFormat="1">
      <alignment vertical="center"/>
    </xf>
    <xf numFmtId="0" fontId="22" fillId="0" borderId="0" xfId="0" applyFont="1" applyNumberFormat="1">
      <alignment vertical="center"/>
    </xf>
    <xf numFmtId="0" fontId="108" fillId="0" borderId="0" xfId="0" applyFont="1" applyNumberFormat="1">
      <alignment vertical="center"/>
    </xf>
    <xf numFmtId="0" fontId="22" fillId="0" borderId="0" xfId="0" applyFont="1" applyNumberFormat="1">
      <alignment vertical="center"/>
    </xf>
    <xf numFmtId="0" fontId="22" fillId="0" borderId="0" xfId="0" applyFont="1" applyNumberFormat="1">
      <alignment vertical="center"/>
    </xf>
    <xf numFmtId="0" fontId="22" fillId="0" borderId="0" xfId="0" applyFont="1" applyNumberFormat="1">
      <alignment horizontal="left" vertical="center" indent="1"/>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109" fillId="37" borderId="15" xfId="0" applyFont="1" applyFill="1" applyBorder="1" applyNumberFormat="1">
      <alignment horizontal="left" vertical="center"/>
    </xf>
    <xf numFmtId="0" fontId="22" fillId="35" borderId="0" xfId="0" applyFont="1" applyFill="1" applyNumberFormat="1">
      <alignment horizontal="left" vertical="center" wrapText="1"/>
    </xf>
    <xf numFmtId="0" fontId="0" fillId="0" borderId="0" xfId="0" applyFont="1" applyNumberFormat="1">
      <alignment horizontal="left" vertical="center"/>
    </xf>
    <xf numFmtId="49" fontId="80" fillId="35" borderId="19" xfId="0" applyFont="1" applyFill="1" applyBorder="1" applyNumberFormat="1">
      <alignment horizontal="left" vertical="center" wrapText="1"/>
    </xf>
    <xf numFmtId="49" fontId="73" fillId="37" borderId="14" xfId="0" applyFont="1" applyFill="1" applyBorder="1" applyNumberFormat="1">
      <alignment horizontal="left" vertical="center"/>
    </xf>
    <xf numFmtId="49" fontId="101" fillId="37" borderId="14" xfId="0" applyFont="1" applyFill="1" applyBorder="1" applyNumberFormat="1">
      <alignment horizontal="left" vertical="center"/>
    </xf>
    <xf numFmtId="49" fontId="67" fillId="37" borderId="14" xfId="0" applyFont="1" applyFill="1" applyBorder="1" applyNumberFormat="1">
      <alignment horizontal="left" vertical="top"/>
    </xf>
    <xf numFmtId="0" fontId="0" fillId="48" borderId="0" xfId="0" applyFont="1" applyFill="1" applyNumberFormat="1">
      <alignment horizontal="right" vertical="center"/>
    </xf>
    <xf numFmtId="0" fontId="48" fillId="0" borderId="12" xfId="0" applyFont="1" applyBorder="1" applyNumberFormat="1">
      <alignment horizontal="center" vertical="center"/>
    </xf>
    <xf numFmtId="0" fontId="0" fillId="0" borderId="0" xfId="0" applyFont="1" applyNumberFormat="1">
      <alignment vertical="center"/>
    </xf>
    <xf numFmtId="0" fontId="22" fillId="0" borderId="12" xfId="0" applyFont="1" applyBorder="1" applyNumberFormat="1">
      <alignment horizontal="center" vertical="center" wrapText="1"/>
    </xf>
    <xf numFmtId="0" fontId="0" fillId="0" borderId="0" xfId="0" applyFont="1" applyNumberFormat="1">
      <alignment horizontal="left" vertical="top" wrapText="1"/>
    </xf>
    <xf numFmtId="49" fontId="22" fillId="0" borderId="0" xfId="0" applyFont="1" applyNumberFormat="1">
      <alignment vertical="center" wrapText="1"/>
    </xf>
    <xf numFmtId="0" fontId="22" fillId="0" borderId="0" xfId="0" applyFont="1" applyNumberFormat="1">
      <alignment horizontal="right" vertical="center" wrapText="1"/>
    </xf>
    <xf numFmtId="0" fontId="22" fillId="0" borderId="0" xfId="0" applyFont="1" applyNumberFormat="1">
      <alignment horizontal="left" vertical="top" wrapText="1"/>
    </xf>
    <xf numFmtId="0" fontId="80" fillId="35" borderId="19" xfId="0" applyFont="1" applyFill="1" applyBorder="1" applyNumberFormat="1">
      <alignment horizontal="center" vertical="center" wrapText="1"/>
    </xf>
    <xf numFmtId="0" fontId="22" fillId="0" borderId="0" xfId="0" applyFont="1" applyNumberFormat="1">
      <alignment horizontal="center" vertical="center" wrapText="1"/>
    </xf>
    <xf numFmtId="0" fontId="48" fillId="0" borderId="0" xfId="0" applyFont="1" applyNumberFormat="1">
      <alignment horizontal="center" vertical="center" wrapText="1"/>
    </xf>
    <xf numFmtId="0" fontId="0" fillId="0" borderId="12" xfId="0" applyFont="1" applyBorder="1" applyNumberFormat="1">
      <alignment horizontal="center" vertical="center" wrapText="1"/>
    </xf>
    <xf numFmtId="0" fontId="22" fillId="35" borderId="12" xfId="0" applyFont="1" applyFill="1" applyBorder="1" applyNumberFormat="1">
      <alignment horizontal="left" vertical="center" wrapText="1"/>
    </xf>
    <xf numFmtId="49" fontId="22" fillId="0" borderId="12" xfId="0" applyFont="1" applyBorder="1" applyNumberFormat="1">
      <alignment horizontal="left" vertical="center" wrapText="1"/>
    </xf>
    <xf numFmtId="0" fontId="54" fillId="48" borderId="0" xfId="0" applyFont="1" applyFill="1" applyNumberFormat="1">
      <alignment horizontal="left" vertical="center"/>
    </xf>
    <xf numFmtId="49" fontId="22" fillId="0" borderId="20" xfId="0" applyFont="1" applyBorder="1" applyNumberFormat="1">
      <alignment horizontal="left" vertical="center" wrapText="1"/>
    </xf>
    <xf numFmtId="0" fontId="40" fillId="0" borderId="0" xfId="0" applyFont="1" applyNumberFormat="1">
      <alignment horizontal="left" vertical="center"/>
    </xf>
    <xf numFmtId="0" fontId="40" fillId="0" borderId="24" xfId="0" applyFont="1" applyBorder="1" applyNumberFormat="1">
      <alignment horizontal="left" vertical="center"/>
    </xf>
    <xf numFmtId="0" fontId="40" fillId="0" borderId="30" xfId="0" applyFont="1" applyBorder="1" applyNumberFormat="1">
      <alignment horizontal="left" vertical="center"/>
    </xf>
    <xf numFmtId="0" fontId="40" fillId="0" borderId="27" xfId="0" applyFont="1" applyBorder="1" applyNumberFormat="1">
      <alignment horizontal="left" vertical="center"/>
    </xf>
    <xf numFmtId="0" fontId="0" fillId="0" borderId="27" xfId="0" applyFont="1" applyBorder="1" applyNumberFormat="1">
      <alignment vertical="center"/>
    </xf>
    <xf numFmtId="0" fontId="40" fillId="0" borderId="29" xfId="0" applyFont="1" applyBorder="1" applyNumberFormat="1">
      <alignment horizontal="left" vertical="center"/>
    </xf>
    <xf numFmtId="49" fontId="22" fillId="0" borderId="0" xfId="0" applyFont="1" applyNumberFormat="1">
      <alignment vertical="center" wrapText="1"/>
    </xf>
    <xf numFmtId="0" fontId="22" fillId="0" borderId="0" xfId="0" applyFont="1" applyNumberFormat="1">
      <alignment horizontal="center" vertical="center" wrapText="1"/>
    </xf>
    <xf numFmtId="0" fontId="48" fillId="0" borderId="0" xfId="0" applyFont="1" applyNumberFormat="1">
      <alignment horizontal="center" vertical="center" wrapText="1"/>
    </xf>
    <xf numFmtId="49" fontId="22" fillId="0" borderId="12" xfId="0" applyFont="1" applyBorder="1" applyNumberFormat="1">
      <alignment horizontal="left" vertical="center" wrapText="1"/>
    </xf>
    <xf numFmtId="0" fontId="45" fillId="0" borderId="17" xfId="0" applyFont="1" applyBorder="1" applyNumberFormat="1">
      <alignment vertical="top" wrapText="1"/>
    </xf>
    <xf numFmtId="0" fontId="0" fillId="0" borderId="0" xfId="0" applyFont="1" applyNumberFormat="1">
      <alignment vertical="center"/>
    </xf>
    <xf numFmtId="0" fontId="22" fillId="35" borderId="12" xfId="0" applyFont="1" applyFill="1" applyBorder="1" applyNumberFormat="1">
      <alignment horizontal="left" vertical="center" wrapText="1"/>
    </xf>
    <xf numFmtId="0" fontId="22" fillId="0" borderId="0" xfId="0" applyFont="1" applyNumberFormat="1">
      <alignment horizontal="center" vertical="center"/>
    </xf>
    <xf numFmtId="49" fontId="22" fillId="0" borderId="0" xfId="0" applyFont="1" applyNumberFormat="1">
      <alignment vertical="center" wrapText="1"/>
    </xf>
    <xf numFmtId="0" fontId="80" fillId="35" borderId="19" xfId="0" applyFont="1" applyFill="1" applyBorder="1" applyNumberFormat="1">
      <alignment horizontal="center" vertical="center" wrapText="1"/>
    </xf>
    <xf numFmtId="0" fontId="0" fillId="0" borderId="12" xfId="0" applyFont="1" applyBorder="1" applyNumberFormat="1">
      <alignment horizontal="center" vertical="center" wrapText="1"/>
    </xf>
    <xf numFmtId="0" fontId="48" fillId="0" borderId="0" xfId="0" applyFont="1" applyNumberFormat="1">
      <alignment horizontal="left" vertical="center" indent="1"/>
    </xf>
    <xf numFmtId="0" fontId="48" fillId="0" borderId="0" xfId="0" applyFont="1" applyNumberFormat="1">
      <alignment horizontal="left" vertical="center" wrapText="1"/>
    </xf>
    <xf numFmtId="49" fontId="48" fillId="0" borderId="0" xfId="0" applyFont="1" applyNumberFormat="1">
      <alignment vertical="top"/>
    </xf>
    <xf numFmtId="49" fontId="107" fillId="0" borderId="0" xfId="0" applyFont="1" applyNumberFormat="1">
      <alignment vertical="top"/>
    </xf>
    <xf numFmtId="49" fontId="97" fillId="0" borderId="19" xfId="0" applyFont="1" applyBorder="1" applyNumberFormat="1">
      <alignment horizontal="left" vertical="center"/>
    </xf>
    <xf numFmtId="49" fontId="48" fillId="0" borderId="19" xfId="0" applyFont="1" applyBorder="1" applyNumberFormat="1">
      <alignment horizontal="left" vertical="center" indent="3"/>
    </xf>
    <xf numFmtId="49" fontId="48" fillId="0" borderId="19" xfId="0" applyFont="1" applyBorder="1" applyNumberFormat="1">
      <alignment horizontal="center" vertical="center" wrapText="1"/>
    </xf>
    <xf numFmtId="49" fontId="48" fillId="0" borderId="0" xfId="0" applyFont="1" applyNumberFormat="1">
      <alignment horizontal="left" vertical="center"/>
    </xf>
    <xf numFmtId="49" fontId="97" fillId="0" borderId="0" xfId="0" applyFont="1" applyNumberFormat="1">
      <alignment horizontal="left" vertical="center"/>
    </xf>
    <xf numFmtId="49" fontId="48" fillId="0" borderId="0" xfId="0" applyFont="1" applyNumberFormat="1">
      <alignment horizontal="left" vertical="center" indent="2"/>
    </xf>
    <xf numFmtId="49" fontId="48" fillId="0" borderId="0" xfId="0" applyFont="1" applyNumberFormat="1">
      <alignment horizontal="center" vertical="center" wrapText="1"/>
    </xf>
    <xf numFmtId="49" fontId="48" fillId="0" borderId="0" xfId="0" applyFont="1" applyNumberFormat="1">
      <alignment horizontal="left" vertical="center" indent="1"/>
    </xf>
    <xf numFmtId="0" fontId="0" fillId="0" borderId="0" xfId="0" applyFont="1" applyNumberFormat="1">
      <alignment vertical="center"/>
    </xf>
    <xf numFmtId="0" fontId="22" fillId="0" borderId="0" xfId="0" applyFont="1" applyNumberFormat="1">
      <alignment horizontal="center" vertical="center" wrapText="1"/>
    </xf>
    <xf numFmtId="49" fontId="22" fillId="0" borderId="0" xfId="0" applyFont="1" applyNumberFormat="1">
      <alignment vertical="center" wrapText="1"/>
    </xf>
    <xf numFmtId="0" fontId="47" fillId="0" borderId="0" xfId="0" applyFont="1" applyNumberFormat="1">
      <alignment horizontal="center" vertical="center" wrapText="1"/>
    </xf>
    <xf numFmtId="0" fontId="22" fillId="35" borderId="12" xfId="0" applyFont="1" applyFill="1" applyBorder="1" applyNumberFormat="1">
      <alignment horizontal="center" vertical="center" wrapText="1"/>
    </xf>
    <xf numFmtId="0" fontId="48" fillId="0" borderId="0" xfId="0" applyFont="1" applyNumberFormat="1">
      <alignment horizontal="center" vertical="center" wrapText="1"/>
    </xf>
    <xf numFmtId="0" fontId="22" fillId="0" borderId="0" xfId="0" applyFont="1" applyNumberFormat="1">
      <alignment horizontal="center" vertical="center" wrapText="1"/>
    </xf>
    <xf numFmtId="0" fontId="22" fillId="0" borderId="0" xfId="0" applyFont="1" applyNumberFormat="1">
      <alignment horizontal="left" vertical="top" wrapText="1"/>
    </xf>
    <xf numFmtId="0" fontId="0" fillId="0" borderId="13" xfId="0" applyFont="1" applyBorder="1" applyNumberFormat="1">
      <alignment horizontal="center" vertical="center" wrapText="1"/>
    </xf>
    <xf numFmtId="0" fontId="80" fillId="35" borderId="19" xfId="0" applyFont="1" applyFill="1" applyBorder="1" applyNumberFormat="1">
      <alignment horizontal="center" vertical="center" wrapText="1"/>
    </xf>
    <xf numFmtId="0" fontId="22" fillId="35" borderId="12" xfId="0" applyFont="1" applyFill="1" applyBorder="1" applyNumberFormat="1">
      <alignment horizontal="left" vertical="center" wrapText="1"/>
    </xf>
    <xf numFmtId="49" fontId="22" fillId="35" borderId="12" xfId="0" applyFont="1" applyFill="1" applyBorder="1" applyNumberFormat="1">
      <alignment horizontal="center" vertical="center" wrapText="1"/>
    </xf>
    <xf numFmtId="0" fontId="0" fillId="0" borderId="12" xfId="0" applyFont="1" applyBorder="1" applyNumberFormat="1">
      <alignment horizontal="center" vertical="center" wrapText="1"/>
    </xf>
    <xf numFmtId="0" fontId="48" fillId="0" borderId="0" xfId="0" applyFont="1" applyNumberFormat="1">
      <alignment horizontal="center" vertical="center"/>
    </xf>
    <xf numFmtId="0" fontId="22" fillId="0" borderId="0" xfId="0" applyFont="1" applyNumberFormat="1">
      <alignment horizontal="right" vertical="center" wrapText="1"/>
    </xf>
    <xf numFmtId="0" fontId="80" fillId="35" borderId="0" xfId="0" applyFont="1" applyFill="1" applyNumberFormat="1">
      <alignment horizontal="center" vertical="center" wrapText="1"/>
    </xf>
    <xf numFmtId="49" fontId="22" fillId="0" borderId="12" xfId="0" applyFont="1" applyBorder="1" applyNumberFormat="1">
      <alignment horizontal="left" vertical="center" wrapText="1"/>
    </xf>
    <xf numFmtId="0" fontId="48" fillId="0" borderId="0" xfId="0" applyFont="1" applyNumberFormat="1">
      <alignment horizontal="left" vertical="center" indent="1"/>
    </xf>
    <xf numFmtId="49" fontId="107" fillId="0" borderId="0" xfId="0" applyFont="1" applyNumberFormat="1">
      <alignment vertical="top"/>
    </xf>
    <xf numFmtId="49" fontId="22" fillId="0" borderId="12" xfId="0" applyFont="1" applyBorder="1" applyNumberFormat="1">
      <alignment vertical="center" wrapText="1"/>
    </xf>
    <xf numFmtId="0" fontId="48" fillId="0" borderId="0" xfId="0" applyFont="1" applyNumberFormat="1">
      <alignment horizontal="center" vertical="center"/>
    </xf>
    <xf numFmtId="0" fontId="22" fillId="40" borderId="12" xfId="0" applyFont="1" applyFill="1" applyBorder="1" applyNumberFormat="1">
      <alignment horizontal="left" vertical="center" wrapText="1" indent="6"/>
    </xf>
    <xf numFmtId="4" fontId="22" fillId="0" borderId="17" xfId="0" applyFont="1" applyBorder="1" applyNumberFormat="1">
      <alignment horizontal="right" vertical="center" wrapText="1"/>
    </xf>
    <xf numFmtId="4" fontId="22" fillId="0" borderId="23" xfId="0" applyFont="1" applyBorder="1" applyNumberFormat="1">
      <alignment horizontal="right" vertical="center" wrapText="1"/>
    </xf>
    <xf numFmtId="0" fontId="0" fillId="0" borderId="0" xfId="0" applyFont="1" applyNumberFormat="1">
      <alignment vertical="center"/>
    </xf>
    <xf numFmtId="49" fontId="22" fillId="0" borderId="0" xfId="0" applyFont="1" applyNumberFormat="1">
      <alignment vertical="center" wrapText="1"/>
    </xf>
    <xf numFmtId="0" fontId="22" fillId="0" borderId="17" xfId="0" applyFont="1" applyBorder="1" applyNumberFormat="1">
      <alignment horizontal="center" vertical="center" wrapText="1"/>
    </xf>
    <xf numFmtId="0" fontId="80" fillId="35" borderId="19" xfId="0" applyFont="1" applyFill="1" applyBorder="1" applyNumberFormat="1">
      <alignment horizontal="center" vertical="center" wrapText="1"/>
    </xf>
    <xf numFmtId="0" fontId="48" fillId="0" borderId="0" xfId="0" applyFont="1" applyNumberFormat="1">
      <alignment horizontal="center" vertical="center" wrapText="1"/>
    </xf>
    <xf numFmtId="0" fontId="22" fillId="0" borderId="0" xfId="0" applyFont="1" applyNumberFormat="1">
      <alignment horizontal="right" vertical="center" wrapText="1"/>
    </xf>
    <xf numFmtId="0" fontId="22" fillId="0" borderId="0" xfId="0" applyFont="1" applyNumberFormat="1">
      <alignment horizontal="center" vertical="center" wrapText="1"/>
    </xf>
    <xf numFmtId="0" fontId="0" fillId="0" borderId="12" xfId="0" applyFont="1" applyBorder="1" applyNumberFormat="1">
      <alignment horizontal="center" vertical="center" wrapText="1"/>
    </xf>
    <xf numFmtId="0" fontId="22" fillId="35" borderId="12" xfId="0" applyFont="1" applyFill="1" applyBorder="1" applyNumberFormat="1">
      <alignment horizontal="left" vertical="center" wrapText="1"/>
    </xf>
    <xf numFmtId="49" fontId="22" fillId="0" borderId="12" xfId="0" applyFont="1" applyBorder="1" applyNumberFormat="1">
      <alignment horizontal="left" vertical="center" wrapText="1"/>
    </xf>
    <xf numFmtId="4" fontId="47" fillId="0" borderId="12" xfId="0" applyFont="1" applyBorder="1" applyNumberFormat="1">
      <alignment horizontal="right" vertical="center" wrapText="1"/>
    </xf>
    <xf numFmtId="502" fontId="47" fillId="0" borderId="12" xfId="0" applyFont="1" applyBorder="1" applyNumberFormat="1">
      <alignment horizontal="right" vertical="center" wrapText="1"/>
    </xf>
    <xf numFmtId="49" fontId="47" fillId="0" borderId="0" xfId="0" applyFont="1" applyNumberFormat="1">
      <alignment vertical="center" wrapText="1"/>
    </xf>
    <xf numFmtId="0" fontId="47" fillId="0" borderId="0" xfId="0" applyFont="1" applyNumberFormat="1">
      <alignment horizontal="left" vertical="center" indent="1"/>
    </xf>
    <xf numFmtId="0" fontId="47" fillId="0" borderId="0" xfId="0" applyFont="1" applyNumberFormat="1">
      <alignment horizontal="center" vertical="center"/>
    </xf>
    <xf numFmtId="0" fontId="47" fillId="0" borderId="0" xfId="0" applyFont="1" applyNumberFormat="1">
      <alignment horizontal="left" vertical="center" wrapText="1"/>
    </xf>
    <xf numFmtId="0" fontId="47" fillId="0" borderId="0" xfId="0" applyFont="1" applyNumberFormat="1">
      <alignment vertical="center" wrapText="1"/>
    </xf>
    <xf numFmtId="49" fontId="47" fillId="0" borderId="12" xfId="0" applyFont="1" applyBorder="1" applyNumberFormat="1">
      <alignment vertical="center" wrapText="1"/>
    </xf>
    <xf numFmtId="0" fontId="47" fillId="0" borderId="0" xfId="0" applyFont="1" applyNumberFormat="1">
      <alignment vertical="center"/>
    </xf>
    <xf numFmtId="0" fontId="47" fillId="0" borderId="0" xfId="0" applyFont="1" applyNumberFormat="1">
      <alignment horizontal="center" vertical="center"/>
    </xf>
    <xf numFmtId="0" fontId="47" fillId="0" borderId="0" xfId="0" applyFont="1" applyNumberFormat="1">
      <alignment vertical="center"/>
    </xf>
    <xf numFmtId="0" fontId="69" fillId="0" borderId="0" xfId="0" applyFont="1" applyNumberFormat="1">
      <alignment vertical="center" wrapText="1"/>
    </xf>
    <xf numFmtId="0" fontId="0" fillId="0" borderId="15" xfId="0" applyFont="1" applyBorder="1" applyNumberFormat="1">
      <alignment vertical="center"/>
    </xf>
    <xf numFmtId="0" fontId="48" fillId="0" borderId="12" xfId="0" applyFont="1" applyBorder="1" applyNumberFormat="1">
      <alignment horizontal="center" vertical="center" wrapText="1"/>
    </xf>
    <xf numFmtId="0" fontId="72" fillId="0" borderId="0" xfId="0" applyFont="1" applyNumberFormat="1">
      <alignment horizontal="left" vertical="center" indent="1"/>
    </xf>
    <xf numFmtId="0" fontId="72" fillId="0" borderId="0" xfId="0" applyFont="1" applyNumberFormat="1">
      <alignment horizontal="left" vertical="center" indent="1"/>
    </xf>
    <xf numFmtId="0" fontId="48" fillId="0" borderId="12" xfId="0" applyFont="1" applyBorder="1" applyNumberFormat="1">
      <alignment vertical="center" wrapText="1"/>
    </xf>
    <xf numFmtId="0" fontId="72" fillId="0" borderId="0" xfId="0" applyFont="1" applyNumberFormat="1">
      <alignment horizontal="center" vertical="center"/>
    </xf>
    <xf numFmtId="0" fontId="72" fillId="0" borderId="0" xfId="0" applyFont="1" applyNumberFormat="1">
      <alignment horizontal="left" vertical="center" wrapText="1"/>
    </xf>
    <xf numFmtId="49" fontId="72" fillId="0" borderId="0" xfId="0" applyFont="1" applyNumberFormat="1">
      <alignment horizontal="left" vertical="center"/>
    </xf>
    <xf numFmtId="0" fontId="22" fillId="0" borderId="0" xfId="0" applyFont="1" applyNumberFormat="1">
      <alignment horizontal="center" vertical="center"/>
    </xf>
    <xf numFmtId="0" fontId="72" fillId="0" borderId="0" xfId="0" applyFont="1" applyNumberFormat="1">
      <alignment horizontal="center" vertical="center"/>
    </xf>
    <xf numFmtId="4" fontId="22" fillId="0" borderId="13" xfId="0" applyFont="1" applyBorder="1" applyNumberFormat="1">
      <alignment horizontal="right" vertical="center" wrapText="1"/>
    </xf>
    <xf numFmtId="0" fontId="48" fillId="0" borderId="12" xfId="0" applyFont="1" applyBorder="1" applyNumberFormat="1">
      <alignment horizontal="left" vertical="center" wrapText="1" indent="4"/>
    </xf>
    <xf numFmtId="0" fontId="48" fillId="0" borderId="12" xfId="0" applyFont="1" applyBorder="1" applyNumberFormat="1">
      <alignment horizontal="left" vertical="center" wrapText="1" indent="6"/>
    </xf>
    <xf numFmtId="0" fontId="48" fillId="0" borderId="12" xfId="0" applyFont="1" applyBorder="1" applyNumberFormat="1">
      <alignment vertical="top" wrapText="1"/>
    </xf>
    <xf numFmtId="49" fontId="97" fillId="0" borderId="14" xfId="0" applyFont="1" applyBorder="1" applyNumberFormat="1">
      <alignment horizontal="left" vertical="center"/>
    </xf>
    <xf numFmtId="49" fontId="48" fillId="0" borderId="15" xfId="0" applyFont="1" applyBorder="1" applyNumberFormat="1">
      <alignment horizontal="left" vertical="center" indent="4"/>
    </xf>
    <xf numFmtId="49" fontId="48" fillId="0" borderId="15" xfId="0" applyFont="1" applyBorder="1" applyNumberFormat="1">
      <alignment horizontal="center" vertical="center" wrapText="1"/>
    </xf>
    <xf numFmtId="49" fontId="48" fillId="0" borderId="13" xfId="0" applyFont="1" applyBorder="1" applyNumberFormat="1">
      <alignment horizontal="center" vertical="center" wrapText="1"/>
    </xf>
    <xf numFmtId="4" fontId="22" fillId="0" borderId="36" xfId="0" applyFont="1" applyBorder="1" applyNumberFormat="1">
      <alignment horizontal="right" vertical="center" wrapText="1"/>
    </xf>
    <xf numFmtId="0" fontId="22" fillId="36" borderId="12" xfId="0" applyFont="1" applyFill="1" applyBorder="1" applyNumberFormat="1">
      <alignment horizontal="left" vertical="center" wrapText="1" indent="7"/>
      <protection locked="0"/>
    </xf>
    <xf numFmtId="0" fontId="22" fillId="37" borderId="15" xfId="0" applyFont="1" applyFill="1" applyBorder="1" applyNumberFormat="1">
      <alignment horizontal="left" vertical="center" wrapText="1" indent="6"/>
    </xf>
    <xf numFmtId="4" fontId="22" fillId="37" borderId="15" xfId="0" applyFont="1" applyFill="1" applyBorder="1" applyNumberFormat="1">
      <alignment horizontal="right" vertical="center" wrapText="1"/>
    </xf>
    <xf numFmtId="4" fontId="48"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 fontId="48" fillId="37" borderId="13" xfId="0" applyFont="1" applyFill="1" applyBorder="1" applyNumberFormat="1">
      <alignment horizontal="center" vertical="center" wrapText="1"/>
    </xf>
    <xf numFmtId="502" fontId="22" fillId="37" borderId="13" xfId="0" applyFont="1" applyFill="1" applyBorder="1" applyNumberFormat="1">
      <alignment horizontal="right" vertical="center" wrapText="1"/>
    </xf>
    <xf numFmtId="0" fontId="22" fillId="40" borderId="12" xfId="0" applyFont="1" applyFill="1" applyBorder="1" applyNumberFormat="1">
      <alignment horizontal="left" vertical="center" wrapText="1" indent="1"/>
    </xf>
    <xf numFmtId="0" fontId="48" fillId="0" borderId="12" xfId="0" applyFont="1" applyBorder="1" applyNumberFormat="1">
      <alignment horizontal="left" vertical="center" wrapText="1" indent="5"/>
    </xf>
    <xf numFmtId="49" fontId="72" fillId="0" borderId="24" xfId="0" applyFont="1" applyBorder="1" applyNumberFormat="1">
      <alignment vertical="top"/>
    </xf>
    <xf numFmtId="49" fontId="48" fillId="0" borderId="24" xfId="0" applyFont="1" applyBorder="1" applyNumberFormat="1">
      <alignment vertical="top"/>
    </xf>
    <xf numFmtId="0" fontId="22" fillId="0" borderId="12" xfId="0" applyFont="1" applyBorder="1" applyNumberFormat="1">
      <alignment horizontal="left" vertical="center" wrapText="1" indent="1"/>
    </xf>
    <xf numFmtId="4" fontId="48" fillId="0" borderId="12" xfId="0" applyFont="1" applyBorder="1" applyNumberFormat="1">
      <alignment horizontal="right" vertical="center" wrapText="1"/>
    </xf>
    <xf numFmtId="502" fontId="48" fillId="0" borderId="12" xfId="0" applyFont="1" applyBorder="1" applyNumberFormat="1">
      <alignment horizontal="right" vertical="center" wrapText="1"/>
    </xf>
    <xf numFmtId="502" fontId="22" fillId="36" borderId="14" xfId="0" applyFont="1" applyFill="1" applyBorder="1" applyNumberFormat="1">
      <alignment horizontal="right" vertical="center" wrapText="1"/>
      <protection locked="0"/>
    </xf>
    <xf numFmtId="4" fontId="48" fillId="0" borderId="14" xfId="0" applyFont="1" applyBorder="1" applyNumberFormat="1">
      <alignment horizontal="center" vertical="center" wrapText="1"/>
    </xf>
    <xf numFmtId="4" fontId="22" fillId="36" borderId="13" xfId="0" applyFont="1" applyFill="1" applyBorder="1" applyNumberFormat="1">
      <alignment horizontal="right" vertical="center" wrapText="1"/>
      <protection locked="0"/>
    </xf>
    <xf numFmtId="49" fontId="22" fillId="37" borderId="27" xfId="0" applyFont="1" applyFill="1" applyBorder="1" applyNumberFormat="1">
      <alignment horizontal="center" vertical="center" wrapText="1"/>
    </xf>
    <xf numFmtId="49" fontId="47" fillId="0" borderId="0" xfId="0" applyFont="1" applyNumberFormat="1">
      <alignment vertical="center" wrapText="1"/>
    </xf>
    <xf numFmtId="0" fontId="47" fillId="0" borderId="0" xfId="0" applyFont="1" applyNumberFormat="1">
      <alignment horizontal="center" vertical="center" wrapText="1"/>
    </xf>
    <xf numFmtId="0" fontId="56" fillId="35" borderId="0" xfId="0" applyFont="1" applyFill="1" applyNumberFormat="1">
      <alignment horizontal="center" vertical="center" wrapText="1"/>
    </xf>
    <xf numFmtId="0" fontId="56" fillId="0" borderId="0" xfId="0" applyFont="1" applyNumberFormat="1">
      <alignment vertical="center" wrapText="1"/>
    </xf>
    <xf numFmtId="0" fontId="48" fillId="0" borderId="0" xfId="0" applyFont="1" applyNumberFormat="1">
      <alignment vertical="center"/>
    </xf>
    <xf numFmtId="0" fontId="49" fillId="0" borderId="0" xfId="0" applyFont="1" applyNumberFormat="1">
      <alignment vertical="center"/>
    </xf>
    <xf numFmtId="0" fontId="48" fillId="0" borderId="0" xfId="0" applyFont="1" applyNumberFormat="1">
      <alignment vertical="center"/>
    </xf>
    <xf numFmtId="0" fontId="48" fillId="0" borderId="0" xfId="0" applyFont="1" applyNumberFormat="1">
      <alignment vertical="center"/>
    </xf>
    <xf numFmtId="0" fontId="0" fillId="0" borderId="0" xfId="0" applyFont="1" applyNumberFormat="1">
      <alignment vertical="center"/>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47" fillId="0" borderId="0" xfId="0" applyFont="1" applyNumberFormat="1">
      <alignment horizontal="center" vertical="center" wrapText="1"/>
    </xf>
    <xf numFmtId="0" fontId="48" fillId="0" borderId="0" xfId="0" applyFont="1" applyNumberFormat="1">
      <alignment horizontal="center" vertical="center" wrapText="1"/>
    </xf>
    <xf numFmtId="0" fontId="22" fillId="0" borderId="0" xfId="0" applyFont="1" applyNumberFormat="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pplyNumberFormat="1">
      <alignment horizontal="left" vertical="center" wrapText="1"/>
    </xf>
    <xf numFmtId="0" fontId="48" fillId="0" borderId="0" xfId="0" applyFont="1" applyNumberFormat="1">
      <alignment horizontal="center" vertical="center"/>
    </xf>
    <xf numFmtId="49" fontId="22" fillId="0" borderId="0" xfId="0" applyFont="1" applyNumberFormat="1">
      <alignment horizontal="center" vertical="top"/>
    </xf>
    <xf numFmtId="49" fontId="32" fillId="0" borderId="0" xfId="0" applyFont="1" applyNumberFormat="1">
      <alignment horizontal="center" vertical="center"/>
    </xf>
    <xf numFmtId="0" fontId="0" fillId="0" borderId="0" xfId="0" applyFont="1" applyNumberFormat="1">
      <alignment horizontal="left" vertical="center"/>
    </xf>
    <xf numFmtId="0" fontId="54" fillId="0" borderId="0" xfId="0" applyFont="1" applyNumberFormat="1">
      <alignment horizontal="left" vertical="center"/>
    </xf>
    <xf numFmtId="49" fontId="0" fillId="0" borderId="0" xfId="0" applyFont="1" applyNumberFormat="1">
      <alignment vertical="center"/>
    </xf>
    <xf numFmtId="0" fontId="0" fillId="0" borderId="0" xfId="0" applyFont="1" applyNumberFormat="1">
      <alignment horizontal="right" vertical="top"/>
    </xf>
    <xf numFmtId="0" fontId="40" fillId="37" borderId="29" xfId="0" applyFont="1" applyFill="1" applyBorder="1" applyNumberFormat="1">
      <alignment horizontal="left" vertical="center"/>
    </xf>
    <xf numFmtId="49" fontId="48" fillId="0" borderId="14" xfId="0" applyFont="1" applyBorder="1" applyNumberFormat="1">
      <alignment horizontal="left" vertical="center" wrapText="1"/>
    </xf>
    <xf numFmtId="0" fontId="48" fillId="0" borderId="14" xfId="0" applyFont="1" applyBorder="1" applyNumberFormat="1">
      <alignment horizontal="left" vertical="center"/>
    </xf>
    <xf numFmtId="0" fontId="48" fillId="0" borderId="15" xfId="0" applyFont="1" applyBorder="1" applyNumberFormat="1">
      <alignment horizontal="left" vertical="center"/>
    </xf>
    <xf numFmtId="49" fontId="22" fillId="36" borderId="12" xfId="0" applyFont="1" applyFill="1" applyBorder="1" applyNumberFormat="1">
      <alignment horizontal="left" vertical="center" wrapText="1" indent="6"/>
      <protection locked="0"/>
    </xf>
    <xf numFmtId="4" fontId="22" fillId="0" borderId="37" xfId="0" applyFont="1" applyBorder="1" applyNumberFormat="1">
      <alignment horizontal="right" vertical="center" wrapText="1"/>
    </xf>
    <xf numFmtId="4" fontId="22" fillId="0" borderId="30" xfId="0" applyFont="1" applyBorder="1" applyNumberFormat="1">
      <alignment horizontal="right" vertical="center" wrapText="1"/>
    </xf>
    <xf numFmtId="49" fontId="0" fillId="37" borderId="29" xfId="0" applyFont="1" applyFill="1" applyBorder="1" applyNumberFormat="1">
      <alignment horizontal="center" vertical="center" wrapText="1"/>
    </xf>
    <xf numFmtId="0" fontId="0" fillId="0" borderId="0" xfId="0" applyFont="1" applyNumberFormat="1">
      <alignment vertical="center"/>
    </xf>
    <xf numFmtId="0" fontId="110" fillId="0" borderId="0" xfId="0" applyFont="1" applyNumberFormat="1">
      <alignment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0" fontId="47" fillId="0" borderId="0" xfId="0" applyFont="1" applyNumberFormat="1">
      <alignment horizontal="center" vertical="center" wrapText="1"/>
    </xf>
    <xf numFmtId="0" fontId="22" fillId="35" borderId="12" xfId="0" applyFont="1" applyFill="1" applyBorder="1" applyNumberFormat="1">
      <alignment horizontal="center" vertical="center" wrapText="1"/>
    </xf>
    <xf numFmtId="0" fontId="22" fillId="0" borderId="0" xfId="0" applyFont="1" applyNumberFormat="1">
      <alignment horizontal="left" vertical="top" wrapText="1"/>
    </xf>
    <xf numFmtId="0" fontId="48" fillId="0" borderId="0" xfId="0" applyFont="1" applyNumberFormat="1">
      <alignment horizontal="center" vertical="center" wrapText="1"/>
    </xf>
    <xf numFmtId="0" fontId="80" fillId="35" borderId="19" xfId="0" applyFont="1" applyFill="1" applyBorder="1" applyNumberFormat="1">
      <alignment horizontal="center" vertical="center" wrapText="1"/>
    </xf>
    <xf numFmtId="0" fontId="22" fillId="0" borderId="17" xfId="0" applyFont="1" applyBorder="1" applyNumberFormat="1">
      <alignment horizontal="center" vertical="center" wrapText="1"/>
    </xf>
    <xf numFmtId="0" fontId="22" fillId="0" borderId="0" xfId="0" applyFont="1" applyNumberFormat="1">
      <alignment horizontal="center" vertical="center" wrapText="1"/>
    </xf>
    <xf numFmtId="0" fontId="22" fillId="0" borderId="0" xfId="0" applyFont="1" applyNumberFormat="1">
      <alignment horizontal="right" vertical="center" wrapText="1"/>
    </xf>
    <xf numFmtId="0" fontId="0" fillId="0" borderId="12" xfId="0" applyFont="1" applyBorder="1" applyNumberFormat="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pplyNumberFormat="1">
      <alignment horizontal="left" vertical="center" wrapText="1"/>
    </xf>
    <xf numFmtId="0" fontId="48" fillId="0" borderId="0" xfId="0" applyFont="1" applyNumberFormat="1">
      <alignment horizontal="center" vertical="center"/>
    </xf>
    <xf numFmtId="49" fontId="22" fillId="40" borderId="12" xfId="0" applyFont="1" applyFill="1" applyBorder="1" applyNumberFormat="1">
      <alignment horizontal="center" vertical="center" wrapText="1"/>
    </xf>
    <xf numFmtId="49" fontId="48" fillId="0" borderId="12" xfId="0" applyFont="1" applyBorder="1" applyNumberFormat="1">
      <alignment horizontal="center" vertical="center" wrapText="1"/>
    </xf>
    <xf numFmtId="0" fontId="47" fillId="0" borderId="0" xfId="0" applyFont="1" applyNumberFormat="1">
      <alignment horizontal="center" vertical="center" wrapText="1"/>
    </xf>
    <xf numFmtId="0" fontId="48" fillId="0" borderId="0" xfId="0" applyFont="1" applyNumberFormat="1">
      <alignment horizontal="center" vertical="center" wrapText="1"/>
    </xf>
    <xf numFmtId="49" fontId="22" fillId="35" borderId="12" xfId="0" applyFont="1" applyFill="1" applyBorder="1" applyNumberFormat="1">
      <alignment horizontal="center" vertical="center" wrapText="1"/>
    </xf>
    <xf numFmtId="0" fontId="48" fillId="0" borderId="0" xfId="0" applyFont="1" applyNumberFormat="1">
      <alignment horizontal="center" vertical="center"/>
    </xf>
    <xf numFmtId="0" fontId="22" fillId="35" borderId="12" xfId="0" applyFont="1" applyFill="1" applyBorder="1" applyNumberFormat="1">
      <alignment horizontal="left" vertical="center" wrapText="1"/>
    </xf>
    <xf numFmtId="49" fontId="22" fillId="39" borderId="12" xfId="0" applyFont="1" applyFill="1" applyBorder="1" applyNumberFormat="1">
      <alignment horizontal="left" vertical="center" wrapText="1" indent="1"/>
      <protection locked="0"/>
    </xf>
    <xf numFmtId="0" fontId="0" fillId="0" borderId="0" xfId="0" applyFont="1" applyNumberFormat="1">
      <alignment vertical="center"/>
    </xf>
    <xf numFmtId="0" fontId="22" fillId="0" borderId="0" xfId="0" applyFont="1" applyNumberFormat="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49" fontId="22" fillId="35" borderId="12" xfId="0" applyFont="1" applyFill="1" applyBorder="1" applyNumberFormat="1">
      <alignment horizontal="center" vertical="center" wrapText="1"/>
    </xf>
    <xf numFmtId="0" fontId="48" fillId="35" borderId="0" xfId="0" applyFont="1" applyFill="1" applyNumberFormat="1">
      <alignment horizontal="center" vertical="center" wrapText="1"/>
    </xf>
    <xf numFmtId="0" fontId="0" fillId="35" borderId="12" xfId="0" applyFont="1" applyFill="1" applyBorder="1" applyNumberFormat="1">
      <alignment horizontal="center" vertical="center" wrapText="1"/>
    </xf>
    <xf numFmtId="0" fontId="22" fillId="35" borderId="24" xfId="0" applyFont="1" applyFill="1" applyBorder="1" applyNumberFormat="1">
      <alignment horizontal="center" vertical="center" wrapText="1"/>
    </xf>
    <xf numFmtId="0" fontId="47" fillId="0" borderId="0" xfId="0" applyFont="1" applyNumberFormat="1">
      <alignment horizontal="center" vertical="center" wrapText="1"/>
    </xf>
    <xf numFmtId="0" fontId="22" fillId="35" borderId="12" xfId="0" applyFont="1" applyFill="1" applyBorder="1" applyNumberFormat="1">
      <alignment horizontal="center" vertical="center" wrapText="1"/>
    </xf>
    <xf numFmtId="0" fontId="22" fillId="0" borderId="0" xfId="0" applyFont="1" applyNumberFormat="1">
      <alignment horizontal="left" vertical="top" wrapText="1"/>
    </xf>
    <xf numFmtId="0" fontId="48" fillId="0" borderId="0" xfId="0" applyFont="1" applyNumberFormat="1">
      <alignment horizontal="center" vertical="center" wrapText="1"/>
    </xf>
    <xf numFmtId="0" fontId="80" fillId="35" borderId="19" xfId="0" applyFont="1" applyFill="1" applyBorder="1" applyNumberFormat="1">
      <alignment horizontal="center" vertical="center" wrapText="1"/>
    </xf>
    <xf numFmtId="0" fontId="22" fillId="0" borderId="17" xfId="0" applyFont="1" applyBorder="1" applyNumberFormat="1">
      <alignment horizontal="center" vertical="center" wrapText="1"/>
    </xf>
    <xf numFmtId="0" fontId="22" fillId="0" borderId="12" xfId="0" applyFont="1" applyBorder="1" applyNumberFormat="1">
      <alignment horizontal="center" vertical="center" wrapText="1"/>
    </xf>
    <xf numFmtId="49" fontId="48" fillId="0" borderId="12" xfId="0" applyFont="1" applyBorder="1" applyNumberFormat="1">
      <alignment horizontal="center" vertical="center" wrapText="1"/>
    </xf>
    <xf numFmtId="49" fontId="22" fillId="35" borderId="12" xfId="0" applyFont="1" applyFill="1" applyBorder="1" applyNumberFormat="1">
      <alignment horizontal="center" vertical="center" wrapText="1"/>
    </xf>
    <xf numFmtId="0" fontId="22" fillId="0" borderId="0" xfId="0" applyFont="1" applyNumberFormat="1">
      <alignment horizontal="center" vertical="center" wrapText="1"/>
    </xf>
    <xf numFmtId="0" fontId="22" fillId="0" borderId="0" xfId="0" applyFont="1" applyNumberFormat="1">
      <alignment horizontal="right" vertical="center" wrapText="1"/>
    </xf>
    <xf numFmtId="0" fontId="0" fillId="0" borderId="12" xfId="0" applyFont="1" applyBorder="1" applyNumberFormat="1">
      <alignment horizontal="center" vertical="center" wrapText="1"/>
    </xf>
    <xf numFmtId="49" fontId="22" fillId="0" borderId="12" xfId="0" applyFont="1" applyBorder="1" applyNumberFormat="1">
      <alignment horizontal="left" vertical="center" wrapText="1"/>
    </xf>
    <xf numFmtId="49" fontId="22" fillId="40" borderId="12" xfId="0" applyFont="1" applyFill="1" applyBorder="1" applyNumberFormat="1">
      <alignment horizontal="left" vertical="center" wrapText="1"/>
    </xf>
    <xf numFmtId="49" fontId="22" fillId="39" borderId="12" xfId="0" applyFont="1" applyFill="1" applyBorder="1" applyNumberFormat="1">
      <alignment horizontal="left" vertical="center" wrapText="1" indent="1"/>
      <protection locked="0"/>
    </xf>
    <xf numFmtId="0" fontId="22" fillId="35" borderId="12" xfId="0" applyFont="1" applyFill="1" applyBorder="1" applyNumberFormat="1">
      <alignment horizontal="left" vertical="center" wrapText="1"/>
    </xf>
    <xf numFmtId="0" fontId="48" fillId="0" borderId="0" xfId="0" applyFont="1" applyNumberFormat="1">
      <alignment horizontal="center" vertical="center"/>
    </xf>
    <xf numFmtId="0" fontId="37" fillId="0" borderId="0" xfId="0" applyFont="1" applyNumberFormat="1">
      <alignment horizontal="center" vertical="center" wrapText="1"/>
    </xf>
    <xf numFmtId="502" fontId="22" fillId="37" borderId="15" xfId="0" applyFont="1" applyFill="1" applyBorder="1" applyNumberFormat="1">
      <alignment horizontal="right" vertical="center" wrapText="1"/>
    </xf>
    <xf numFmtId="0" fontId="111" fillId="0" borderId="0" xfId="0" applyFont="1" applyNumberFormat="1">
      <alignment vertical="center" wrapText="1"/>
    </xf>
    <xf numFmtId="0" fontId="111" fillId="35" borderId="0" xfId="0" applyFont="1" applyFill="1" applyNumberFormat="1">
      <alignment horizontal="center" vertical="center" wrapText="1"/>
    </xf>
    <xf numFmtId="0" fontId="48" fillId="35" borderId="12" xfId="0" applyFont="1" applyFill="1" applyBorder="1" applyNumberFormat="1">
      <alignment horizontal="left" vertical="center" wrapText="1" indent="3"/>
    </xf>
    <xf numFmtId="49" fontId="40" fillId="37" borderId="27" xfId="0" applyFont="1" applyFill="1" applyBorder="1" applyNumberFormat="1">
      <alignment horizontal="left" vertical="center"/>
    </xf>
    <xf numFmtId="0" fontId="111" fillId="0" borderId="0" xfId="0" applyFont="1" applyNumberFormat="1">
      <alignment horizontal="center" vertical="center" wrapText="1"/>
    </xf>
    <xf numFmtId="49" fontId="48" fillId="0" borderId="0" xfId="0" applyFont="1" applyNumberFormat="1">
      <alignment horizontal="left" vertical="center" wrapText="1" indent="1"/>
    </xf>
    <xf numFmtId="0" fontId="48" fillId="0" borderId="0" xfId="0" applyFont="1" applyNumberFormat="1">
      <alignment horizontal="left" vertical="center" wrapText="1" indent="4"/>
    </xf>
    <xf numFmtId="0" fontId="48" fillId="0" borderId="0" xfId="0" applyFont="1" applyNumberFormat="1">
      <alignment horizontal="left" vertical="center" wrapText="1" indent="1"/>
    </xf>
    <xf numFmtId="49" fontId="22" fillId="37" borderId="14" xfId="0" applyFont="1" applyFill="1" applyBorder="1" applyNumberFormat="1">
      <alignment horizontal="center" vertical="center" wrapText="1"/>
    </xf>
    <xf numFmtId="0" fontId="48" fillId="0" borderId="24" xfId="0" applyFont="1" applyBorder="1" applyNumberFormat="1">
      <alignment horizontal="left" vertical="center" wrapText="1" indent="1"/>
    </xf>
    <xf numFmtId="0" fontId="47" fillId="0" borderId="0" xfId="0" applyFont="1" applyNumberFormat="1">
      <alignment horizontal="left" vertical="center"/>
    </xf>
    <xf numFmtId="49" fontId="47" fillId="0" borderId="0" xfId="0" applyFont="1" applyNumberFormat="1">
      <alignment horizontal="left" vertical="center"/>
    </xf>
    <xf numFmtId="0" fontId="47" fillId="0" borderId="0" xfId="0" applyFont="1" applyNumberFormat="1">
      <alignment horizontal="left" vertical="center"/>
    </xf>
    <xf numFmtId="0" fontId="69" fillId="0" borderId="0" xfId="0" applyFont="1" applyNumberFormat="1">
      <alignment horizontal="left" vertical="center"/>
    </xf>
    <xf numFmtId="0" fontId="48" fillId="0" borderId="0" xfId="0" applyFont="1" applyNumberFormat="1">
      <alignment horizontal="left" vertical="center"/>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22" fillId="0" borderId="19" xfId="0" applyFont="1" applyBorder="1" applyNumberFormat="1">
      <alignment horizontal="left" vertical="center" wrapText="1"/>
    </xf>
    <xf numFmtId="0" fontId="37" fillId="0" borderId="0" xfId="0" applyFont="1" applyNumberFormat="1">
      <alignment horizontal="center" vertical="center" wrapText="1"/>
    </xf>
    <xf numFmtId="0" fontId="37" fillId="35" borderId="0" xfId="0" applyFont="1" applyFill="1" applyNumberFormat="1">
      <alignment horizontal="center" vertical="center" wrapText="1"/>
    </xf>
    <xf numFmtId="49" fontId="47" fillId="0" borderId="0" xfId="0" applyFont="1" applyNumberFormat="1">
      <alignment horizontal="left" vertical="center"/>
    </xf>
    <xf numFmtId="49" fontId="47" fillId="0" borderId="0" xfId="0" applyFont="1" applyNumberFormat="1">
      <alignment horizontal="left" vertical="center"/>
    </xf>
    <xf numFmtId="49" fontId="47" fillId="0" borderId="0" xfId="0" applyFont="1" applyNumberFormat="1">
      <alignment horizontal="left" vertical="top"/>
    </xf>
    <xf numFmtId="49" fontId="22" fillId="35" borderId="12" xfId="0" applyFont="1" applyFill="1" applyBorder="1" applyNumberFormat="1">
      <alignment horizontal="center" vertical="center"/>
    </xf>
    <xf numFmtId="0" fontId="22" fillId="0" borderId="12" xfId="0" applyFont="1" applyBorder="1" applyNumberFormat="1">
      <alignment horizontal="center" vertical="center" wrapText="1"/>
    </xf>
    <xf numFmtId="0" fontId="22" fillId="35" borderId="12" xfId="0" applyFont="1" applyFill="1" applyBorder="1" applyNumberFormat="1">
      <alignment horizontal="left" vertical="center" wrapText="1" indent="1"/>
    </xf>
    <xf numFmtId="49" fontId="22" fillId="0" borderId="12" xfId="0" applyFont="1" applyBorder="1" applyNumberFormat="1">
      <alignment horizontal="center" vertical="center"/>
    </xf>
    <xf numFmtId="0" fontId="22" fillId="0" borderId="12" xfId="0" applyFont="1" applyBorder="1" applyNumberFormat="1">
      <alignment horizontal="left" vertical="center" wrapText="1" indent="1"/>
    </xf>
    <xf numFmtId="0" fontId="22" fillId="0" borderId="12" xfId="0" applyFont="1" applyBorder="1" applyNumberFormat="1">
      <alignment vertical="center" wrapText="1"/>
    </xf>
    <xf numFmtId="49" fontId="22" fillId="39" borderId="12" xfId="0" applyFont="1" applyFill="1" applyBorder="1" applyNumberFormat="1">
      <alignment horizontal="left" vertical="center" wrapText="1"/>
      <protection locked="0"/>
    </xf>
    <xf numFmtId="0" fontId="22" fillId="35" borderId="12" xfId="0" applyFont="1" applyFill="1" applyBorder="1" applyNumberFormat="1">
      <alignment horizontal="left" vertical="center" wrapText="1"/>
    </xf>
    <xf numFmtId="0" fontId="48" fillId="35" borderId="12" xfId="0" applyFont="1" applyFill="1" applyBorder="1" applyNumberFormat="1">
      <alignment horizontal="center" vertical="center"/>
    </xf>
    <xf numFmtId="0" fontId="72" fillId="35" borderId="0" xfId="0" applyFont="1" applyFill="1" applyNumberFormat="1">
      <alignment vertical="center" wrapText="1"/>
    </xf>
    <xf numFmtId="0" fontId="67" fillId="35" borderId="0" xfId="0" applyFont="1" applyFill="1" applyNumberFormat="1"/>
    <xf numFmtId="49" fontId="22" fillId="36" borderId="12" xfId="0" applyFont="1" applyFill="1" applyBorder="1" applyNumberFormat="1">
      <alignment horizontal="left" vertical="center" wrapText="1"/>
      <protection locked="0"/>
    </xf>
    <xf numFmtId="0" fontId="84" fillId="35" borderId="0" xfId="0" applyFont="1" applyFill="1" applyNumberFormat="1"/>
    <xf numFmtId="0" fontId="68" fillId="35" borderId="0" xfId="0" applyFont="1" applyFill="1" applyNumberFormat="1"/>
    <xf numFmtId="14" fontId="22" fillId="39" borderId="23" xfId="0" applyFont="1" applyFill="1" applyBorder="1" applyNumberFormat="1">
      <alignment horizontal="left" vertical="center" wrapText="1" indent="1"/>
      <protection locked="0"/>
    </xf>
    <xf numFmtId="0" fontId="112" fillId="0" borderId="0" xfId="0" applyFont="1" applyNumberFormat="1">
      <alignment vertical="center"/>
    </xf>
    <xf numFmtId="0" fontId="112" fillId="0" borderId="0" xfId="0" applyFont="1" applyNumberFormat="1">
      <alignment vertical="center" wrapText="1"/>
    </xf>
    <xf numFmtId="501" fontId="22" fillId="0" borderId="23" xfId="0" applyFont="1" applyBorder="1" applyNumberFormat="1">
      <alignment horizontal="center" vertical="center" wrapText="1"/>
    </xf>
    <xf numFmtId="14" fontId="22" fillId="39" borderId="12" xfId="0" applyFont="1" applyFill="1" applyBorder="1" applyNumberFormat="1">
      <alignment horizontal="left" vertical="center" wrapText="1" indent="1"/>
      <protection locked="0"/>
    </xf>
    <xf numFmtId="0" fontId="22" fillId="34" borderId="23" xfId="0" applyFont="1" applyFill="1" applyBorder="1" applyNumberFormat="1">
      <alignment horizontal="left" vertical="center" wrapText="1" indent="1"/>
    </xf>
    <xf numFmtId="501" fontId="22" fillId="0" borderId="17" xfId="0" applyFont="1" applyBorder="1" applyNumberFormat="1">
      <alignment horizontal="center" vertical="center" wrapText="1"/>
    </xf>
    <xf numFmtId="49" fontId="50"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53" fillId="37" borderId="27" xfId="0" applyFont="1" applyFill="1" applyBorder="1" applyNumberFormat="1">
      <alignment horizontal="left" vertical="center" wrapText="1"/>
    </xf>
    <xf numFmtId="0" fontId="48" fillId="0" borderId="27" xfId="0" applyFont="1" applyBorder="1" applyNumberFormat="1">
      <alignment horizontal="center" vertical="center" wrapText="1"/>
    </xf>
    <xf numFmtId="0" fontId="48" fillId="0" borderId="0" xfId="0" applyFont="1" applyNumberFormat="1">
      <alignment horizontal="center" vertical="center"/>
    </xf>
    <xf numFmtId="0" fontId="42" fillId="0" borderId="0" xfId="0" applyFont="1" applyNumberFormat="1">
      <alignment horizontal="center" vertical="center" wrapText="1"/>
    </xf>
    <xf numFmtId="14" fontId="22" fillId="40" borderId="12" xfId="0" applyFont="1" applyFill="1" applyBorder="1" applyNumberFormat="1">
      <alignment horizontal="left" vertical="center" wrapText="1"/>
    </xf>
    <xf numFmtId="501" fontId="22" fillId="0" borderId="37" xfId="0" applyFont="1" applyBorder="1" applyNumberFormat="1">
      <alignment horizontal="center" vertical="center" wrapText="1"/>
    </xf>
    <xf numFmtId="0" fontId="22" fillId="39" borderId="12" xfId="0" applyFont="1" applyFill="1" applyBorder="1" applyNumberFormat="1">
      <alignment horizontal="center" vertical="center" wrapText="1"/>
      <protection locked="0"/>
    </xf>
    <xf numFmtId="0" fontId="47" fillId="35" borderId="0" xfId="0" applyFont="1" applyFill="1" applyNumberFormat="1"/>
    <xf numFmtId="0" fontId="22" fillId="0" borderId="15" xfId="0" applyFont="1" applyBorder="1" applyNumberFormat="1">
      <alignment horizontal="right" vertical="center" wrapText="1" indent="1"/>
    </xf>
    <xf numFmtId="0" fontId="22" fillId="34" borderId="14" xfId="0" applyFont="1" applyFill="1" applyBorder="1" applyNumberFormat="1">
      <alignment horizontal="left" vertical="top" wrapText="1"/>
    </xf>
    <xf numFmtId="49" fontId="48" fillId="0" borderId="0" xfId="0" applyFont="1" applyNumberFormat="1">
      <alignment horizontal="center" vertical="center"/>
    </xf>
    <xf numFmtId="49" fontId="67" fillId="0" borderId="0" xfId="0" applyFont="1" applyNumberFormat="1">
      <alignment vertical="top"/>
    </xf>
    <xf numFmtId="0" fontId="42" fillId="0" borderId="0" xfId="0" applyFont="1" applyNumberFormat="1">
      <alignment vertical="center"/>
    </xf>
    <xf numFmtId="0" fontId="22" fillId="0" borderId="36" xfId="0" applyFont="1" applyBorder="1" applyNumberFormat="1">
      <alignment horizontal="center" vertical="center" wrapText="1"/>
    </xf>
    <xf numFmtId="0" fontId="22" fillId="0" borderId="37" xfId="0" applyFont="1" applyBorder="1" applyNumberFormat="1">
      <alignment horizontal="center" vertical="center" wrapText="1"/>
    </xf>
    <xf numFmtId="0" fontId="22" fillId="0" borderId="17" xfId="0" applyFont="1" applyBorder="1" applyNumberFormat="1">
      <alignment horizontal="center" vertical="center" wrapText="1"/>
    </xf>
    <xf numFmtId="0" fontId="22" fillId="0" borderId="22" xfId="0" applyFont="1" applyBorder="1" applyNumberFormat="1">
      <alignment horizontal="center" vertical="center" wrapText="1"/>
    </xf>
    <xf numFmtId="49" fontId="22" fillId="0" borderId="36" xfId="0" applyFont="1" applyBorder="1" applyNumberFormat="1">
      <alignment horizontal="left" vertical="center" wrapText="1"/>
    </xf>
    <xf numFmtId="49" fontId="22" fillId="0" borderId="36" xfId="0" applyFont="1" applyBorder="1" applyNumberFormat="1">
      <alignment horizontal="center" vertical="center" wrapText="1"/>
    </xf>
    <xf numFmtId="49" fontId="22" fillId="0" borderId="17" xfId="0" applyFont="1" applyBorder="1" applyNumberFormat="1">
      <alignment horizontal="center" vertical="center" wrapText="1"/>
    </xf>
    <xf numFmtId="0" fontId="22" fillId="0" borderId="36" xfId="0" applyFont="1" applyBorder="1" applyNumberFormat="1">
      <alignment horizontal="left" vertical="center" wrapText="1"/>
    </xf>
    <xf numFmtId="49" fontId="22" fillId="0" borderId="36" xfId="0" applyFont="1" applyBorder="1" applyNumberFormat="1">
      <alignment vertical="center" wrapText="1"/>
    </xf>
    <xf numFmtId="0" fontId="22" fillId="0" borderId="23" xfId="0" applyFont="1" applyBorder="1" applyNumberFormat="1">
      <alignment horizontal="left" vertical="center" wrapText="1"/>
    </xf>
    <xf numFmtId="0" fontId="40" fillId="0" borderId="23" xfId="0" applyFont="1" applyBorder="1" applyNumberFormat="1">
      <alignment horizontal="left" vertical="center"/>
    </xf>
    <xf numFmtId="0" fontId="40" fillId="37" borderId="14" xfId="0" applyFont="1" applyFill="1" applyBorder="1" applyNumberFormat="1">
      <alignment horizontal="left" vertical="center"/>
    </xf>
    <xf numFmtId="0" fontId="40" fillId="0" borderId="36" xfId="0" applyFont="1" applyBorder="1" applyNumberFormat="1">
      <alignment horizontal="left" vertical="center"/>
    </xf>
    <xf numFmtId="0" fontId="40" fillId="37" borderId="37" xfId="0" applyFont="1" applyFill="1" applyBorder="1" applyNumberFormat="1">
      <alignment horizontal="left" vertical="center"/>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40" borderId="17" xfId="0" applyFont="1" applyFill="1" applyBorder="1" applyNumberFormat="1">
      <alignment vertical="center" wrapText="1"/>
    </xf>
    <xf numFmtId="0" fontId="22" fillId="0" borderId="37" xfId="0" applyFont="1" applyBorder="1" applyNumberFormat="1">
      <alignment horizontal="center" vertical="center" wrapText="1"/>
    </xf>
    <xf numFmtId="49" fontId="0" fillId="0" borderId="0" xfId="0" applyFont="1" applyNumberFormat="1">
      <alignment vertical="top"/>
    </xf>
    <xf numFmtId="49" fontId="47" fillId="0" borderId="0" xfId="0" applyFont="1" applyNumberFormat="1">
      <alignment horizontal="center" vertical="center"/>
    </xf>
    <xf numFmtId="0" fontId="113" fillId="0" borderId="0" xfId="0" applyFont="1" applyNumberFormat="1">
      <alignment vertical="center" wrapText="1"/>
    </xf>
    <xf numFmtId="0" fontId="114" fillId="0" borderId="0" xfId="0" applyFont="1" applyNumberFormat="1">
      <alignment vertical="center" wrapText="1"/>
    </xf>
    <xf numFmtId="0" fontId="22" fillId="0" borderId="17" xfId="0" applyFont="1" applyBorder="1" applyNumberFormat="1">
      <alignment horizontal="center"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center" vertical="center" wrapText="1"/>
    </xf>
    <xf numFmtId="0" fontId="22" fillId="0" borderId="17" xfId="0" applyFont="1" applyBorder="1" applyNumberFormat="1">
      <alignment horizontal="left" vertical="center" wrapText="1"/>
    </xf>
    <xf numFmtId="0" fontId="22" fillId="0" borderId="0" xfId="0" applyFont="1" applyNumberForma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7"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pplyNumberFormat="1">
      <alignment horizontal="left" vertical="center" wrapText="1"/>
    </xf>
    <xf numFmtId="49" fontId="22" fillId="0" borderId="19" xfId="0" applyFont="1" applyBorder="1" applyNumberFormat="1">
      <alignmen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7"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pplyNumberFormat="1">
      <alignment horizontal="left" vertical="center" wrapText="1"/>
    </xf>
    <xf numFmtId="0" fontId="40" fillId="0" borderId="0" xfId="0" applyFont="1" applyNumberFormat="1">
      <alignment horizontal="left" vertical="center"/>
    </xf>
    <xf numFmtId="49" fontId="37" fillId="0" borderId="0" xfId="0" applyFont="1" applyNumberFormat="1">
      <alignment horizontal="center" vertical="center" wrapText="1"/>
    </xf>
    <xf numFmtId="0" fontId="40" fillId="0" borderId="0" xfId="0" applyFont="1" applyNumberFormat="1">
      <alignment vertical="center"/>
    </xf>
    <xf numFmtId="49" fontId="67" fillId="0" borderId="30" xfId="0" applyFont="1" applyBorder="1" applyNumberFormat="1">
      <alignment vertical="top"/>
    </xf>
    <xf numFmtId="49" fontId="22" fillId="0" borderId="37" xfId="0" applyFont="1" applyBorder="1" applyNumberFormat="1">
      <alignment vertical="center" wrapText="1"/>
    </xf>
    <xf numFmtId="49" fontId="22" fillId="0" borderId="22" xfId="0" applyFont="1" applyBorder="1" applyNumberFormat="1">
      <alignment vertical="center" wrapText="1"/>
    </xf>
    <xf numFmtId="0" fontId="40" fillId="0" borderId="22" xfId="0" applyFont="1" applyBorder="1" applyNumberFormat="1">
      <alignment horizontal="left" vertical="center"/>
    </xf>
    <xf numFmtId="49" fontId="67" fillId="0" borderId="27" xfId="0" applyFont="1" applyBorder="1" applyNumberFormat="1">
      <alignment vertical="top"/>
    </xf>
    <xf numFmtId="49" fontId="22" fillId="0" borderId="36" xfId="0" applyFont="1" applyBorder="1" applyNumberFormat="1">
      <alignment horizontal="center" vertical="center" wrapText="1"/>
    </xf>
    <xf numFmtId="0" fontId="40" fillId="37" borderId="37" xfId="0" applyFont="1" applyFill="1" applyBorder="1" applyNumberFormat="1">
      <alignment vertical="center"/>
    </xf>
    <xf numFmtId="49" fontId="0" fillId="0" borderId="12" xfId="0" applyFont="1" applyBorder="1" applyNumberFormat="1">
      <alignment horizontal="left" vertical="center" wrapText="1" indent="1"/>
    </xf>
    <xf numFmtId="49" fontId="0" fillId="0" borderId="0" xfId="0" applyFont="1" applyNumberFormat="1">
      <alignment vertical="top"/>
    </xf>
    <xf numFmtId="0" fontId="22" fillId="0" borderId="0" xfId="0" applyFont="1" applyNumberFormat="1">
      <alignment vertical="center" wrapText="1"/>
    </xf>
    <xf numFmtId="0" fontId="32" fillId="0" borderId="0" xfId="0" applyFont="1" applyNumberFormat="1">
      <alignment vertical="center" wrapText="1"/>
    </xf>
    <xf numFmtId="0" fontId="42" fillId="0" borderId="0" xfId="0" applyFont="1" applyNumberFormat="1">
      <alignment vertical="center" wrapText="1"/>
    </xf>
    <xf numFmtId="0" fontId="22" fillId="0" borderId="0" xfId="0" applyFont="1" applyNumberFormat="1">
      <alignment horizontal="left" vertical="center" wrapText="1"/>
    </xf>
    <xf numFmtId="0" fontId="58" fillId="0" borderId="0" xfId="0" applyFont="1" applyNumberFormat="1">
      <alignment vertical="center" wrapText="1"/>
    </xf>
    <xf numFmtId="0" fontId="60" fillId="0" borderId="0" xfId="0" applyFont="1" applyNumberFormat="1">
      <alignment vertical="center" wrapText="1"/>
    </xf>
    <xf numFmtId="0" fontId="88" fillId="0" borderId="0" xfId="0" applyFont="1" applyNumberFormat="1">
      <alignment vertical="center" wrapText="1"/>
    </xf>
    <xf numFmtId="0" fontId="48" fillId="0" borderId="0" xfId="0" applyFont="1" applyNumberFormat="1">
      <alignment vertical="center" wrapText="1"/>
    </xf>
    <xf numFmtId="0" fontId="64" fillId="0" borderId="0" xfId="0" applyFont="1" applyNumberFormat="1">
      <alignment vertical="center" wrapText="1"/>
    </xf>
    <xf numFmtId="49" fontId="22" fillId="0" borderId="12" xfId="0" applyFont="1" applyBorder="1" applyNumberFormat="1">
      <alignment horizontal="center" vertical="center" wrapText="1"/>
    </xf>
    <xf numFmtId="0" fontId="37" fillId="35" borderId="12" xfId="0" applyFont="1" applyFill="1" applyBorder="1" applyNumberFormat="1">
      <alignment horizontal="center" vertical="center" wrapText="1"/>
    </xf>
    <xf numFmtId="0" fontId="22" fillId="0" borderId="0" xfId="0" applyFont="1" applyNumberFormat="1">
      <alignment vertical="center" wrapText="1"/>
    </xf>
    <xf numFmtId="0" fontId="37" fillId="35" borderId="0" xfId="0" applyFont="1" applyFill="1" applyNumberFormat="1">
      <alignment horizontal="center" vertical="center" wrapText="1"/>
    </xf>
    <xf numFmtId="49" fontId="22" fillId="0" borderId="12" xfId="0" applyFont="1" applyBorder="1" applyNumberFormat="1">
      <alignment horizontal="center" vertical="center" wrapText="1"/>
    </xf>
    <xf numFmtId="3" fontId="22" fillId="39" borderId="12" xfId="0" applyFont="1" applyFill="1" applyBorder="1" applyNumberFormat="1">
      <alignment horizontal="right" vertical="center" wrapText="1"/>
      <protection locked="0"/>
    </xf>
    <xf numFmtId="0" fontId="48" fillId="0" borderId="0" xfId="0" applyFont="1" applyNumberFormat="1">
      <alignment vertical="center" wrapText="1"/>
    </xf>
    <xf numFmtId="49" fontId="22" fillId="39" borderId="12" xfId="0" applyFont="1" applyFill="1" applyBorder="1" applyNumberFormat="1">
      <alignment horizontal="left" vertical="center" wrapText="1"/>
      <protection locked="0"/>
    </xf>
    <xf numFmtId="0" fontId="48" fillId="0" borderId="0" xfId="0" applyFont="1" applyNumberFormat="1">
      <alignment vertical="center"/>
    </xf>
    <xf numFmtId="0" fontId="37" fillId="35" borderId="12" xfId="0" applyFont="1" applyFill="1" applyBorder="1" applyNumberFormat="1">
      <alignment horizontal="center" vertical="center" wrapText="1"/>
    </xf>
    <xf numFmtId="0" fontId="47" fillId="0" borderId="22" xfId="0" applyFont="1" applyBorder="1" applyNumberFormat="1">
      <alignment vertical="center"/>
    </xf>
    <xf numFmtId="0" fontId="47" fillId="0" borderId="22" xfId="0" applyFont="1" applyBorder="1" applyNumberFormat="1">
      <alignment vertical="center"/>
    </xf>
    <xf numFmtId="0" fontId="22" fillId="0" borderId="17" xfId="0" applyFont="1" applyBorder="1" applyNumberFormat="1">
      <alignment horizontal="left" vertical="center" wrapText="1" indent="1"/>
    </xf>
    <xf numFmtId="49" fontId="22" fillId="0" borderId="57" xfId="0" applyFont="1" applyBorder="1" applyNumberFormat="1">
      <alignment horizontal="center" vertical="center" wrapText="1"/>
    </xf>
    <xf numFmtId="49" fontId="22" fillId="0" borderId="28" xfId="0" applyFont="1" applyBorder="1" applyNumberFormat="1">
      <alignment horizontal="center" vertical="center" wrapText="1"/>
    </xf>
    <xf numFmtId="0" fontId="22" fillId="0" borderId="0" xfId="0" applyFont="1" applyNumberFormat="1">
      <alignment vertical="center" wrapText="1"/>
    </xf>
    <xf numFmtId="0" fontId="32" fillId="0" borderId="0" xfId="0" applyFont="1" applyNumberFormat="1">
      <alignment vertical="center" wrapText="1"/>
    </xf>
    <xf numFmtId="0" fontId="37" fillId="0" borderId="0" xfId="0" applyFont="1" applyNumberFormat="1">
      <alignment horizontal="center" vertical="center" wrapText="1"/>
    </xf>
    <xf numFmtId="0" fontId="22" fillId="0" borderId="12" xfId="0" applyFont="1" applyBorder="1" applyNumberFormat="1">
      <alignment horizontal="center" vertical="center" wrapText="1"/>
    </xf>
    <xf numFmtId="0" fontId="22" fillId="0" borderId="0" xfId="0" applyFont="1" applyNumberFormat="1">
      <alignment vertical="center" wrapText="1"/>
    </xf>
    <xf numFmtId="0" fontId="48" fillId="0" borderId="0" xfId="0" applyFont="1" applyNumberFormat="1">
      <alignment vertical="center" wrapText="1"/>
    </xf>
    <xf numFmtId="0" fontId="22" fillId="0" borderId="12" xfId="0" applyFont="1" applyBorder="1" applyNumberFormat="1">
      <alignment horizontal="center" vertical="center" wrapText="1"/>
    </xf>
    <xf numFmtId="49" fontId="22" fillId="0" borderId="0" xfId="0" applyFont="1" applyNumberFormat="1">
      <alignment horizontal="center" vertical="center" wrapText="1"/>
    </xf>
    <xf numFmtId="0" fontId="22" fillId="0" borderId="12" xfId="0" applyFont="1" applyBorder="1" applyNumberFormat="1">
      <alignment horizontal="center" vertical="center" wrapText="1"/>
    </xf>
    <xf numFmtId="0" fontId="54" fillId="0" borderId="0" xfId="0" applyFont="1" applyNumberFormat="1">
      <alignment vertical="center"/>
    </xf>
    <xf numFmtId="0" fontId="72" fillId="0" borderId="0" xfId="0" applyFont="1" applyNumberFormat="1">
      <alignment vertical="center" wrapText="1"/>
    </xf>
    <xf numFmtId="0" fontId="48" fillId="0" borderId="0" xfId="0" applyFont="1" applyNumberFormat="1">
      <alignment vertical="center" wrapText="1"/>
    </xf>
    <xf numFmtId="0" fontId="22" fillId="0" borderId="13" xfId="0" applyFont="1" applyBorder="1" applyNumberFormat="1">
      <alignment horizontal="center" vertical="center" wrapText="1"/>
    </xf>
    <xf numFmtId="0" fontId="22" fillId="0" borderId="17" xfId="0" applyFont="1" applyBorder="1" applyNumberFormat="1">
      <alignment horizontal="center" vertical="center" wrapText="1"/>
    </xf>
    <xf numFmtId="0" fontId="22" fillId="0" borderId="15" xfId="0" applyFont="1" applyBorder="1" applyNumberFormat="1">
      <alignment horizontal="right" vertical="center" wrapText="1" indent="1"/>
    </xf>
    <xf numFmtId="0" fontId="22" fillId="0" borderId="12" xfId="0" applyFont="1" applyBorder="1" applyNumberFormat="1">
      <alignment horizontal="center" vertical="center" wrapText="1"/>
    </xf>
    <xf numFmtId="0" fontId="22" fillId="0" borderId="0" xfId="0" applyFont="1" applyNumberFormat="1">
      <alignment horizontal="left" vertical="top" wrapText="1"/>
    </xf>
    <xf numFmtId="0" fontId="22" fillId="0" borderId="12" xfId="0" applyFont="1" applyBorder="1" applyNumberFormat="1">
      <alignment horizontal="center" vertical="center" wrapText="1"/>
    </xf>
    <xf numFmtId="49" fontId="22" fillId="40" borderId="12" xfId="0" applyFont="1" applyFill="1" applyBorder="1" applyNumberFormat="1">
      <alignment horizontal="left" vertical="center" wrapText="1"/>
    </xf>
    <xf numFmtId="0" fontId="22" fillId="0" borderId="12" xfId="0" applyFont="1" applyBorder="1" applyNumberFormat="1">
      <alignment horizontal="left" vertical="center" wrapText="1" indent="2"/>
    </xf>
    <xf numFmtId="0" fontId="48" fillId="0" borderId="17" xfId="0" applyFont="1" applyBorder="1" applyNumberFormat="1">
      <alignment horizontal="center" vertical="center" wrapText="1"/>
    </xf>
    <xf numFmtId="0" fontId="22" fillId="34" borderId="14" xfId="0" applyFont="1" applyFill="1" applyBorder="1" applyNumberFormat="1">
      <alignment horizontal="left" vertical="top" wrapText="1"/>
    </xf>
    <xf numFmtId="0" fontId="22" fillId="0" borderId="12" xfId="0" applyFont="1" applyBorder="1" applyNumberFormat="1">
      <alignment horizontal="center" vertical="center" wrapText="1"/>
    </xf>
    <xf numFmtId="0" fontId="22" fillId="0" borderId="13" xfId="0" applyFont="1" applyBorder="1" applyNumberFormat="1">
      <alignment horizontal="center" vertical="center" wrapText="1"/>
    </xf>
    <xf numFmtId="0" fontId="22" fillId="0" borderId="17" xfId="0" applyFont="1" applyBorder="1" applyNumberFormat="1">
      <alignment horizontal="center" vertical="center" wrapText="1"/>
    </xf>
    <xf numFmtId="0" fontId="22" fillId="0" borderId="15" xfId="0" applyFont="1" applyBorder="1" applyNumberFormat="1">
      <alignment horizontal="right" vertical="center" wrapText="1" indent="1"/>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34" borderId="14" xfId="0" applyFont="1" applyFill="1" applyBorder="1" applyNumberFormat="1">
      <alignment horizontal="left" vertical="top" wrapText="1"/>
    </xf>
    <xf numFmtId="0" fontId="22" fillId="0" borderId="12" xfId="0" applyFont="1" applyBorder="1" applyNumberFormat="1">
      <alignment horizontal="center" vertical="center" wrapText="1"/>
    </xf>
    <xf numFmtId="49" fontId="0" fillId="0" borderId="12" xfId="0" applyFont="1" applyBorder="1" applyNumberFormat="1">
      <alignment vertical="center" wrapText="1"/>
    </xf>
    <xf numFmtId="0" fontId="48" fillId="0" borderId="14" xfId="0" applyFont="1" applyBorder="1" applyNumberFormat="1">
      <alignment vertical="center" wrapText="1"/>
    </xf>
    <xf numFmtId="0" fontId="48" fillId="0" borderId="14" xfId="0" applyFont="1" applyBorder="1" applyNumberFormat="1">
      <alignment horizontal="left" vertical="top" wrapText="1"/>
    </xf>
    <xf numFmtId="49" fontId="22" fillId="0" borderId="58" xfId="0" applyFont="1" applyBorder="1" applyNumberFormat="1">
      <alignment horizontal="center" vertical="center" wrapText="1"/>
    </xf>
    <xf numFmtId="0" fontId="22" fillId="0" borderId="17" xfId="0" applyFont="1" applyBorder="1" applyNumberFormat="1">
      <alignment horizontal="left" vertical="center" wrapText="1"/>
    </xf>
    <xf numFmtId="49" fontId="40" fillId="37" borderId="19" xfId="0" applyFont="1" applyFill="1" applyBorder="1" applyNumberFormat="1">
      <alignment horizontal="left" vertical="center" indent="2"/>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49" fontId="22" fillId="0" borderId="0" xfId="0" applyFont="1" applyNumberFormat="1">
      <alignment vertical="center" wrapText="1"/>
    </xf>
    <xf numFmtId="0" fontId="0" fillId="0" borderId="12" xfId="0" applyFont="1" applyBorder="1" applyNumberFormat="1">
      <alignment horizontal="center" vertical="center" wrapText="1"/>
    </xf>
    <xf numFmtId="49" fontId="22" fillId="40" borderId="12" xfId="0" applyFont="1" applyFill="1" applyBorder="1" applyNumberFormat="1">
      <alignment horizontal="left" vertical="center" wrapText="1" indent="1"/>
    </xf>
    <xf numFmtId="0" fontId="0" fillId="0" borderId="12" xfId="0" applyFont="1" applyBorder="1" applyNumberFormat="1">
      <alignment horizontal="left" vertical="center" wrapText="1" indent="1"/>
    </xf>
    <xf numFmtId="49" fontId="0" fillId="35" borderId="12" xfId="0" applyFont="1" applyFill="1" applyBorder="1" applyNumberFormat="1">
      <alignment horizontal="center" vertical="center" wrapText="1"/>
    </xf>
    <xf numFmtId="49" fontId="22" fillId="40" borderId="12" xfId="0" applyFont="1" applyFill="1" applyBorder="1" applyNumberFormat="1">
      <alignment horizontal="left" vertical="center" wrapText="1"/>
    </xf>
    <xf numFmtId="49" fontId="22" fillId="0" borderId="59" xfId="0" applyFont="1" applyBorder="1" applyNumberFormat="1">
      <alignment horizontal="center" vertical="center" wrapText="1"/>
    </xf>
    <xf numFmtId="4" fontId="22" fillId="39" borderId="17" xfId="0" applyFont="1" applyFill="1" applyBorder="1" applyNumberFormat="1">
      <alignment horizontal="right" vertical="center" wrapText="1"/>
      <protection locked="0"/>
    </xf>
    <xf numFmtId="49" fontId="40" fillId="0" borderId="19" xfId="0" applyFont="1" applyBorder="1" applyNumberFormat="1">
      <alignment horizontal="left" vertical="center"/>
    </xf>
    <xf numFmtId="49" fontId="40" fillId="0" borderId="19" xfId="0" applyFont="1" applyBorder="1" applyNumberFormat="1">
      <alignment horizontal="left" vertical="center" indent="2"/>
    </xf>
    <xf numFmtId="49" fontId="44" fillId="0" borderId="19" xfId="0" applyFont="1" applyBorder="1" applyNumberFormat="1">
      <alignment horizontal="center" vertical="top"/>
    </xf>
    <xf numFmtId="0" fontId="22" fillId="0" borderId="19" xfId="0" applyFont="1" applyBorder="1" applyNumberFormat="1">
      <alignment horizontal="left" vertical="top" wrapText="1"/>
    </xf>
    <xf numFmtId="0" fontId="22" fillId="0" borderId="0" xfId="0" applyFont="1" applyNumberFormat="1">
      <alignment horizontal="right" vertical="top" wrapText="1"/>
    </xf>
    <xf numFmtId="49" fontId="0" fillId="39" borderId="12" xfId="0" applyFont="1" applyFill="1" applyBorder="1" applyNumberFormat="1">
      <alignment horizontal="left" vertical="center" wrapText="1" indent="1"/>
      <protection locked="0"/>
    </xf>
    <xf numFmtId="49" fontId="47" fillId="0" borderId="0" xfId="0" applyFont="1" applyNumberFormat="1">
      <alignment vertical="top"/>
    </xf>
    <xf numFmtId="49"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35" borderId="0" xfId="0" applyFont="1" applyFill="1" applyNumberFormat="1"/>
    <xf numFmtId="0" fontId="22" fillId="0" borderId="0" xfId="0" applyFont="1" applyNumberFormat="1">
      <alignment vertical="top" wrapText="1"/>
    </xf>
    <xf numFmtId="0" fontId="37" fillId="35" borderId="0" xfId="0" applyFont="1" applyFill="1" applyNumberFormat="1">
      <alignment horizontal="center" vertical="center" wrapText="1"/>
    </xf>
    <xf numFmtId="0" fontId="0" fillId="35" borderId="23" xfId="0" applyFont="1" applyFill="1" applyBorder="1" applyNumberFormat="1">
      <alignment vertical="center" wrapText="1"/>
    </xf>
    <xf numFmtId="49" fontId="0" fillId="0" borderId="0" xfId="0" applyFont="1" applyNumberFormat="1">
      <alignment vertical="top"/>
    </xf>
    <xf numFmtId="0" fontId="0" fillId="0" borderId="0" xfId="0" applyFont="1" applyNumberFormat="1">
      <alignment vertical="top"/>
    </xf>
    <xf numFmtId="49" fontId="32" fillId="47" borderId="0" xfId="0" applyFont="1" applyFill="1" applyNumberFormat="1">
      <alignment horizontal="center" vertical="center"/>
    </xf>
    <xf numFmtId="0" fontId="0" fillId="48" borderId="0" xfId="0" applyFont="1" applyFill="1" applyNumberFormat="1">
      <alignment horizontal="left" vertical="center"/>
    </xf>
    <xf numFmtId="49" fontId="0" fillId="0" borderId="0" xfId="0" applyFont="1" applyNumberFormat="1">
      <alignment vertical="center"/>
    </xf>
    <xf numFmtId="0" fontId="0" fillId="48" borderId="0" xfId="0" applyFont="1" applyFill="1" applyNumberFormat="1">
      <alignment horizontal="right" vertical="center"/>
    </xf>
    <xf numFmtId="0" fontId="54" fillId="48" borderId="0" xfId="0" applyFont="1" applyFill="1" applyNumberFormat="1">
      <alignment horizontal="left" vertical="center"/>
    </xf>
    <xf numFmtId="0" fontId="0" fillId="0" borderId="0" xfId="0" applyFont="1" applyNumberFormat="1">
      <alignment horizontal="right" vertical="top"/>
    </xf>
    <xf numFmtId="0" fontId="0" fillId="48" borderId="10" xfId="0" applyFont="1" applyFill="1" applyBorder="1" applyNumberFormat="1">
      <alignment horizontal="center"/>
    </xf>
    <xf numFmtId="0" fontId="0" fillId="0" borderId="10" xfId="0" applyFont="1" applyBorder="1" applyNumberFormat="1">
      <alignment horizontal="center"/>
    </xf>
    <xf numFmtId="0" fontId="115" fillId="0" borderId="0" xfId="0" applyFont="1" applyNumberForma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29" fillId="0" borderId="0" xfId="0" applyFont="1" applyNumberFormat="1"/>
    <xf numFmtId="0" fontId="102" fillId="0" borderId="0" xfId="0" applyFont="1" applyNumberFormat="1">
      <alignment horizontal="left" vertical="center" wrapText="1"/>
    </xf>
    <xf numFmtId="49" fontId="117" fillId="0" borderId="0" xfId="0" applyFont="1" applyNumberFormat="1">
      <alignment wrapText="1"/>
    </xf>
    <xf numFmtId="0" fontId="46" fillId="0" borderId="0" xfId="0" applyFont="1" applyNumberFormat="1">
      <alignment horizontal="left" vertical="top" wrapText="1"/>
    </xf>
    <xf numFmtId="49" fontId="22" fillId="0" borderId="0" xfId="0" applyFont="1" applyNumberFormat="1">
      <alignment vertical="top" wrapText="1"/>
    </xf>
    <xf numFmtId="0" fontId="66" fillId="0" borderId="0" xfId="0" applyFont="1" applyNumberFormat="1">
      <alignment wrapText="1"/>
    </xf>
    <xf numFmtId="0" fontId="118" fillId="0" borderId="0" xfId="0" applyFont="1" applyNumberFormat="1">
      <alignment horizontal="left" vertical="center" wrapText="1"/>
    </xf>
    <xf numFmtId="0" fontId="119" fillId="0" borderId="0" xfId="0" applyFont="1" applyNumberFormat="1">
      <alignment vertical="center" wrapText="1"/>
    </xf>
    <xf numFmtId="0" fontId="66" fillId="0" borderId="38" xfId="0" applyFont="1" applyBorder="1" applyNumberFormat="1">
      <alignment wrapText="1"/>
    </xf>
    <xf numFmtId="0" fontId="66" fillId="0" borderId="0" xfId="0" applyFont="1" applyNumberFormat="1"/>
    <xf numFmtId="0" fontId="118" fillId="0" borderId="0" xfId="0" applyFont="1" applyNumberFormat="1"/>
    <xf numFmtId="0" fontId="120" fillId="0" borderId="0" xfId="0" applyFont="1" applyNumberFormat="1">
      <alignment wrapText="1"/>
    </xf>
    <xf numFmtId="0" fontId="0" fillId="36" borderId="60" xfId="0" applyFont="1" applyFill="1" applyBorder="1" applyNumberFormat="1">
      <alignment horizontal="center" vertical="center" wrapText="1"/>
    </xf>
    <xf numFmtId="0" fontId="0" fillId="53" borderId="60" xfId="0" applyFont="1" applyFill="1" applyBorder="1" applyNumberFormat="1">
      <alignment horizontal="center" vertical="center" wrapText="1"/>
    </xf>
    <xf numFmtId="0" fontId="0" fillId="34" borderId="60" xfId="0" applyFont="1" applyFill="1" applyBorder="1" applyNumberFormat="1">
      <alignment horizontal="center" vertical="center" wrapText="1"/>
    </xf>
    <xf numFmtId="0" fontId="0" fillId="39" borderId="60" xfId="0" applyFont="1" applyFill="1" applyBorder="1" applyNumberFormat="1">
      <alignment horizontal="center" vertical="center" wrapText="1"/>
    </xf>
    <xf numFmtId="0" fontId="118" fillId="0" borderId="38" xfId="0" applyFont="1" applyBorder="1" applyNumberFormat="1">
      <alignment horizontal="left" vertical="center" wrapText="1"/>
    </xf>
    <xf numFmtId="0" fontId="118" fillId="0" borderId="61" xfId="0" applyFont="1" applyBorder="1" applyNumberFormat="1">
      <alignment horizontal="left" vertical="center" wrapText="1"/>
    </xf>
    <xf numFmtId="0" fontId="120" fillId="0" borderId="0" xfId="0" applyFont="1" applyNumberFormat="1"/>
    <xf numFmtId="0" fontId="120" fillId="0" borderId="38" xfId="0" applyFont="1" applyBorder="1" applyNumberFormat="1">
      <alignment wrapText="1"/>
    </xf>
    <xf numFmtId="0" fontId="66" fillId="0" borderId="62" xfId="0" applyFont="1" applyBorder="1" applyNumberFormat="1">
      <alignment wrapText="1"/>
    </xf>
    <xf numFmtId="0" fontId="66" fillId="0" borderId="39" xfId="0" applyFont="1" applyBorder="1" applyNumberFormat="1">
      <alignment wrapText="1"/>
    </xf>
    <xf numFmtId="0" fontId="66" fillId="0" borderId="39" xfId="0" applyFont="1" applyBorder="1" applyNumberFormat="1">
      <alignment vertical="center" wrapText="1"/>
    </xf>
    <xf numFmtId="0" fontId="116" fillId="0" borderId="0" xfId="0" applyFont="1" applyNumberFormat="1"/>
    <xf numFmtId="0" fontId="36" fillId="0" borderId="24" xfId="0" applyFont="1" applyBorder="1" applyNumberFormat="1">
      <alignment horizontal="center" vertical="center" wrapText="1"/>
    </xf>
    <xf numFmtId="49" fontId="22" fillId="0" borderId="13" xfId="0" applyFont="1" applyBorder="1" applyNumberFormat="1">
      <alignment horizontal="center" vertical="center" wrapText="1"/>
    </xf>
    <xf numFmtId="49" fontId="121" fillId="0" borderId="0" xfId="0" applyFont="1" applyNumberFormat="1">
      <alignment horizontal="center" vertical="center" wrapText="1"/>
    </xf>
    <xf numFmtId="49" fontId="22" fillId="48" borderId="0" xfId="0" applyFont="1" applyFill="1" applyNumberFormat="1">
      <alignment horizontal="center" vertical="center"/>
    </xf>
    <xf numFmtId="504" fontId="0" fillId="39" borderId="12" xfId="0" applyFont="1" applyFill="1" applyBorder="1" applyNumberFormat="1">
      <alignment horizontal="left" vertical="center" wrapText="1" indent="1"/>
      <protection locked="0"/>
    </xf>
    <xf numFmtId="504" fontId="0" fillId="0" borderId="12" xfId="0" applyFont="1" applyBorder="1" applyNumberFormat="1">
      <alignment horizontal="left" vertical="center" wrapText="1" indent="1"/>
    </xf>
    <xf numFmtId="504" fontId="0" fillId="39" borderId="12" xfId="0" applyFont="1" applyFill="1" applyBorder="1" applyNumberFormat="1">
      <alignment horizontal="center" vertical="center" wrapText="1"/>
      <protection locked="0"/>
    </xf>
    <xf numFmtId="504" fontId="48" fillId="0" borderId="0" xfId="0" applyFont="1" applyNumberFormat="1">
      <alignment horizontal="center" vertical="center" wrapText="1"/>
    </xf>
    <xf numFmtId="504" fontId="48" fillId="0" borderId="12" xfId="0" applyFont="1" applyBorder="1" applyNumberFormat="1">
      <alignment horizontal="center" vertical="center" wrapText="1"/>
    </xf>
    <xf numFmtId="504" fontId="0" fillId="39" borderId="12" xfId="0" applyFont="1" applyFill="1" applyBorder="1" applyNumberFormat="1">
      <alignment horizontal="left" vertical="center" wrapText="1"/>
      <protection locked="0"/>
    </xf>
    <xf numFmtId="504" fontId="0" fillId="36" borderId="12" xfId="0" applyFont="1" applyFill="1" applyBorder="1" applyNumberFormat="1">
      <alignment horizontal="left" vertical="center" wrapText="1" indent="1"/>
      <protection locked="0"/>
    </xf>
    <xf numFmtId="504" fontId="0" fillId="39" borderId="13" xfId="0" applyFont="1" applyFill="1" applyBorder="1" applyNumberFormat="1">
      <alignment horizontal="left" vertical="center" wrapText="1"/>
      <protection locked="0"/>
    </xf>
    <xf numFmtId="0" fontId="22" fillId="0" borderId="0" xfId="0" applyFont="1" applyNumberFormat="1">
      <alignment horizontal="left" vertical="top" indent="1"/>
    </xf>
    <xf numFmtId="0" fontId="22" fillId="34" borderId="30" xfId="0" applyFont="1" applyFill="1" applyBorder="1" applyNumberFormat="1">
      <alignment horizontal="center" vertical="top"/>
    </xf>
    <xf numFmtId="0" fontId="0" fillId="0" borderId="34" xfId="0" applyFont="1" applyBorder="1" applyNumberFormat="1">
      <alignment horizontal="center" vertical="center"/>
    </xf>
    <xf numFmtId="0" fontId="0" fillId="0" borderId="33" xfId="0" applyFont="1" applyBorder="1" applyNumberFormat="1">
      <alignment horizontal="center" vertical="center"/>
    </xf>
    <xf numFmtId="0" fontId="22" fillId="34" borderId="30" xfId="0" applyFont="1" applyFill="1" applyBorder="1" applyNumberFormat="1">
      <alignment horizontal="left" vertical="top"/>
    </xf>
    <xf numFmtId="0" fontId="22" fillId="0" borderId="12" xfId="0" applyFont="1" applyBorder="1" applyNumberFormat="1">
      <alignment horizontal="left" vertical="top"/>
    </xf>
    <xf numFmtId="49" fontId="22" fillId="0" borderId="0" xfId="0" applyFont="1" applyNumberFormat="1">
      <alignment horizontal="left" vertical="top"/>
    </xf>
    <xf numFmtId="0" fontId="0" fillId="34" borderId="36" xfId="0" applyFont="1" applyFill="1" applyBorder="1" applyNumberFormat="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pplyNumberFormat="1">
      <alignment horizontal="center" vertical="top" wrapText="1"/>
    </xf>
    <xf numFmtId="0" fontId="22" fillId="36" borderId="36" xfId="0" applyFont="1" applyFill="1" applyBorder="1" applyNumberFormat="1">
      <alignment horizontal="left" vertical="top" wrapText="1"/>
      <protection locked="0"/>
    </xf>
    <xf numFmtId="0" fontId="40" fillId="0" borderId="36" xfId="0" applyFont="1" applyBorder="1" applyNumberFormat="1">
      <alignment horizontal="left" vertical="center"/>
    </xf>
    <xf numFmtId="0" fontId="40" fillId="36" borderId="36" xfId="0" applyFont="1" applyFill="1" applyBorder="1" applyNumberFormat="1">
      <alignment horizontal="left" vertical="center"/>
      <protection locked="0"/>
    </xf>
    <xf numFmtId="0" fontId="40" fillId="39" borderId="36" xfId="0" applyFont="1" applyFill="1" applyBorder="1" applyNumberFormat="1">
      <alignment horizontal="left" vertical="center"/>
      <protection locked="0"/>
    </xf>
    <xf numFmtId="14" fontId="22" fillId="40" borderId="36" xfId="0" applyFont="1" applyFill="1" applyBorder="1" applyNumberFormat="1">
      <alignment horizontal="left" vertical="center" wrapText="1" indent="1"/>
    </xf>
    <xf numFmtId="49" fontId="22" fillId="40" borderId="0" xfId="0" applyFont="1" applyFill="1" applyNumberFormat="1">
      <alignment horizontal="center" vertical="center" wrapText="1"/>
    </xf>
    <xf numFmtId="0" fontId="22" fillId="0" borderId="12" xfId="0" applyFont="1" applyBorder="1" applyNumberFormat="1">
      <alignment horizontal="center" vertical="center" wrapText="1"/>
    </xf>
    <xf numFmtId="0" fontId="0" fillId="35" borderId="12" xfId="0" applyFont="1" applyFill="1" applyBorder="1" applyNumberFormat="1">
      <alignment vertical="top" wrapText="1"/>
    </xf>
    <xf numFmtId="0" fontId="47" fillId="0" borderId="12" xfId="0" applyFont="1" applyBorder="1" applyNumberFormat="1">
      <alignment vertical="top" wrapText="1"/>
    </xf>
    <xf numFmtId="49" fontId="22" fillId="40" borderId="17" xfId="0" applyFont="1" applyFill="1" applyBorder="1" applyNumberFormat="1">
      <alignment vertical="center" wrapText="1"/>
    </xf>
    <xf numFmtId="49" fontId="22" fillId="40" borderId="36" xfId="0" applyFont="1" applyFill="1" applyBorder="1" applyNumberFormat="1">
      <alignment vertical="center" wrapText="1"/>
    </xf>
    <xf numFmtId="49" fontId="22" fillId="40" borderId="23" xfId="0" applyFont="1" applyFill="1" applyBorder="1" applyNumberFormat="1">
      <alignment vertical="center" wrapText="1"/>
    </xf>
    <xf numFmtId="0" fontId="0" fillId="39" borderId="12" xfId="0" applyFont="1" applyFill="1" applyBorder="1" applyNumberFormat="1">
      <alignment horizontal="left" vertical="center" wrapText="1" indent="1"/>
      <protection locked="0"/>
    </xf>
    <xf numFmtId="0" fontId="0" fillId="0" borderId="13" xfId="0" applyFont="1" applyBorder="1" applyNumberFormat="1">
      <alignment horizontal="center" vertical="center" wrapText="1"/>
    </xf>
    <xf numFmtId="0" fontId="22" fillId="0" borderId="12" xfId="0" applyFont="1" applyBorder="1" applyNumberFormat="1">
      <alignment horizontal="left" vertical="center" wrapText="1"/>
    </xf>
    <xf numFmtId="0" fontId="0" fillId="0" borderId="12" xfId="0" applyFont="1" applyBorder="1" applyNumberFormat="1">
      <alignment horizontal="center" vertical="center" wrapText="1"/>
    </xf>
    <xf numFmtId="0" fontId="0" fillId="0" borderId="13" xfId="0" applyFont="1" applyBorder="1" applyNumberFormat="1">
      <alignment horizontal="center" vertical="center" wrapText="1"/>
    </xf>
    <xf numFmtId="49" fontId="22" fillId="0" borderId="0" xfId="0" applyFont="1" applyNumberFormat="1">
      <alignment horizontal="left" vertical="center" indent="1"/>
    </xf>
    <xf numFmtId="504" fontId="0" fillId="39" borderId="14" xfId="0" applyFont="1" applyFill="1" applyBorder="1" applyNumberFormat="1">
      <alignment horizontal="left" vertical="center" wrapText="1"/>
      <protection locked="0"/>
    </xf>
    <xf numFmtId="504" fontId="0" fillId="0" borderId="11" xfId="0" applyFont="1" applyBorder="1" applyNumberFormat="1">
      <alignment horizontal="left" vertical="center" wrapText="1" indent="1"/>
    </xf>
    <xf numFmtId="49" fontId="22" fillId="35" borderId="26" xfId="0" applyFont="1" applyFill="1" applyBorder="1" applyNumberFormat="1">
      <alignment horizontal="right" vertical="center" wrapText="1" indent="1"/>
    </xf>
    <xf numFmtId="49" fontId="47" fillId="0" borderId="0" xfId="0" applyFont="1" applyNumberFormat="1">
      <alignment vertical="center" wrapText="1"/>
    </xf>
    <xf numFmtId="49" fontId="0" fillId="36"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22" fillId="0" borderId="0" xfId="0" applyFont="1" applyNumberFormat="1">
      <alignment vertical="top" wrapText="1"/>
    </xf>
    <xf numFmtId="49" fontId="22" fillId="0" borderId="0" xfId="0" applyFont="1" applyNumberFormat="1">
      <alignment vertical="top"/>
    </xf>
    <xf numFmtId="49" fontId="22" fillId="0" borderId="0" xfId="0" applyFont="1" applyNumberFormat="1">
      <alignment vertical="top"/>
    </xf>
    <xf numFmtId="49" fontId="22" fillId="0" borderId="12" xfId="0" applyFont="1" applyBorder="1" applyNumberFormat="1">
      <alignment horizontal="center" vertical="center" wrapText="1"/>
    </xf>
    <xf numFmtId="49" fontId="22" fillId="0" borderId="19" xfId="0" applyFont="1" applyBorder="1" applyNumberFormat="1">
      <alignment horizontal="center" vertical="center" wrapText="1"/>
    </xf>
    <xf numFmtId="0" fontId="22" fillId="40" borderId="36" xfId="0" applyFont="1" applyFill="1" applyBorder="1" applyNumberFormat="1">
      <alignment horizontal="center" vertical="top" wrapText="1"/>
    </xf>
    <xf numFmtId="49" fontId="22"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40" borderId="36" xfId="0" applyFont="1" applyFill="1" applyBorder="1" applyNumberFormat="1">
      <alignment horizontal="center" vertical="center" wrapText="1"/>
    </xf>
    <xf numFmtId="0" fontId="40" fillId="0" borderId="0" xfId="0" applyFont="1" applyNumberFormat="1">
      <alignment horizontal="left"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22" fillId="35" borderId="0" xfId="0" applyFont="1" applyFill="1" applyNumberFormat="1">
      <alignment horizontal="center" vertical="center" wrapText="1"/>
    </xf>
    <xf numFmtId="0" fontId="22" fillId="0" borderId="12" xfId="0" applyFont="1" applyBorder="1" applyNumberFormat="1">
      <alignment horizontal="center" vertical="center" wrapText="1"/>
    </xf>
    <xf numFmtId="0" fontId="48" fillId="0" borderId="0" xfId="0" applyFont="1" applyNumberFormat="1">
      <alignment horizontal="center" vertical="center" wrapText="1"/>
    </xf>
    <xf numFmtId="0" fontId="45" fillId="0" borderId="12" xfId="0" applyFont="1" applyBorder="1" applyNumberFormat="1">
      <alignment horizontal="center" vertical="center"/>
    </xf>
    <xf numFmtId="49" fontId="0" fillId="39" borderId="12" xfId="0" applyFont="1" applyFill="1" applyBorder="1" applyNumberFormat="1">
      <alignment horizontal="left" vertical="center" wrapText="1"/>
      <protection locked="0"/>
    </xf>
    <xf numFmtId="0" fontId="47" fillId="0" borderId="0" xfId="0" applyFont="1" applyNumberFormat="1">
      <alignment horizontal="center" vertical="top"/>
    </xf>
    <xf numFmtId="49" fontId="22" fillId="0" borderId="36" xfId="0" applyFont="1" applyBorder="1" applyNumberFormat="1">
      <alignment horizontal="center" vertical="top" wrapText="1"/>
    </xf>
    <xf numFmtId="0" fontId="22" fillId="0" borderId="12" xfId="0" applyFont="1" applyBorder="1" applyNumberFormat="1">
      <alignment horizontal="left" vertical="center" wrapText="1"/>
    </xf>
    <xf numFmtId="0" fontId="36" fillId="0" borderId="12" xfId="0" applyFont="1" applyBorder="1" applyNumberFormat="1">
      <alignment horizontal="center" vertical="center" wrapText="1"/>
    </xf>
    <xf numFmtId="49" fontId="40" fillId="37" borderId="51" xfId="0" applyFont="1" applyFill="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48" fillId="0" borderId="12" xfId="0" applyFont="1" applyBorder="1" applyNumberFormat="1">
      <alignment horizontal="center" vertical="center" wrapText="1"/>
    </xf>
    <xf numFmtId="504"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0" fontId="22" fillId="0" borderId="12" xfId="0" applyFont="1" applyBorder="1" applyNumberFormat="1">
      <alignment horizontal="center" vertical="center" wrapText="1"/>
    </xf>
    <xf numFmtId="0" fontId="47" fillId="0" borderId="0" xfId="0" applyFont="1" applyNumberFormat="1">
      <alignment horizontal="center" vertical="center" wrapText="1"/>
    </xf>
    <xf numFmtId="0" fontId="0" fillId="0" borderId="12" xfId="0" applyFont="1" applyBorder="1" applyNumberFormat="1">
      <alignment horizontal="left" vertical="center" wrapText="1"/>
    </xf>
    <xf numFmtId="0" fontId="22" fillId="0" borderId="36" xfId="0" applyFont="1" applyBorder="1" applyNumberFormat="1">
      <alignment horizontal="center" vertical="center" wrapText="1"/>
    </xf>
    <xf numFmtId="0" fontId="22" fillId="35" borderId="14" xfId="0" applyFont="1" applyFill="1" applyBorder="1" applyNumberFormat="1">
      <alignment horizontal="center" vertical="center" wrapText="1"/>
    </xf>
    <xf numFmtId="49" fontId="0" fillId="35"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49" fontId="22" fillId="40" borderId="14" xfId="0" applyFont="1" applyFill="1" applyBorder="1" applyNumberFormat="1">
      <alignment horizontal="left" vertical="center" wrapText="1"/>
    </xf>
    <xf numFmtId="0" fontId="22" fillId="0" borderId="23" xfId="0" applyFont="1" applyBorder="1" applyNumberFormat="1">
      <alignment horizontal="center" vertical="center" wrapText="1"/>
    </xf>
    <xf numFmtId="0" fontId="45" fillId="0" borderId="13" xfId="0" applyFont="1" applyBorder="1" applyNumberFormat="1">
      <alignment horizontal="center" vertical="center"/>
    </xf>
    <xf numFmtId="49" fontId="0" fillId="38" borderId="0" xfId="0" applyFont="1" applyFill="1" applyNumberFormat="1">
      <alignment vertical="top"/>
    </xf>
    <xf numFmtId="0" fontId="37" fillId="35" borderId="0" xfId="0" applyFont="1" applyFill="1" applyNumberFormat="1">
      <alignment horizontal="center" vertical="center" wrapText="1"/>
    </xf>
    <xf numFmtId="0" fontId="37" fillId="35" borderId="0" xfId="0" applyFont="1" applyFill="1" applyNumberFormat="1">
      <alignment horizontal="center"/>
    </xf>
    <xf numFmtId="0" fontId="37" fillId="0" borderId="0" xfId="0" applyFont="1" applyNumberFormat="1">
      <alignment horizontal="center" vertical="center" wrapText="1"/>
    </xf>
    <xf numFmtId="0" fontId="42" fillId="0" borderId="0" xfId="0" applyFont="1" applyNumberFormat="1">
      <alignment vertical="center" wrapText="1"/>
    </xf>
    <xf numFmtId="0" fontId="0" fillId="0" borderId="0" xfId="0" applyFont="1" applyNumberFormat="1">
      <alignment vertical="center"/>
    </xf>
    <xf numFmtId="49" fontId="0" fillId="0" borderId="12" xfId="0" applyFont="1" applyBorder="1" applyNumberFormat="1">
      <alignment vertical="top"/>
    </xf>
    <xf numFmtId="49" fontId="0" fillId="0" borderId="12" xfId="0" applyFont="1" applyBorder="1" applyNumberFormat="1">
      <alignment vertical="top"/>
    </xf>
    <xf numFmtId="49" fontId="22" fillId="0" borderId="0" xfId="0" applyFont="1" applyNumberFormat="1">
      <alignment vertical="top"/>
    </xf>
    <xf numFmtId="0" fontId="37" fillId="35" borderId="0" xfId="0" applyFont="1" applyFill="1" applyNumberFormat="1">
      <alignment vertical="top" wrapText="1"/>
    </xf>
    <xf numFmtId="49" fontId="122" fillId="39" borderId="12" xfId="0" applyFont="1" applyFill="1" applyBorder="1" applyNumberFormat="1">
      <alignment horizontal="left" vertical="center" wrapText="1"/>
      <protection locked="0"/>
    </xf>
    <xf numFmtId="49" fontId="37" fillId="0" borderId="0" xfId="0" applyFont="1" applyNumberFormat="1">
      <alignment horizontal="center" vertical="center" wrapText="1"/>
    </xf>
    <xf numFmtId="0" fontId="37" fillId="0" borderId="24" xfId="0" applyFont="1" applyBorder="1" applyNumberFormat="1">
      <alignment horizontal="center" vertical="center" wrapText="1"/>
    </xf>
    <xf numFmtId="49" fontId="123" fillId="0" borderId="0" xfId="0" applyFont="1" applyNumberFormat="1">
      <alignment horizontal="center" vertical="top" wrapText="1"/>
    </xf>
    <xf numFmtId="49" fontId="0" fillId="34" borderId="36" xfId="0" applyFont="1" applyFill="1" applyBorder="1" applyNumberFormat="1">
      <alignment vertical="top"/>
    </xf>
    <xf numFmtId="49" fontId="0" fillId="0" borderId="36" xfId="0" applyFont="1" applyBorder="1" applyNumberFormat="1">
      <alignment vertical="top"/>
    </xf>
    <xf numFmtId="49" fontId="0" fillId="39" borderId="36" xfId="0" applyFont="1" applyFill="1" applyBorder="1" applyNumberFormat="1">
      <alignment vertical="top"/>
      <protection locked="0"/>
    </xf>
    <xf numFmtId="49" fontId="0" fillId="39" borderId="17" xfId="0" applyFont="1" applyFill="1" applyBorder="1" applyNumberFormat="1">
      <alignment vertical="top"/>
      <protection locked="0"/>
    </xf>
    <xf numFmtId="49" fontId="0" fillId="39" borderId="23" xfId="0" applyFont="1" applyFill="1" applyBorder="1" applyNumberFormat="1">
      <alignment vertical="top"/>
      <protection locked="0"/>
    </xf>
    <xf numFmtId="49" fontId="123" fillId="0" borderId="36" xfId="0" applyFont="1" applyBorder="1" applyNumberFormat="1">
      <alignment horizontal="center" vertical="top" wrapText="1"/>
    </xf>
    <xf numFmtId="49" fontId="0" fillId="0" borderId="0" xfId="0" applyFont="1" applyNumberFormat="1">
      <alignment vertical="top"/>
    </xf>
    <xf numFmtId="49" fontId="0" fillId="0" borderId="19" xfId="0" applyFont="1" applyBorder="1" applyNumberFormat="1">
      <alignment vertical="top"/>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0" fillId="0" borderId="0" xfId="0" applyFont="1" applyNumberFormat="1">
      <alignment vertical="center"/>
    </xf>
    <xf numFmtId="0" fontId="37" fillId="0" borderId="0" xfId="0" applyFont="1" applyNumberFormat="1">
      <alignment horizontal="center" vertical="center" wrapText="1"/>
    </xf>
    <xf numFmtId="49" fontId="0" fillId="39" borderId="12" xfId="0" applyFont="1" applyFill="1" applyBorder="1" applyNumberFormat="1">
      <alignment horizontal="left" vertical="center" wrapText="1"/>
      <protection locked="0"/>
    </xf>
    <xf numFmtId="0" fontId="0" fillId="0" borderId="0" xfId="0" applyFont="1" applyNumberFormat="1">
      <alignment horizontal="left" vertical="center" indent="1"/>
    </xf>
    <xf numFmtId="0" fontId="0" fillId="0" borderId="0" xfId="0" applyFont="1" applyNumberFormat="1">
      <alignment vertical="center"/>
    </xf>
    <xf numFmtId="0" fontId="0" fillId="37" borderId="15" xfId="0" applyFont="1" applyFill="1" applyBorder="1" applyNumberFormat="1">
      <alignment vertical="center"/>
    </xf>
    <xf numFmtId="49" fontId="0" fillId="0" borderId="36" xfId="0" applyFont="1" applyBorder="1" applyNumberFormat="1">
      <alignment horizontal="left" vertical="top"/>
    </xf>
    <xf numFmtId="49" fontId="0" fillId="40" borderId="36" xfId="0" applyFont="1" applyFill="1" applyBorder="1" applyNumberFormat="1">
      <alignment horizontal="left" vertical="top"/>
    </xf>
    <xf numFmtId="49" fontId="0" fillId="36" borderId="36" xfId="0" applyFont="1" applyFill="1" applyBorder="1" applyNumberFormat="1">
      <alignment horizontal="left" vertical="top"/>
      <protection locked="0"/>
    </xf>
    <xf numFmtId="49" fontId="0" fillId="0" borderId="0" xfId="0" applyFont="1" applyNumberFormat="1">
      <alignment vertical="top"/>
    </xf>
    <xf numFmtId="49" fontId="0" fillId="36" borderId="36" xfId="0" applyFont="1" applyFill="1" applyBorder="1" applyNumberFormat="1">
      <alignment vertical="top"/>
      <protection locked="0"/>
    </xf>
    <xf numFmtId="49" fontId="0" fillId="0" borderId="19" xfId="0" applyFont="1" applyBorder="1" applyNumberFormat="1">
      <alignment horizontal="left" vertical="center" wrapText="1"/>
    </xf>
    <xf numFmtId="0" fontId="0" fillId="0" borderId="0" xfId="0" applyFont="1" applyNumberFormat="1">
      <alignment vertical="center"/>
    </xf>
    <xf numFmtId="0" fontId="0" fillId="0" borderId="27" xfId="0" applyFont="1" applyBorder="1" applyNumberFormat="1">
      <alignment vertical="center"/>
    </xf>
    <xf numFmtId="49" fontId="37" fillId="0" borderId="36" xfId="0" applyFont="1" applyBorder="1" applyNumberFormat="1">
      <alignment vertical="center" wrapText="1"/>
    </xf>
    <xf numFmtId="49" fontId="37" fillId="0" borderId="36" xfId="0" applyFont="1" applyBorder="1" applyNumberFormat="1">
      <alignment horizontal="center" vertical="center" wrapText="1"/>
    </xf>
    <xf numFmtId="49" fontId="37" fillId="0" borderId="19" xfId="0" applyFont="1" applyBorder="1" applyNumberFormat="1">
      <alignment vertical="center" wrapText="1"/>
    </xf>
    <xf numFmtId="49" fontId="37" fillId="0" borderId="0" xfId="0" applyFont="1" applyNumberFormat="1">
      <alignment vertical="center" wrapText="1"/>
    </xf>
    <xf numFmtId="49" fontId="37" fillId="0" borderId="0" xfId="0" applyFont="1" applyNumberFormat="1">
      <alignment horizontal="center" vertical="center" wrapText="1"/>
    </xf>
    <xf numFmtId="0" fontId="22" fillId="35" borderId="23" xfId="0" applyFont="1" applyFill="1" applyBorder="1" applyNumberFormat="1">
      <alignment horizontal="center" vertical="center" wrapText="1"/>
    </xf>
    <xf numFmtId="0" fontId="22" fillId="0" borderId="36" xfId="0" applyFont="1" applyBorder="1" applyNumberFormat="1">
      <alignment horizontal="left" vertical="top" wrapText="1"/>
    </xf>
    <xf numFmtId="0" fontId="0" fillId="0" borderId="13" xfId="0" applyFont="1" applyBorder="1" applyNumberFormat="1">
      <alignment horizontal="center" vertical="center" wrapText="1"/>
    </xf>
    <xf numFmtId="4" fontId="0" fillId="39" borderId="13" xfId="0" applyFont="1" applyFill="1" applyBorder="1" applyNumberFormat="1">
      <alignment horizontal="right" vertical="center" wrapText="1"/>
      <protection locked="0"/>
    </xf>
    <xf numFmtId="0" fontId="0" fillId="0" borderId="13" xfId="0" applyFont="1" applyBorder="1" applyNumberFormat="1">
      <alignment horizontal="center" vertical="center" wrapText="1"/>
    </xf>
    <xf numFmtId="0" fontId="22" fillId="40" borderId="12" xfId="0" applyFont="1" applyFill="1" applyBorder="1" applyNumberFormat="1">
      <alignment horizontal="left" vertical="center" wrapText="1"/>
    </xf>
    <xf numFmtId="49" fontId="0" fillId="35" borderId="17" xfId="0" applyFont="1" applyFill="1" applyBorder="1" applyNumberFormat="1">
      <alignment horizontal="center" vertical="center" wrapText="1"/>
    </xf>
    <xf numFmtId="0" fontId="0" fillId="0" borderId="23" xfId="0" applyFont="1" applyBorder="1" applyNumberFormat="1">
      <alignment horizontal="center" vertical="center" wrapText="1"/>
    </xf>
    <xf numFmtId="0" fontId="22" fillId="40" borderId="14" xfId="0" applyFont="1" applyFill="1" applyBorder="1" applyNumberFormat="1">
      <alignment horizontal="left" vertical="center" wrapText="1"/>
    </xf>
    <xf numFmtId="49" fontId="0" fillId="0" borderId="12" xfId="0" applyFont="1" applyBorder="1" applyNumberFormat="1">
      <alignment horizontal="center" vertical="center" wrapText="1"/>
    </xf>
    <xf numFmtId="49" fontId="45" fillId="54" borderId="0" xfId="0" applyFont="1" applyFill="1" applyNumberFormat="1">
      <alignment vertical="center" wrapText="1"/>
    </xf>
    <xf numFmtId="0" fontId="47" fillId="0" borderId="0" xfId="0" applyFont="1" applyNumberFormat="1">
      <alignment vertical="top" wrapText="1"/>
    </xf>
    <xf numFmtId="49" fontId="32" fillId="0" borderId="0" xfId="0" applyFont="1" applyNumberFormat="1">
      <alignment horizontal="center" vertical="top" wrapText="1"/>
    </xf>
    <xf numFmtId="49" fontId="22" fillId="0" borderId="0" xfId="0" applyFont="1" applyNumberFormat="1">
      <alignment horizontal="center" vertical="top" wrapText="1"/>
    </xf>
    <xf numFmtId="49" fontId="22" fillId="35" borderId="0" xfId="0" applyFont="1" applyFill="1" applyNumberFormat="1">
      <alignment horizontal="center" vertical="top" wrapText="1"/>
    </xf>
    <xf numFmtId="0" fontId="0" fillId="0" borderId="36" xfId="0" applyFont="1" applyBorder="1" applyNumberFormat="1">
      <alignment horizontal="center" vertical="center" wrapText="1"/>
    </xf>
    <xf numFmtId="0" fontId="22" fillId="0" borderId="13" xfId="0" applyFont="1" applyBorder="1" applyNumberFormat="1">
      <alignment horizontal="center" vertical="center" wrapText="1"/>
    </xf>
    <xf numFmtId="0" fontId="22" fillId="0" borderId="13"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17" xfId="0" applyFont="1" applyBorder="1" applyNumberFormat="1">
      <alignment horizontal="center" vertical="center" wrapText="1"/>
    </xf>
    <xf numFmtId="0" fontId="22" fillId="0" borderId="12" xfId="0" applyFont="1" applyBorder="1" applyNumberFormat="1">
      <alignment horizontal="left" vertical="center" wrapText="1"/>
    </xf>
    <xf numFmtId="0" fontId="22" fillId="0" borderId="12" xfId="0" applyFont="1" applyBorder="1" applyNumberFormat="1">
      <alignment horizontal="center" vertical="center" wrapText="1"/>
    </xf>
    <xf numFmtId="0" fontId="47" fillId="0" borderId="0" xfId="0" applyFont="1" applyNumberFormat="1">
      <alignment horizontal="center" vertical="center" wrapText="1"/>
    </xf>
    <xf numFmtId="0" fontId="47" fillId="0" borderId="12" xfId="0" applyFont="1" applyBorder="1" applyNumberFormat="1">
      <alignment horizontal="center" vertical="center" wrapText="1"/>
    </xf>
    <xf numFmtId="0" fontId="22" fillId="39" borderId="12" xfId="0" applyFont="1" applyFill="1" applyBorder="1" applyNumberFormat="1">
      <alignment horizontal="center" vertical="center" wrapText="1"/>
      <protection locked="0"/>
    </xf>
    <xf numFmtId="49" fontId="22" fillId="34" borderId="12" xfId="0" applyFont="1" applyFill="1" applyBorder="1" applyNumberFormat="1">
      <alignment horizontal="center" vertical="center" wrapText="1"/>
    </xf>
    <xf numFmtId="0" fontId="0" fillId="0" borderId="12" xfId="0" applyFont="1" applyBorder="1" applyNumberFormat="1">
      <alignment horizontal="left" vertical="top" wrapText="1"/>
    </xf>
    <xf numFmtId="14" fontId="22" fillId="40" borderId="12" xfId="0" applyFont="1" applyFill="1" applyBorder="1" applyNumberFormat="1">
      <alignment horizontal="left" vertical="center" wrapText="1" indent="1"/>
    </xf>
    <xf numFmtId="49" fontId="124" fillId="0" borderId="12" xfId="0" applyFont="1" applyBorder="1" applyNumberFormat="1">
      <alignment horizontal="left" vertical="center" wrapText="1" indent="1"/>
    </xf>
    <xf numFmtId="0" fontId="22" fillId="0" borderId="14" xfId="0" applyFont="1" applyBorder="1" applyNumberFormat="1">
      <alignment horizontal="center" vertical="center" wrapText="1"/>
    </xf>
    <xf numFmtId="49" fontId="22" fillId="0" borderId="12" xfId="0" applyFont="1" applyBorder="1" applyNumberFormat="1">
      <alignment horizontal="center" vertical="center" wrapText="1"/>
    </xf>
    <xf numFmtId="0" fontId="22" fillId="0" borderId="23" xfId="0" applyFont="1" applyBorder="1" applyNumberFormat="1">
      <alignment horizontal="left" vertical="center" wrapText="1" indent="1"/>
    </xf>
    <xf numFmtId="0" fontId="22" fillId="34" borderId="12" xfId="0" applyFont="1" applyFill="1" applyBorder="1" applyNumberFormat="1">
      <alignment horizontal="left" vertical="center" wrapText="1" indent="1"/>
    </xf>
    <xf numFmtId="0" fontId="48" fillId="0" borderId="0" xfId="0" applyFont="1" applyNumberFormat="1">
      <alignment horizontal="center" vertical="center" wrapText="1"/>
    </xf>
    <xf numFmtId="501" fontId="22" fillId="0" borderId="23" xfId="0" applyFont="1" applyBorder="1" applyNumberFormat="1">
      <alignment horizontal="center" vertical="center" wrapText="1"/>
    </xf>
    <xf numFmtId="0" fontId="22" fillId="0" borderId="0" xfId="0" applyFont="1" applyNumberFormat="1">
      <alignment horizontal="right" vertical="center" wrapText="1"/>
    </xf>
    <xf numFmtId="0" fontId="22" fillId="35" borderId="12" xfId="0" applyFont="1" applyFill="1" applyBorder="1" applyNumberFormat="1">
      <alignment vertical="top" wrapText="1"/>
    </xf>
    <xf numFmtId="0" fontId="22" fillId="35" borderId="12" xfId="0" applyFont="1" applyFill="1" applyBorder="1" applyNumberFormat="1">
      <alignment horizontal="left" vertical="top" wrapText="1"/>
    </xf>
    <xf numFmtId="49" fontId="53" fillId="36" borderId="23" xfId="0" applyFont="1" applyFill="1" applyBorder="1" applyNumberFormat="1">
      <alignment horizontal="left" vertical="center" wrapText="1"/>
      <protection locked="0"/>
    </xf>
    <xf numFmtId="49" fontId="0" fillId="37" borderId="29" xfId="0" applyFont="1" applyFill="1" applyBorder="1" applyNumberFormat="1">
      <alignment horizontal="right" vertical="center" wrapText="1"/>
    </xf>
    <xf numFmtId="0" fontId="22" fillId="0" borderId="0" xfId="0" applyFont="1" applyNumberFormat="1">
      <alignment horizontal="left" vertical="center" wrapText="1"/>
    </xf>
    <xf numFmtId="0" fontId="0" fillId="48" borderId="0" xfId="0" applyFont="1" applyFill="1" applyNumberFormat="1">
      <alignment horizontal="right" vertical="top" wrapText="1"/>
    </xf>
    <xf numFmtId="0" fontId="22" fillId="0" borderId="0" xfId="0" applyFont="1" applyNumberFormat="1">
      <alignment horizontal="left" vertical="top" wrapText="1"/>
    </xf>
    <xf numFmtId="14" fontId="22" fillId="0" borderId="23" xfId="0" applyFont="1" applyBorder="1" applyNumberFormat="1">
      <alignment horizontal="left" vertical="center" wrapText="1" indent="1"/>
    </xf>
    <xf numFmtId="0" fontId="22" fillId="0" borderId="12" xfId="0" applyFont="1" applyBorder="1" applyNumberFormat="1">
      <alignment horizontal="center" vertical="center" wrapText="1"/>
    </xf>
    <xf numFmtId="0" fontId="22" fillId="0" borderId="23" xfId="0" applyFont="1" applyBorder="1" applyNumberFormat="1">
      <alignment horizontal="center" vertical="center" wrapText="1"/>
    </xf>
    <xf numFmtId="0" fontId="22" fillId="34" borderId="12" xfId="0" applyFont="1" applyFill="1" applyBorder="1" applyNumberFormat="1">
      <alignment horizontal="left" vertical="center" wrapText="1" indent="1"/>
    </xf>
    <xf numFmtId="0" fontId="48" fillId="0" borderId="0" xfId="0" applyFont="1" applyNumberFormat="1">
      <alignment horizontal="center" vertical="center" wrapText="1"/>
    </xf>
    <xf numFmtId="0" fontId="22" fillId="34" borderId="12" xfId="0" applyFont="1" applyFill="1" applyBorder="1" applyNumberFormat="1">
      <alignment horizontal="left" vertical="center" wrapText="1"/>
    </xf>
    <xf numFmtId="501" fontId="22" fillId="0" borderId="12" xfId="0" applyFont="1" applyBorder="1" applyNumberFormat="1">
      <alignment horizontal="center" vertical="center" wrapText="1"/>
    </xf>
    <xf numFmtId="0" fontId="22" fillId="0" borderId="14" xfId="0" applyFont="1" applyBorder="1" applyNumberFormat="1">
      <alignment horizontal="center" vertical="center" wrapText="1"/>
    </xf>
    <xf numFmtId="0" fontId="48" fillId="0" borderId="0" xfId="0" applyFont="1" applyNumberFormat="1">
      <alignment horizontal="center" vertical="center" wrapText="1"/>
    </xf>
    <xf numFmtId="49" fontId="22" fillId="39" borderId="12" xfId="0" applyFont="1" applyFill="1" applyBorder="1" applyNumberFormat="1">
      <alignment horizontal="left" vertical="center" wrapText="1"/>
      <protection locked="0"/>
    </xf>
    <xf numFmtId="0" fontId="22" fillId="35" borderId="36" xfId="0" applyFont="1" applyFill="1" applyBorder="1" applyNumberFormat="1">
      <alignment vertical="center" wrapText="1"/>
    </xf>
    <xf numFmtId="501" fontId="45" fillId="0" borderId="19" xfId="0" applyFont="1" applyBorder="1" applyNumberFormat="1">
      <alignment horizontal="center" vertical="center" wrapText="1"/>
    </xf>
    <xf numFmtId="501" fontId="45" fillId="0" borderId="20" xfId="0" applyFont="1" applyBorder="1" applyNumberFormat="1">
      <alignment horizontal="center" vertical="center" wrapText="1"/>
    </xf>
    <xf numFmtId="505" fontId="22" fillId="39" borderId="12" xfId="0" applyFont="1" applyFill="1" applyBorder="1" applyNumberFormat="1">
      <alignment horizontal="left" vertical="center" wrapText="1" indent="1"/>
      <protection locked="0"/>
    </xf>
    <xf numFmtId="504" fontId="0" fillId="39" borderId="15" xfId="0" applyFont="1" applyFill="1" applyBorder="1" applyNumberFormat="1">
      <alignment horizontal="left" vertical="center" wrapText="1" indent="1"/>
      <protection locked="0"/>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53" fillId="37" borderId="29" xfId="0" applyFont="1" applyFill="1" applyBorder="1" applyNumberFormat="1">
      <alignment horizontal="left" vertical="center" wrapText="1"/>
    </xf>
    <xf numFmtId="0" fontId="22" fillId="39" borderId="12" xfId="0" applyFont="1" applyFill="1" applyBorder="1" applyNumberFormat="1">
      <alignment horizontal="left" vertical="top" wrapText="1" indent="1"/>
      <protection locked="0"/>
    </xf>
    <xf numFmtId="0" fontId="22" fillId="0" borderId="15" xfId="0" applyFont="1" applyBorder="1" applyNumberFormat="1">
      <alignment horizontal="center" vertical="center" wrapText="1"/>
    </xf>
    <xf numFmtId="0" fontId="48" fillId="0" borderId="0" xfId="0" applyFont="1" applyNumberFormat="1">
      <alignment horizontal="center" vertical="center" wrapText="1"/>
    </xf>
    <xf numFmtId="0" fontId="22" fillId="35" borderId="22" xfId="0" applyFont="1" applyFill="1" applyBorder="1" applyNumberFormat="1">
      <alignment vertical="center" wrapText="1"/>
    </xf>
    <xf numFmtId="0" fontId="36" fillId="0" borderId="0" xfId="61" applyFont="1" applyNumberFormat="1">
      <alignment horizontal="center" vertical="center" wrapText="1"/>
    </xf>
    <xf numFmtId="0" fontId="36" fillId="0" borderId="0" xfId="61" applyFont="1" applyNumberFormat="1">
      <alignment horizontal="center" vertical="center" wrapText="1"/>
    </xf>
    <xf numFmtId="0" fontId="36" fillId="0" borderId="0" xfId="61" applyFont="1" applyNumberFormat="1">
      <alignment horizontal="center" vertical="center" wrapText="1"/>
    </xf>
    <xf numFmtId="0" fontId="36" fillId="0" borderId="0" xfId="61" applyFont="1" applyNumberFormat="1">
      <alignment horizontal="center" vertical="center" wrapText="1"/>
    </xf>
    <xf numFmtId="0" fontId="36" fillId="0" borderId="12" xfId="61" applyFont="1" applyBorder="1" applyNumberFormat="1">
      <alignment horizontal="center" vertical="center" wrapText="1"/>
    </xf>
    <xf numFmtId="0" fontId="22" fillId="0" borderId="12" xfId="0" applyFont="1" applyBorder="1" applyNumberFormat="1">
      <alignment horizontal="left" vertical="top"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40" fillId="0" borderId="0" xfId="0" applyFont="1" applyNumberFormat="1">
      <alignment horizontal="left" vertical="center"/>
    </xf>
    <xf numFmtId="0" fontId="40" fillId="0" borderId="24" xfId="0" applyFont="1" applyBorder="1" applyNumberFormat="1">
      <alignment horizontal="left" vertical="center"/>
    </xf>
    <xf numFmtId="0" fontId="40" fillId="0" borderId="27" xfId="0" applyFont="1" applyBorder="1" applyNumberFormat="1">
      <alignment horizontal="left" vertical="center"/>
    </xf>
    <xf numFmtId="0" fontId="40" fillId="0" borderId="29" xfId="0" applyFont="1" applyBorder="1" applyNumberFormat="1">
      <alignment horizontal="left" vertical="center"/>
    </xf>
    <xf numFmtId="0" fontId="0" fillId="0" borderId="12" xfId="0" applyFont="1" applyBorder="1" applyNumberFormat="1">
      <alignment horizontal="center" vertical="center" wrapText="1"/>
    </xf>
    <xf numFmtId="0" fontId="22" fillId="0" borderId="0" xfId="0" applyFont="1" applyNumberFormat="1">
      <alignment horizontal="center" vertical="center" wrapText="1"/>
    </xf>
    <xf numFmtId="0" fontId="22" fillId="0" borderId="0" xfId="0" applyFont="1" applyNumberFormat="1">
      <alignment horizontal="center" vertical="center" wrapText="1"/>
    </xf>
    <xf numFmtId="0" fontId="22" fillId="0" borderId="12" xfId="0" applyFont="1" applyBorder="1" applyNumberFormat="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40" fillId="0" borderId="27" xfId="0" applyFont="1" applyBorder="1" applyNumberFormat="1">
      <alignment horizontal="left" vertical="center"/>
    </xf>
    <xf numFmtId="0" fontId="40" fillId="0" borderId="29" xfId="0" applyFont="1" applyBorder="1" applyNumberFormat="1">
      <alignment horizontal="left" vertical="center"/>
    </xf>
    <xf numFmtId="0" fontId="40" fillId="0" borderId="0" xfId="0" applyFont="1" applyNumberFormat="1">
      <alignment horizontal="left" vertical="center"/>
    </xf>
    <xf numFmtId="0" fontId="40" fillId="0" borderId="24" xfId="0" applyFont="1" applyBorder="1" applyNumberFormat="1">
      <alignment horizontal="left" vertical="center"/>
    </xf>
    <xf numFmtId="0" fontId="22" fillId="35" borderId="12" xfId="0" applyFont="1" applyFill="1" applyBorder="1" applyNumberFormat="1">
      <alignment horizontal="center" vertical="center" wrapText="1"/>
    </xf>
    <xf numFmtId="0" fontId="47" fillId="0" borderId="0" xfId="0" applyFont="1" applyNumberFormat="1">
      <alignment horizontal="center" vertical="center" wrapText="1"/>
    </xf>
    <xf numFmtId="0" fontId="22" fillId="34" borderId="15" xfId="0" applyFont="1" applyFill="1" applyBorder="1" applyNumberFormat="1">
      <alignment horizontal="left" vertical="center" wrapText="1"/>
    </xf>
    <xf numFmtId="0" fontId="22" fillId="0" borderId="0" xfId="0" applyFont="1" applyNumberFormat="1">
      <alignment horizontal="left" vertical="top" wrapText="1"/>
    </xf>
    <xf numFmtId="0" fontId="48" fillId="0" borderId="0" xfId="0" applyFont="1" applyNumberFormat="1">
      <alignment horizontal="center" vertical="center" wrapText="1"/>
    </xf>
    <xf numFmtId="504" fontId="0" fillId="39" borderId="12" xfId="0" applyFont="1" applyFill="1" applyBorder="1" applyNumberFormat="1">
      <alignment horizontal="center" vertical="center" wrapText="1"/>
      <protection locked="0"/>
    </xf>
    <xf numFmtId="0" fontId="80" fillId="35" borderId="19" xfId="0" applyFont="1" applyFill="1" applyBorder="1" applyNumberFormat="1">
      <alignment horizontal="center" vertical="center" wrapText="1"/>
    </xf>
    <xf numFmtId="0" fontId="37" fillId="0" borderId="27" xfId="0" applyFont="1" applyBorder="1" applyNumberFormat="1">
      <alignment horizontal="center" vertical="center" wrapText="1"/>
    </xf>
    <xf numFmtId="0" fontId="22" fillId="35" borderId="12" xfId="0" applyFont="1" applyFill="1" applyBorder="1" applyNumberFormat="1">
      <alignment horizontal="left" vertical="center" wrapText="1"/>
    </xf>
    <xf numFmtId="0" fontId="22" fillId="35" borderId="23" xfId="0" applyFont="1" applyFill="1" applyBorder="1" applyNumberFormat="1">
      <alignment horizontal="center" vertical="center" wrapText="1"/>
    </xf>
    <xf numFmtId="0" fontId="48" fillId="0" borderId="15" xfId="0" applyFont="1" applyBorder="1" applyNumberFormat="1">
      <alignment horizontal="left" vertical="center" wrapText="1"/>
    </xf>
    <xf numFmtId="49" fontId="22" fillId="39" borderId="17" xfId="0" applyFont="1" applyFill="1" applyBorder="1" applyNumberFormat="1">
      <alignment horizontal="left" vertical="center" wrapText="1" indent="6"/>
      <protection locked="0"/>
    </xf>
    <xf numFmtId="0" fontId="22" fillId="35" borderId="17" xfId="0" applyFont="1" applyFill="1" applyBorder="1" applyNumberFormat="1">
      <alignment horizontal="left" vertical="center" wrapText="1"/>
    </xf>
    <xf numFmtId="4" fontId="22" fillId="39" borderId="12" xfId="0" applyFont="1" applyFill="1" applyBorder="1" applyNumberFormat="1">
      <alignment horizontal="left" vertical="center" wrapText="1" indent="1"/>
      <protection locked="0"/>
    </xf>
    <xf numFmtId="49" fontId="22" fillId="36" borderId="17" xfId="0" applyFont="1" applyFill="1" applyBorder="1" applyNumberFormat="1">
      <alignment horizontal="left" vertical="center" wrapText="1" indent="6"/>
      <protection locked="0"/>
    </xf>
    <xf numFmtId="49" fontId="22" fillId="0" borderId="0" xfId="0" applyFont="1" applyNumberFormat="1">
      <alignment vertical="center" wrapText="1"/>
    </xf>
    <xf numFmtId="49" fontId="48" fillId="0" borderId="12" xfId="0" applyFont="1" applyBorder="1" applyNumberFormat="1">
      <alignment horizontal="center" vertical="center" wrapText="1"/>
    </xf>
    <xf numFmtId="49" fontId="22" fillId="0" borderId="12" xfId="0" applyFont="1" applyBorder="1" applyNumberFormat="1">
      <alignment horizontal="left" vertical="center" wrapText="1"/>
    </xf>
    <xf numFmtId="0" fontId="22" fillId="35" borderId="29" xfId="0" applyFont="1" applyFill="1" applyBorder="1" applyNumberFormat="1">
      <alignment horizontal="center" vertical="center" wrapText="1"/>
    </xf>
    <xf numFmtId="0" fontId="47" fillId="0" borderId="0" xfId="0" applyFont="1" applyNumberFormat="1">
      <alignment horizontal="center" vertical="center" wrapText="1"/>
    </xf>
    <xf numFmtId="0" fontId="22" fillId="0" borderId="0" xfId="0" applyFont="1" applyNumberFormat="1">
      <alignment horizontal="right" vertical="center" wrapText="1"/>
    </xf>
    <xf numFmtId="0" fontId="22" fillId="0" borderId="0" xfId="0" applyFont="1" applyNumberFormat="1">
      <alignment horizontal="left" vertical="center"/>
    </xf>
    <xf numFmtId="49" fontId="22" fillId="0" borderId="0" xfId="0" applyFont="1" applyNumberFormat="1">
      <alignment horizontal="left" vertical="center"/>
    </xf>
    <xf numFmtId="0" fontId="22" fillId="0" borderId="0" xfId="0" applyFont="1" applyNumberFormat="1">
      <alignment horizontal="left" vertical="center"/>
    </xf>
    <xf numFmtId="0" fontId="22" fillId="0" borderId="0" xfId="0" applyFont="1" applyNumberFormat="1">
      <alignment horizontal="left" vertical="center" indent="1"/>
    </xf>
    <xf numFmtId="49" fontId="22" fillId="0" borderId="0" xfId="0" applyFont="1" applyNumberFormat="1">
      <alignment horizontal="left" vertical="center"/>
    </xf>
    <xf numFmtId="0" fontId="0" fillId="0" borderId="12" xfId="0" applyFont="1" applyBorder="1" applyNumberFormat="1">
      <alignment horizontal="center" vertical="center" wrapText="1"/>
    </xf>
    <xf numFmtId="49" fontId="0" fillId="39" borderId="12" xfId="0" applyFont="1" applyFill="1" applyBorder="1" applyNumberFormat="1">
      <alignment horizontal="left" vertical="center" wrapText="1"/>
      <protection locked="0"/>
    </xf>
    <xf numFmtId="49" fontId="22" fillId="35" borderId="0" xfId="0" applyFont="1" applyFill="1" applyNumberFormat="1">
      <alignment vertical="center" wrapText="1"/>
    </xf>
    <xf numFmtId="0" fontId="80" fillId="35" borderId="19" xfId="0" applyFont="1" applyFill="1" applyBorder="1" applyNumberFormat="1">
      <alignment horizontal="center" vertical="center" wrapText="1"/>
    </xf>
    <xf numFmtId="0" fontId="47" fillId="0" borderId="0" xfId="0" applyFont="1" applyNumberFormat="1">
      <alignment horizontal="center" vertical="center" wrapText="1"/>
    </xf>
    <xf numFmtId="49" fontId="22" fillId="0" borderId="0" xfId="0" applyFont="1" applyNumberFormat="1">
      <alignment vertical="center" wrapText="1"/>
    </xf>
    <xf numFmtId="49" fontId="22" fillId="36" borderId="12" xfId="0" applyFont="1" applyFill="1" applyBorder="1" applyNumberFormat="1">
      <alignment horizontal="left" vertical="center" indent="1"/>
      <protection locked="0"/>
    </xf>
    <xf numFmtId="49" fontId="22" fillId="35" borderId="12" xfId="59" applyFont="1" applyFill="1" applyBorder="1" applyNumberFormat="1">
      <alignment horizontal="center" vertical="center" wrapText="1"/>
    </xf>
    <xf numFmtId="14" fontId="22" fillId="39" borderId="14" xfId="0" applyFont="1" applyFill="1" applyBorder="1" applyNumberFormat="1">
      <alignment horizontal="left" vertical="center" wrapText="1" indent="1"/>
      <protection locked="0"/>
    </xf>
    <xf numFmtId="0" fontId="47" fillId="0" borderId="36" xfId="0" applyFont="1" applyBorder="1" applyNumberFormat="1">
      <alignment horizontal="left" vertical="center" wrapText="1" indent="1"/>
    </xf>
    <xf numFmtId="49" fontId="105" fillId="37" borderId="42" xfId="0" applyFont="1" applyFill="1" applyBorder="1" applyNumberFormat="1">
      <alignment horizontal="left" vertical="center" indent="1"/>
    </xf>
    <xf numFmtId="14" fontId="22" fillId="40" borderId="22" xfId="0" applyFont="1" applyFill="1" applyBorder="1" applyNumberFormat="1">
      <alignment horizontal="left" vertical="center" wrapText="1" indent="1"/>
    </xf>
    <xf numFmtId="0" fontId="22" fillId="0" borderId="22" xfId="0" applyFont="1" applyBorder="1" applyNumberFormat="1">
      <alignment vertical="center" wrapText="1"/>
    </xf>
    <xf numFmtId="0" fontId="0" fillId="0" borderId="13" xfId="0" applyFont="1" applyBorder="1" applyNumberFormat="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pplyNumberFormat="1">
      <alignment horizontal="center" vertical="center" wrapText="1"/>
    </xf>
    <xf numFmtId="504" fontId="0" fillId="39" borderId="12" xfId="0" applyFont="1" applyFill="1" applyBorder="1" applyNumberFormat="1">
      <alignment horizontal="center" vertical="center" wrapText="1"/>
      <protection locked="0"/>
    </xf>
    <xf numFmtId="0" fontId="22" fillId="35" borderId="17" xfId="0" applyFont="1" applyFill="1" applyBorder="1" applyNumberFormat="1">
      <alignment horizontal="left" vertical="center" wrapText="1"/>
    </xf>
    <xf numFmtId="49" fontId="22" fillId="39" borderId="17" xfId="0" applyFont="1" applyFill="1" applyBorder="1" applyNumberFormat="1">
      <alignment horizontal="left" vertical="center" wrapText="1" indent="6"/>
      <protection locked="0"/>
    </xf>
    <xf numFmtId="0" fontId="48" fillId="0" borderId="24" xfId="0" applyFont="1" applyBorder="1" applyNumberFormat="1">
      <alignment horizontal="center" vertical="top"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40" fillId="0" borderId="27" xfId="0" applyFont="1" applyBorder="1" applyNumberFormat="1">
      <alignment horizontal="left" vertical="center"/>
    </xf>
    <xf numFmtId="0" fontId="40" fillId="0" borderId="29" xfId="0" applyFont="1" applyBorder="1" applyNumberFormat="1">
      <alignment horizontal="left" vertical="center"/>
    </xf>
    <xf numFmtId="0" fontId="40" fillId="0" borderId="0" xfId="0" applyFont="1" applyNumberFormat="1">
      <alignment horizontal="left" vertical="center"/>
    </xf>
    <xf numFmtId="0" fontId="40" fillId="0" borderId="24" xfId="0" applyFont="1" applyBorder="1" applyNumberFormat="1">
      <alignment horizontal="left" vertical="center"/>
    </xf>
    <xf numFmtId="49" fontId="32" fillId="47" borderId="0" xfId="0" applyFont="1" applyFill="1" applyNumberFormat="1">
      <alignment horizontal="center" vertical="center" wrapText="1"/>
    </xf>
    <xf numFmtId="0" fontId="48" fillId="0" borderId="0" xfId="0" applyFont="1" applyNumberFormat="1">
      <alignment horizontal="center" vertical="center" wrapText="1"/>
    </xf>
    <xf numFmtId="0" fontId="22" fillId="35" borderId="12" xfId="0" applyFont="1" applyFill="1" applyBorder="1" applyNumberFormat="1">
      <alignment horizontal="left" vertical="center" wrapText="1"/>
    </xf>
    <xf numFmtId="0" fontId="22" fillId="35" borderId="17" xfId="0" applyFont="1" applyFill="1" applyBorder="1" applyNumberFormat="1">
      <alignment horizontal="left" vertical="center" wrapText="1"/>
    </xf>
    <xf numFmtId="0" fontId="22" fillId="35" borderId="23" xfId="0" applyFont="1" applyFill="1" applyBorder="1" applyNumberFormat="1">
      <alignment horizontal="left" vertical="center" wrapText="1"/>
    </xf>
    <xf numFmtId="0" fontId="45" fillId="0" borderId="13" xfId="0" applyFont="1" applyBorder="1" applyNumberFormat="1">
      <alignment vertical="top" wrapText="1"/>
    </xf>
    <xf numFmtId="0" fontId="48" fillId="0" borderId="13" xfId="0" applyFont="1" applyBorder="1" applyNumberFormat="1">
      <alignment vertical="top" wrapText="1"/>
    </xf>
    <xf numFmtId="0" fontId="22" fillId="35" borderId="17" xfId="0" applyFont="1" applyFill="1" applyBorder="1" applyNumberFormat="1">
      <alignment horizontal="left" vertical="center" wrapText="1" indent="2"/>
    </xf>
    <xf numFmtId="0" fontId="22" fillId="0" borderId="17" xfId="0" applyFont="1" applyBorder="1" applyNumberFormat="1">
      <alignment horizontal="left" vertical="center" wrapText="1" indent="6"/>
    </xf>
    <xf numFmtId="0" fontId="22" fillId="40" borderId="23" xfId="0" applyFont="1" applyFill="1" applyBorder="1" applyNumberFormat="1">
      <alignment horizontal="left" vertical="center" wrapText="1" indent="6"/>
    </xf>
    <xf numFmtId="0" fontId="22" fillId="0" borderId="23" xfId="0" applyFont="1" applyBorder="1" applyNumberFormat="1">
      <alignment horizontal="left" vertical="center" wrapText="1" indent="6"/>
    </xf>
    <xf numFmtId="4" fontId="22" fillId="36" borderId="23" xfId="0" applyFont="1" applyFill="1" applyBorder="1" applyNumberFormat="1">
      <alignment horizontal="right" vertical="center" wrapText="1"/>
      <protection locked="0"/>
    </xf>
    <xf numFmtId="502" fontId="22" fillId="36" borderId="23" xfId="0" applyFont="1" applyFill="1" applyBorder="1" applyNumberFormat="1">
      <alignment horizontal="right" vertical="center" wrapText="1"/>
      <protection locked="0"/>
    </xf>
    <xf numFmtId="0" fontId="22" fillId="0" borderId="15" xfId="0" applyFont="1" applyBorder="1" applyNumberFormat="1">
      <alignment horizontal="center" vertical="center" wrapText="1"/>
    </xf>
    <xf numFmtId="0" fontId="22" fillId="0" borderId="13" xfId="0" applyFont="1" applyBorder="1" applyNumberFormat="1">
      <alignment horizontal="center" vertical="center" wrapText="1"/>
    </xf>
    <xf numFmtId="0" fontId="22" fillId="0" borderId="12" xfId="0" applyFont="1" applyBorder="1" applyNumberFormat="1">
      <alignment horizontal="center" vertical="center" wrapText="1"/>
    </xf>
    <xf numFmtId="49" fontId="22" fillId="0" borderId="0" xfId="0" applyFont="1" applyNumberFormat="1">
      <alignment horizontal="center" vertical="center" wrapText="1"/>
    </xf>
    <xf numFmtId="0" fontId="22" fillId="0" borderId="12" xfId="0" applyFont="1" applyBorder="1" applyNumberFormat="1">
      <alignment horizontal="left" vertical="center" wrapText="1"/>
    </xf>
    <xf numFmtId="0" fontId="22" fillId="0" borderId="37" xfId="0" applyFont="1" applyBorder="1" applyNumberFormat="1">
      <alignment horizontal="center" vertical="center" wrapText="1"/>
    </xf>
    <xf numFmtId="49" fontId="0" fillId="35" borderId="12" xfId="0" applyFont="1" applyFill="1" applyBorder="1" applyNumberFormat="1">
      <alignment horizontal="center" vertical="center" wrapText="1"/>
    </xf>
    <xf numFmtId="0" fontId="22" fillId="35" borderId="12" xfId="0" applyFont="1" applyFill="1" applyBorder="1" applyNumberFormat="1">
      <alignment horizontal="center" vertical="center" wrapText="1"/>
    </xf>
    <xf numFmtId="0" fontId="0" fillId="0" borderId="12" xfId="0" applyFont="1" applyBorder="1" applyNumberFormat="1">
      <alignment horizontal="center" vertical="center" wrapText="1"/>
    </xf>
    <xf numFmtId="0" fontId="22" fillId="0" borderId="15" xfId="0" applyFont="1" applyBorder="1" applyNumberFormat="1">
      <alignment horizontal="right" vertical="center" wrapText="1" indent="1"/>
    </xf>
    <xf numFmtId="0" fontId="22" fillId="0" borderId="0" xfId="0" applyFont="1" applyNumberFormat="1">
      <alignment horizontal="left" vertical="top" wrapText="1"/>
    </xf>
    <xf numFmtId="0" fontId="22" fillId="34" borderId="14" xfId="0" applyFont="1" applyFill="1" applyBorder="1" applyNumberFormat="1">
      <alignment horizontal="left" vertical="top" wrapText="1"/>
    </xf>
    <xf numFmtId="49" fontId="22" fillId="0" borderId="0" xfId="0" applyFont="1" applyNumberFormat="1">
      <alignment vertical="center" wrapText="1"/>
    </xf>
    <xf numFmtId="0" fontId="0" fillId="0" borderId="12" xfId="0" applyFont="1" applyBorder="1" applyNumberFormat="1">
      <alignment horizontal="left" vertical="center" wrapText="1"/>
    </xf>
    <xf numFmtId="49" fontId="22" fillId="0" borderId="12" xfId="0" applyFont="1" applyBorder="1" applyNumberFormat="1">
      <alignment horizontal="center" vertical="center" wrapText="1"/>
    </xf>
    <xf numFmtId="0" fontId="22" fillId="0" borderId="12" xfId="0" applyFont="1" applyBorder="1" applyNumberFormat="1">
      <alignment horizontal="left" vertical="center" wrapText="1"/>
    </xf>
    <xf numFmtId="0" fontId="22" fillId="0" borderId="17" xfId="0" applyFont="1" applyBorder="1" applyNumberFormat="1">
      <alignment horizontal="left" vertical="center" wrapText="1"/>
    </xf>
    <xf numFmtId="49" fontId="94" fillId="0" borderId="43" xfId="0" applyFont="1" applyBorder="1" applyNumberFormat="1">
      <alignment horizontal="center" vertical="center"/>
    </xf>
    <xf numFmtId="49" fontId="94" fillId="0" borderId="43" xfId="0" applyFont="1" applyBorder="1" applyNumberFormat="1">
      <alignment horizontal="left" vertical="center" inden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125" fillId="0" borderId="0" xfId="0" applyFont="1" applyNumberFormat="1">
      <alignment horizontal="center" vertical="top" wrapText="1"/>
    </xf>
    <xf numFmtId="0" fontId="94" fillId="0" borderId="12" xfId="0" applyFont="1" applyBorder="1" applyNumberFormat="1">
      <alignment horizontal="center" vertical="center"/>
    </xf>
    <xf numFmtId="0" fontId="94" fillId="0" borderId="12" xfId="0" applyFont="1" applyBorder="1" applyNumberFormat="1">
      <alignment horizontal="left" vertical="center" wrapText="1" indent="1"/>
    </xf>
    <xf numFmtId="4" fontId="47" fillId="0" borderId="31" xfId="0" applyFont="1" applyBorder="1" applyNumberFormat="1">
      <alignment horizontal="right" vertical="center" wrapText="1"/>
    </xf>
    <xf numFmtId="49" fontId="47"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0" fillId="40" borderId="36" xfId="0" applyFont="1" applyFill="1" applyBorder="1" applyNumberFormat="1">
      <alignment horizontal="left" vertical="center" wrapText="1"/>
    </xf>
    <xf numFmtId="49" fontId="22" fillId="0" borderId="12" xfId="0" applyFont="1" applyBorder="1" applyNumberFormat="1">
      <alignment horizontal="center" vertical="center" wrapText="1"/>
    </xf>
    <xf numFmtId="49" fontId="126" fillId="0" borderId="12" xfId="0" applyFont="1" applyBorder="1" applyNumberFormat="1">
      <alignment horizontal="center" vertical="center" wrapText="1"/>
    </xf>
    <xf numFmtId="49" fontId="126" fillId="0" borderId="17" xfId="0" applyFont="1" applyBorder="1" applyNumberFormat="1">
      <alignment horizontal="center" vertical="center" wrapText="1"/>
    </xf>
    <xf numFmtId="0" fontId="22" fillId="54" borderId="12" xfId="60" applyFont="1" applyFill="1" applyBorder="1" applyNumberFormat="1">
      <alignment vertical="center"/>
    </xf>
    <xf numFmtId="0" fontId="47" fillId="55" borderId="12" xfId="0" applyFont="1" applyFill="1" applyBorder="1" applyNumberFormat="1">
      <alignment horizontal="left" vertical="center" wrapText="1"/>
    </xf>
    <xf numFmtId="0" fontId="91" fillId="0" borderId="0" xfId="0" applyFont="1" applyNumberForma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36" fillId="0" borderId="0" xfId="0" applyFont="1" applyNumberFormat="1">
      <alignment horizontal="center" vertical="center" wrapText="1"/>
    </xf>
    <xf numFmtId="0" fontId="22" fillId="0" borderId="14"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17" xfId="0" applyFont="1" applyBorder="1" applyNumberFormat="1">
      <alignment horizontal="center" vertical="center" wrapText="1"/>
    </xf>
    <xf numFmtId="0" fontId="22" fillId="0" borderId="17" xfId="0" applyFont="1" applyBorder="1" applyNumberFormat="1">
      <alignment horizontal="left" vertical="center" wrapText="1"/>
    </xf>
    <xf numFmtId="0" fontId="0" fillId="0" borderId="14" xfId="0" applyFont="1" applyBorder="1" applyNumberFormat="1">
      <alignment horizontal="center" vertical="center" wrapText="1"/>
    </xf>
    <xf numFmtId="0" fontId="0" fillId="0" borderId="12" xfId="0" applyFont="1" applyBorder="1" applyNumberFormat="1">
      <alignment horizontal="center" vertical="center" wrapText="1"/>
    </xf>
    <xf numFmtId="49" fontId="22" fillId="40" borderId="12" xfId="0" applyFont="1" applyFill="1" applyBorder="1" applyNumberFormat="1">
      <alignment horizontal="left" vertical="center" wrapText="1" indent="1"/>
    </xf>
    <xf numFmtId="0" fontId="22" fillId="0" borderId="19" xfId="0" applyFont="1" applyBorder="1" applyNumberFormat="1">
      <alignment horizontal="right" vertical="center" wrapText="1" indent="1"/>
    </xf>
    <xf numFmtId="4" fontId="22" fillId="39" borderId="37" xfId="0" applyFont="1" applyFill="1" applyBorder="1" applyNumberFormat="1">
      <alignment horizontal="right" vertical="center" wrapText="1"/>
      <protection locked="0"/>
    </xf>
    <xf numFmtId="3" fontId="22" fillId="39" borderId="14" xfId="0" applyFont="1" applyFill="1" applyBorder="1" applyNumberFormat="1">
      <alignment horizontal="right" vertical="center" wrapText="1"/>
      <protection locked="0"/>
    </xf>
    <xf numFmtId="0" fontId="47" fillId="37" borderId="15" xfId="0" applyFont="1" applyFill="1" applyBorder="1" applyNumberFormat="1">
      <alignment vertical="center" wrapText="1"/>
    </xf>
    <xf numFmtId="0" fontId="22" fillId="0" borderId="12" xfId="0" applyFont="1" applyBorder="1" applyNumberFormat="1">
      <alignment horizontal="center" vertical="center" wrapText="1"/>
    </xf>
    <xf numFmtId="0" fontId="22" fillId="0" borderId="17" xfId="0" applyFont="1" applyBorder="1" applyNumberFormat="1">
      <alignment horizontal="center" vertical="center" wrapText="1"/>
    </xf>
    <xf numFmtId="0" fontId="22" fillId="0" borderId="14" xfId="0" applyFont="1" applyBorder="1" applyNumberFormat="1">
      <alignment horizontal="left" vertical="center" wrapText="1"/>
    </xf>
    <xf numFmtId="0" fontId="22" fillId="0" borderId="23" xfId="0" applyFont="1" applyBorder="1" applyNumberFormat="1">
      <alignment horizontal="center" vertical="center" wrapText="1"/>
    </xf>
    <xf numFmtId="0" fontId="22" fillId="0" borderId="14" xfId="0" applyFont="1" applyBorder="1" applyNumberFormat="1">
      <alignment horizontal="left" vertical="center" wrapText="1" indent="1"/>
    </xf>
    <xf numFmtId="0" fontId="22" fillId="0" borderId="14" xfId="0" applyFont="1" applyBorder="1" applyNumberFormat="1">
      <alignment horizontal="left" vertical="center" wrapText="1" indent="2"/>
    </xf>
    <xf numFmtId="0" fontId="102" fillId="0" borderId="0" xfId="0" applyFont="1" applyNumberFormat="1">
      <alignment vertical="center" wrapText="1"/>
    </xf>
    <xf numFmtId="0" fontId="102" fillId="0" borderId="0" xfId="0" applyFont="1" applyNumberFormat="1">
      <alignment vertical="center"/>
    </xf>
    <xf numFmtId="0" fontId="46" fillId="56" borderId="63" xfId="0" applyFont="1" applyFill="1" applyBorder="1" applyNumberFormat="1">
      <alignment horizontal="center" vertical="center" wrapText="1"/>
    </xf>
    <xf numFmtId="0" fontId="46" fillId="56" borderId="64" xfId="0" applyFont="1" applyFill="1" applyBorder="1" applyNumberFormat="1">
      <alignment horizontal="center" vertical="center" wrapText="1"/>
    </xf>
    <xf numFmtId="0" fontId="46" fillId="56" borderId="65" xfId="0" applyFont="1" applyFill="1" applyBorder="1" applyNumberFormat="1">
      <alignment horizontal="center" vertical="center" wrapText="1"/>
    </xf>
    <xf numFmtId="0" fontId="46" fillId="46" borderId="38" xfId="0" applyFont="1" applyFill="1" applyBorder="1" applyNumberFormat="1">
      <alignment horizontal="right" vertical="center" wrapText="1" indent="1"/>
    </xf>
    <xf numFmtId="0" fontId="46" fillId="46" borderId="66" xfId="0" applyFont="1" applyFill="1" applyBorder="1" applyNumberFormat="1">
      <alignment horizontal="right" vertical="center" wrapText="1" indent="1"/>
    </xf>
    <xf numFmtId="0" fontId="46" fillId="46" borderId="0" xfId="0" applyFont="1" applyFill="1" applyNumberFormat="1">
      <alignment horizontal="right" vertical="center" wrapText="1" indent="1"/>
    </xf>
    <xf numFmtId="0" fontId="120" fillId="0" borderId="38" xfId="0" applyFont="1" applyBorder="1" applyNumberFormat="1">
      <alignment vertical="center" wrapText="1"/>
    </xf>
    <xf numFmtId="0" fontId="120" fillId="0" borderId="0" xfId="0" applyFont="1" applyNumberFormat="1">
      <alignment vertical="center" wrapText="1"/>
    </xf>
    <xf numFmtId="0" fontId="120" fillId="0" borderId="38" xfId="0" applyFont="1" applyBorder="1" applyNumberFormat="1">
      <alignment horizontal="left" vertical="center" wrapText="1"/>
    </xf>
    <xf numFmtId="0" fontId="120" fillId="0" borderId="0" xfId="0" applyFont="1" applyNumberFormat="1">
      <alignment horizontal="left" vertical="center" wrapText="1"/>
    </xf>
    <xf numFmtId="0" fontId="46" fillId="46" borderId="60" xfId="0" applyFont="1" applyFill="1" applyBorder="1" applyNumberFormat="1">
      <alignment horizontal="right" vertical="center" wrapText="1" indent="1"/>
    </xf>
    <xf numFmtId="0" fontId="46" fillId="46" borderId="67" xfId="0" applyFont="1" applyFill="1" applyBorder="1" applyNumberFormat="1">
      <alignment horizontal="right" vertical="center" wrapText="1" indent="1"/>
    </xf>
    <xf numFmtId="0" fontId="46" fillId="46" borderId="62" xfId="0" applyFont="1" applyFill="1" applyBorder="1" applyNumberFormat="1">
      <alignment horizontal="right" vertical="center" wrapText="1" indent="1"/>
    </xf>
    <xf numFmtId="0" fontId="46" fillId="46" borderId="39" xfId="0" applyFont="1" applyFill="1" applyBorder="1" applyNumberFormat="1">
      <alignment horizontal="right" vertical="center" wrapText="1" indent="1"/>
    </xf>
    <xf numFmtId="0" fontId="120" fillId="0" borderId="0" xfId="0" applyFont="1" applyNumberFormat="1">
      <alignment vertical="top" wrapText="1"/>
    </xf>
    <xf numFmtId="49" fontId="66" fillId="0" borderId="0" xfId="0" applyFont="1" applyNumberFormat="1">
      <alignment vertical="top" wrapText="1"/>
    </xf>
    <xf numFmtId="0" fontId="22" fillId="0" borderId="13" xfId="0" applyFont="1" applyBorder="1" applyNumberFormat="1">
      <alignment horizontal="center" vertical="center" wrapText="1"/>
    </xf>
    <xf numFmtId="0" fontId="22" fillId="0" borderId="14" xfId="0" applyFont="1" applyBorder="1" applyNumberFormat="1">
      <alignment horizontal="center" vertical="center" wrapText="1"/>
    </xf>
    <xf numFmtId="0" fontId="96" fillId="0" borderId="0" xfId="0" applyFont="1" applyNumberFormat="1">
      <alignment horizontal="left" vertical="center" wrapText="1"/>
    </xf>
    <xf numFmtId="14" fontId="93" fillId="0" borderId="12" xfId="0" applyFont="1" applyBorder="1" applyNumberFormat="1">
      <alignment horizontal="center" vertical="center" wrapText="1"/>
    </xf>
    <xf numFmtId="0" fontId="22" fillId="0" borderId="0" xfId="0" applyFont="1" applyNumberFormat="1">
      <alignment horizontal="center" vertical="center" wrapText="1"/>
    </xf>
    <xf numFmtId="0" fontId="22" fillId="0" borderId="15" xfId="0" applyFont="1" applyBorder="1" applyNumberFormat="1">
      <alignment horizontal="left" vertical="center" wrapText="1" indent="1"/>
    </xf>
    <xf numFmtId="0" fontId="22" fillId="0" borderId="14" xfId="0" applyFont="1" applyBorder="1" applyNumberFormat="1">
      <alignment horizontal="center" vertical="center" wrapText="1"/>
    </xf>
    <xf numFmtId="0" fontId="22" fillId="0" borderId="15" xfId="0" applyFont="1" applyBorder="1" applyNumberFormat="1">
      <alignment horizontal="center" vertical="center" wrapText="1"/>
    </xf>
    <xf numFmtId="0" fontId="22" fillId="0" borderId="13" xfId="0" applyFont="1" applyBorder="1" applyNumberFormat="1">
      <alignment horizontal="center" vertical="center" wrapText="1"/>
    </xf>
    <xf numFmtId="4" fontId="22" fillId="0" borderId="12" xfId="0" applyFont="1" applyBorder="1" applyNumberFormat="1">
      <alignment horizontal="center" vertical="center" wrapText="1"/>
    </xf>
    <xf numFmtId="0" fontId="22" fillId="40" borderId="17" xfId="0" applyFont="1" applyFill="1" applyBorder="1" applyNumberFormat="1">
      <alignment horizontal="left" vertical="center" wrapText="1" indent="1"/>
    </xf>
    <xf numFmtId="0" fontId="22" fillId="40" borderId="23" xfId="0" applyFont="1" applyFill="1" applyBorder="1" applyNumberFormat="1">
      <alignment horizontal="left" vertical="center" wrapText="1" indent="1"/>
    </xf>
    <xf numFmtId="49" fontId="22" fillId="40"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pplyNumberFormat="1">
      <alignment horizontal="left" vertical="center" wrapText="1" indent="2"/>
    </xf>
    <xf numFmtId="0" fontId="22" fillId="40" borderId="36" xfId="0" applyFont="1" applyFill="1" applyBorder="1" applyNumberFormat="1">
      <alignment horizontal="left" vertical="center" wrapText="1" indent="2"/>
    </xf>
    <xf numFmtId="0" fontId="22" fillId="40" borderId="23" xfId="0" applyFont="1" applyFill="1" applyBorder="1" applyNumberFormat="1">
      <alignment horizontal="left" vertical="center" wrapText="1" indent="2"/>
    </xf>
    <xf numFmtId="49" fontId="22" fillId="40" borderId="23" xfId="0" applyFont="1" applyFill="1" applyBorder="1" applyNumberFormat="1">
      <alignment horizontal="center" vertical="center" wrapText="1"/>
    </xf>
    <xf numFmtId="14" fontId="81" fillId="0" borderId="68" xfId="0" applyFont="1" applyBorder="1" applyNumberFormat="1">
      <alignment horizontal="center" vertical="center" wrapText="1"/>
    </xf>
    <xf numFmtId="0" fontId="22" fillId="0" borderId="68" xfId="0" applyFont="1" applyBorder="1" applyNumberFormat="1">
      <alignment horizontal="center" vertical="center" wrapText="1"/>
    </xf>
    <xf numFmtId="49" fontId="36" fillId="0" borderId="69" xfId="0" applyFont="1" applyBorder="1" applyNumberFormat="1">
      <alignment horizontal="center" vertical="center" wrapText="1"/>
    </xf>
    <xf numFmtId="49" fontId="36" fillId="0" borderId="70" xfId="0" applyFont="1" applyBorder="1" applyNumberFormat="1">
      <alignment horizontal="center" vertical="center" wrapText="1"/>
    </xf>
    <xf numFmtId="49" fontId="36" fillId="0" borderId="14" xfId="0" applyFont="1" applyBorder="1" applyNumberFormat="1">
      <alignment horizontal="center" vertical="center" wrapText="1"/>
    </xf>
    <xf numFmtId="49" fontId="36" fillId="0" borderId="13" xfId="0" applyFont="1" applyBorder="1" applyNumberFormat="1">
      <alignment horizontal="center" vertical="center" wrapText="1"/>
    </xf>
    <xf numFmtId="0" fontId="22" fillId="0" borderId="20" xfId="0" applyFont="1" applyBorder="1" applyNumberFormat="1">
      <alignment horizontal="left" vertical="center" wrapText="1" indent="1"/>
    </xf>
    <xf numFmtId="0" fontId="22" fillId="0" borderId="17" xfId="0" applyFont="1" applyBorder="1" applyNumberFormat="1">
      <alignment horizontal="left" vertical="center" wrapText="1" indent="1"/>
    </xf>
    <xf numFmtId="0" fontId="22" fillId="0" borderId="37" xfId="0" applyFont="1" applyBorder="1" applyNumberFormat="1">
      <alignment horizontal="left" vertical="center" wrapText="1" indent="1"/>
    </xf>
    <xf numFmtId="0" fontId="22" fillId="0" borderId="29" xfId="0" applyFont="1" applyBorder="1" applyNumberFormat="1">
      <alignment horizontal="left" vertical="center" indent="1"/>
    </xf>
    <xf numFmtId="0" fontId="22" fillId="0" borderId="23" xfId="0" applyFont="1" applyBorder="1" applyNumberFormat="1">
      <alignment horizontal="left" vertical="center" indent="1"/>
    </xf>
    <xf numFmtId="0" fontId="22" fillId="0" borderId="30" xfId="0" applyFont="1" applyBorder="1" applyNumberFormat="1">
      <alignment horizontal="left" vertical="center" indent="1"/>
    </xf>
    <xf numFmtId="0" fontId="22" fillId="0" borderId="0" xfId="0" applyFont="1" applyNumberFormat="1">
      <alignment horizontal="center" vertical="center" wrapText="1"/>
    </xf>
    <xf numFmtId="0" fontId="22" fillId="42" borderId="0" xfId="0" applyFont="1" applyFill="1" applyNumberFormat="1">
      <alignment horizontal="center" vertical="center" wrapText="1"/>
    </xf>
    <xf numFmtId="0" fontId="22" fillId="0" borderId="12" xfId="0" applyFont="1" applyBorder="1" applyNumberFormat="1">
      <alignment horizontal="center" vertical="center" wrapText="1"/>
    </xf>
    <xf numFmtId="0" fontId="75" fillId="0" borderId="37" xfId="0" applyFont="1" applyBorder="1" applyNumberFormat="1">
      <alignment horizontal="center" vertical="center" wrapText="1"/>
    </xf>
    <xf numFmtId="0" fontId="75" fillId="0" borderId="19" xfId="0" applyFont="1" applyBorder="1" applyNumberFormat="1">
      <alignment horizontal="center" vertical="center" wrapText="1"/>
    </xf>
    <xf numFmtId="0" fontId="0" fillId="0" borderId="0" xfId="0" applyFont="1" applyNumberFormat="1">
      <alignment horizontal="left" vertical="center" wrapText="1" indent="2"/>
    </xf>
    <xf numFmtId="0" fontId="0" fillId="0" borderId="0" xfId="0" applyFont="1" applyNumberFormat="1">
      <alignment horizontal="left" vertical="center" indent="2"/>
    </xf>
    <xf numFmtId="0" fontId="75" fillId="0" borderId="12" xfId="0" applyFont="1" applyBorder="1" applyNumberFormat="1">
      <alignment horizontal="center" vertical="center" wrapText="1"/>
    </xf>
    <xf numFmtId="0" fontId="22" fillId="0" borderId="71" xfId="0" applyFont="1" applyBorder="1" applyNumberFormat="1">
      <alignment horizontal="center" vertical="center" wrapText="1"/>
    </xf>
    <xf numFmtId="0" fontId="22" fillId="0" borderId="72" xfId="0" applyFont="1" applyBorder="1" applyNumberFormat="1">
      <alignment horizontal="center" vertical="center" wrapText="1"/>
    </xf>
    <xf numFmtId="0" fontId="0" fillId="0" borderId="12" xfId="0" applyFont="1" applyBorder="1" applyNumberFormat="1">
      <alignment horizontal="center" vertical="top"/>
    </xf>
    <xf numFmtId="49" fontId="0" fillId="0" borderId="12" xfId="0" applyFont="1" applyBorder="1" applyNumberFormat="1">
      <alignment vertical="top"/>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0" fontId="0" fillId="0" borderId="19" xfId="0" applyFont="1" applyBorder="1" applyNumberFormat="1">
      <alignment horizontal="left" vertical="center" wrapText="1"/>
    </xf>
    <xf numFmtId="0" fontId="0" fillId="0" borderId="0" xfId="0" applyFont="1" applyNumberFormat="1">
      <alignment horizontal="left" vertical="center" wrapText="1"/>
    </xf>
    <xf numFmtId="49" fontId="0" fillId="0" borderId="0" xfId="0" applyFont="1" applyNumberFormat="1">
      <alignment horizontal="left" vertical="center" wrapText="1"/>
    </xf>
    <xf numFmtId="49" fontId="0" fillId="0" borderId="19" xfId="0" applyFont="1" applyBorder="1" applyNumberFormat="1">
      <alignment horizontal="left" vertical="center" wrapText="1"/>
    </xf>
    <xf numFmtId="0" fontId="22" fillId="0" borderId="12" xfId="0" applyFont="1" applyBorder="1" applyNumberFormat="1">
      <alignment horizontal="left" vertical="top" wrapText="1"/>
    </xf>
    <xf numFmtId="49" fontId="0" fillId="0" borderId="12" xfId="0" applyFont="1" applyBorder="1" applyNumberFormat="1">
      <alignment horizontal="left" vertical="top"/>
    </xf>
    <xf numFmtId="0" fontId="22" fillId="40" borderId="17" xfId="0" applyFont="1" applyFill="1" applyBorder="1" applyNumberFormat="1">
      <alignment horizontal="center" vertical="top" wrapText="1"/>
    </xf>
    <xf numFmtId="0" fontId="22" fillId="40" borderId="36" xfId="0" applyFont="1" applyFill="1" applyBorder="1" applyNumberFormat="1">
      <alignment horizontal="center" vertical="top" wrapText="1"/>
    </xf>
    <xf numFmtId="0" fontId="22" fillId="40" borderId="23" xfId="0" applyFont="1" applyFill="1" applyBorder="1" applyNumberFormat="1">
      <alignment horizontal="center" vertical="top" wrapText="1"/>
    </xf>
    <xf numFmtId="0" fontId="0" fillId="0" borderId="37" xfId="0" applyFont="1" applyBorder="1" applyNumberFormat="1">
      <alignment horizontal="center" vertical="center"/>
    </xf>
    <xf numFmtId="0" fontId="0" fillId="0" borderId="22" xfId="0" applyFont="1" applyBorder="1" applyNumberFormat="1">
      <alignment horizontal="center" vertical="center"/>
    </xf>
    <xf numFmtId="0" fontId="0" fillId="0" borderId="19" xfId="0" applyFont="1" applyBorder="1" applyNumberFormat="1">
      <alignment horizontal="center" vertical="center"/>
    </xf>
    <xf numFmtId="0" fontId="0" fillId="0" borderId="0" xfId="0" applyFont="1" applyNumberFormat="1">
      <alignment horizontal="center"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0" fillId="0" borderId="0" xfId="0" applyFont="1" applyNumberFormat="1">
      <alignment horizontal="left" vertical="top"/>
    </xf>
    <xf numFmtId="0" fontId="0" fillId="0" borderId="12" xfId="0" applyFont="1" applyBorder="1" applyNumberFormat="1">
      <alignment horizontal="center" vertical="center" wrapText="1"/>
    </xf>
    <xf numFmtId="49" fontId="48" fillId="35" borderId="27" xfId="0" applyFont="1" applyFill="1" applyBorder="1" applyNumberFormat="1">
      <alignment horizontal="center" vertical="center" wrapText="1"/>
    </xf>
    <xf numFmtId="0" fontId="22" fillId="0" borderId="20" xfId="0" applyFont="1" applyBorder="1" applyNumberFormat="1">
      <alignment horizontal="left" vertical="top" wrapText="1" indent="1"/>
    </xf>
    <xf numFmtId="0" fontId="22" fillId="0" borderId="17" xfId="0" applyFont="1" applyBorder="1" applyNumberFormat="1">
      <alignment horizontal="left" vertical="top" wrapText="1" indent="1"/>
    </xf>
    <xf numFmtId="0" fontId="22" fillId="0" borderId="37" xfId="0" applyFont="1" applyBorder="1" applyNumberFormat="1">
      <alignment horizontal="left" vertical="top" wrapText="1" indent="1"/>
    </xf>
    <xf numFmtId="0" fontId="72" fillId="0" borderId="24" xfId="0" applyFont="1" applyBorder="1" applyNumberFormat="1">
      <alignment horizontal="left" vertical="center" wrapText="1" indent="1"/>
    </xf>
    <xf numFmtId="0" fontId="72" fillId="0" borderId="36" xfId="0" applyFont="1" applyBorder="1" applyNumberFormat="1">
      <alignment horizontal="left" vertical="center" wrapText="1" indent="1"/>
    </xf>
    <xf numFmtId="0" fontId="72" fillId="0" borderId="22" xfId="0" applyFont="1" applyBorder="1" applyNumberFormat="1">
      <alignment horizontal="left" vertical="center" wrapText="1" indent="1"/>
    </xf>
    <xf numFmtId="0" fontId="22" fillId="0" borderId="27" xfId="0" applyFont="1" applyBorder="1" applyNumberFormat="1">
      <alignment horizontal="left" vertical="center" indent="1"/>
    </xf>
    <xf numFmtId="0" fontId="22" fillId="39" borderId="12" xfId="0" applyFont="1" applyFill="1" applyBorder="1" applyNumberFormat="1">
      <alignment horizontal="left" vertical="top" wrapText="1"/>
      <protection locked="0"/>
    </xf>
    <xf numFmtId="0" fontId="0" fillId="39" borderId="12" xfId="0" applyFont="1" applyFill="1" applyBorder="1" applyNumberFormat="1">
      <alignment horizontal="left" vertical="top"/>
      <protection locked="0"/>
    </xf>
    <xf numFmtId="0" fontId="0" fillId="0" borderId="17" xfId="0" applyFont="1" applyBorder="1" applyNumberFormat="1">
      <alignment horizontal="center" vertical="top"/>
    </xf>
    <xf numFmtId="0" fontId="0" fillId="0" borderId="36" xfId="0" applyFont="1" applyBorder="1" applyNumberFormat="1">
      <alignment horizontal="center" vertical="top"/>
    </xf>
    <xf numFmtId="0" fontId="0" fillId="0" borderId="23" xfId="0" applyFont="1" applyBorder="1" applyNumberFormat="1">
      <alignment horizontal="center" vertical="top"/>
    </xf>
    <xf numFmtId="0" fontId="22" fillId="0" borderId="17" xfId="0" applyFont="1" applyBorder="1" applyNumberFormat="1">
      <alignment horizontal="left" vertical="top" wrapText="1"/>
    </xf>
    <xf numFmtId="0" fontId="22" fillId="0" borderId="36" xfId="0" applyFont="1" applyBorder="1" applyNumberFormat="1">
      <alignment horizontal="left" vertical="top" wrapText="1"/>
    </xf>
    <xf numFmtId="0" fontId="22" fillId="0" borderId="23" xfId="0" applyFont="1" applyBorder="1" applyNumberFormat="1">
      <alignment horizontal="left" vertical="top" wrapText="1"/>
    </xf>
    <xf numFmtId="0" fontId="0" fillId="0" borderId="0" xfId="0" applyFont="1" applyNumberFormat="1" quotePrefix="1">
      <alignment horizontal="left" vertical="top" wrapText="1" indent="1"/>
    </xf>
    <xf numFmtId="0" fontId="0" fillId="0" borderId="0" xfId="0" applyFont="1" applyNumberFormat="1">
      <alignment horizontal="left" vertical="top" wrapText="1" indent="1"/>
    </xf>
    <xf numFmtId="0" fontId="0" fillId="0" borderId="0" xfId="0" applyFont="1" applyNumberFormat="1">
      <alignment horizontal="left" vertical="top" wrapText="1"/>
    </xf>
    <xf numFmtId="0" fontId="22" fillId="0" borderId="17" xfId="0" applyFont="1" applyBorder="1" applyNumberFormat="1">
      <alignment horizontal="center" vertical="center" wrapText="1"/>
    </xf>
    <xf numFmtId="0" fontId="22" fillId="0" borderId="27" xfId="0" applyFont="1" applyBorder="1" applyNumberFormat="1">
      <alignment horizontal="left" vertical="center" wrapText="1" indent="1"/>
    </xf>
    <xf numFmtId="0" fontId="40" fillId="0" borderId="0" xfId="0" applyFont="1" applyNumberFormat="1">
      <alignment horizontal="left" vertical="center"/>
    </xf>
    <xf numFmtId="0" fontId="40" fillId="0" borderId="24" xfId="0" applyFont="1" applyBorder="1" applyNumberFormat="1">
      <alignment horizontal="left" vertical="center"/>
    </xf>
    <xf numFmtId="0" fontId="22" fillId="0" borderId="12" xfId="0" applyFont="1" applyBorder="1" applyNumberFormat="1">
      <alignment horizontal="left" vertical="center" wrapText="1"/>
    </xf>
    <xf numFmtId="0" fontId="22" fillId="0" borderId="37" xfId="0" applyFont="1" applyBorder="1" applyNumberFormat="1">
      <alignment horizontal="left" vertical="center" wrapText="1"/>
    </xf>
    <xf numFmtId="0" fontId="22" fillId="0" borderId="19" xfId="0" applyFont="1" applyBorder="1" applyNumberFormat="1">
      <alignment horizontal="center" vertical="center"/>
    </xf>
    <xf numFmtId="0" fontId="22" fillId="0" borderId="0" xfId="0" applyFont="1" applyNumberFormat="1">
      <alignment horizontal="center" vertical="center"/>
    </xf>
    <xf numFmtId="49" fontId="22" fillId="0" borderId="12" xfId="0" applyFont="1" applyBorder="1" applyNumberFormat="1">
      <alignment horizontal="center" vertical="center"/>
    </xf>
    <xf numFmtId="0" fontId="22" fillId="0" borderId="14" xfId="0" applyFont="1" applyBorder="1" applyNumberFormat="1">
      <alignment horizontal="left" vertical="center" wrapText="1"/>
    </xf>
    <xf numFmtId="49" fontId="22" fillId="40" borderId="17" xfId="0" applyFont="1" applyFill="1" applyBorder="1" applyNumberFormat="1">
      <alignment horizontal="center" vertical="center" wrapText="1"/>
    </xf>
    <xf numFmtId="49" fontId="22" fillId="40" borderId="36" xfId="0" applyFont="1" applyFill="1" applyBorder="1" applyNumberFormat="1">
      <alignment horizontal="center" vertical="center" wrapText="1"/>
    </xf>
    <xf numFmtId="0" fontId="40" fillId="0" borderId="27" xfId="0" applyFont="1" applyBorder="1" applyNumberFormat="1">
      <alignment horizontal="left" vertical="center"/>
    </xf>
    <xf numFmtId="0" fontId="40" fillId="0" borderId="29" xfId="0" applyFont="1" applyBorder="1" applyNumberFormat="1">
      <alignment horizontal="left" vertical="center"/>
    </xf>
    <xf numFmtId="49" fontId="22" fillId="0" borderId="17" xfId="0" applyFont="1" applyBorder="1" applyNumberFormat="1">
      <alignment horizontal="center" vertical="center"/>
    </xf>
    <xf numFmtId="0" fontId="22" fillId="0" borderId="17" xfId="0" applyFont="1" applyBorder="1" applyNumberFormat="1">
      <alignment horizontal="left" vertical="center" wrapText="1"/>
    </xf>
    <xf numFmtId="0" fontId="22" fillId="0" borderId="19" xfId="0" applyFont="1" applyBorder="1" applyNumberFormat="1">
      <alignment horizontal="left" vertical="center" wrapText="1" indent="1"/>
    </xf>
    <xf numFmtId="0" fontId="22" fillId="0" borderId="37" xfId="0" applyFont="1" applyBorder="1" applyNumberFormat="1">
      <alignment horizontal="center" vertical="center" wrapText="1"/>
    </xf>
    <xf numFmtId="0" fontId="22" fillId="0" borderId="20" xfId="0" applyFont="1" applyBorder="1" applyNumberFormat="1">
      <alignment horizontal="center" vertical="center" wrapText="1"/>
    </xf>
    <xf numFmtId="0" fontId="22" fillId="0" borderId="22" xfId="0" applyFont="1" applyBorder="1" applyNumberFormat="1">
      <alignment horizontal="center" vertical="center" wrapText="1"/>
    </xf>
    <xf numFmtId="0" fontId="22" fillId="0" borderId="24" xfId="0" applyFont="1" applyBorder="1" applyNumberFormat="1">
      <alignment horizontal="center" vertical="center" wrapText="1"/>
    </xf>
    <xf numFmtId="0" fontId="22" fillId="0" borderId="17" xfId="0" applyFont="1" applyBorder="1" applyNumberFormat="1">
      <alignment horizontal="center" vertical="center" wrapText="1"/>
    </xf>
    <xf numFmtId="0" fontId="22" fillId="0" borderId="15"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36" xfId="0" applyFont="1" applyBorder="1" applyNumberFormat="1">
      <alignment horizontal="center" vertical="center" wrapText="1"/>
    </xf>
    <xf numFmtId="0" fontId="22" fillId="0" borderId="30" xfId="0" applyFont="1" applyBorder="1" applyNumberFormat="1">
      <alignment horizontal="center" vertical="center" wrapText="1"/>
    </xf>
    <xf numFmtId="0" fontId="22" fillId="0" borderId="29" xfId="0" applyFont="1" applyBorder="1" applyNumberFormat="1">
      <alignment horizontal="center" vertical="center" wrapText="1"/>
    </xf>
    <xf numFmtId="49" fontId="22" fillId="35" borderId="0" xfId="0" applyFont="1" applyFill="1" applyNumberFormat="1">
      <alignment horizontal="center" vertical="center" wrapText="1"/>
    </xf>
    <xf numFmtId="0" fontId="45" fillId="0" borderId="0" xfId="0" applyFont="1" applyNumberFormat="1">
      <alignment horizontal="right" vertical="top"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45" fillId="0" borderId="0" xfId="0" applyFont="1" applyNumberFormat="1">
      <alignment horizontal="left" vertical="top" wrapText="1" indent="1"/>
    </xf>
    <xf numFmtId="0" fontId="93" fillId="35" borderId="0" xfId="0" applyFont="1" applyFill="1" applyNumberFormat="1">
      <alignment horizontal="left" vertical="center" wrapText="1"/>
    </xf>
    <xf numFmtId="0" fontId="0" fillId="35" borderId="12" xfId="0" applyFont="1" applyFill="1" applyBorder="1" applyNumberFormat="1">
      <alignment horizontal="center" vertical="center" wrapText="1"/>
    </xf>
    <xf numFmtId="0" fontId="22" fillId="35" borderId="12" xfId="0" applyFont="1" applyFill="1" applyBorder="1" applyNumberFormat="1">
      <alignment horizontal="center" vertical="center" wrapText="1"/>
    </xf>
    <xf numFmtId="0" fontId="22" fillId="35" borderId="17" xfId="0" applyFont="1" applyFill="1" applyBorder="1" applyNumberFormat="1">
      <alignment horizontal="left" vertical="top" wrapText="1"/>
    </xf>
    <xf numFmtId="0" fontId="22" fillId="35" borderId="36" xfId="0" applyFont="1" applyFill="1" applyBorder="1" applyNumberFormat="1">
      <alignment horizontal="left" vertical="top" wrapText="1"/>
    </xf>
    <xf numFmtId="0" fontId="22" fillId="35" borderId="23" xfId="0" applyFont="1" applyFill="1" applyBorder="1" applyNumberFormat="1">
      <alignment horizontal="left" vertical="top" wrapText="1"/>
    </xf>
    <xf numFmtId="0" fontId="22" fillId="35" borderId="24" xfId="0" applyFont="1" applyFill="1" applyBorder="1" applyNumberFormat="1">
      <alignment horizontal="center" vertical="center" wrapText="1"/>
    </xf>
    <xf numFmtId="0" fontId="22" fillId="0" borderId="29" xfId="0" applyFont="1" applyBorder="1" applyNumberFormat="1">
      <alignment horizontal="left" vertical="center" wrapText="1" indent="1"/>
    </xf>
    <xf numFmtId="0" fontId="22" fillId="0" borderId="23" xfId="0" applyFont="1" applyBorder="1" applyNumberFormat="1">
      <alignment horizontal="left" vertical="center" wrapText="1" indent="1"/>
    </xf>
    <xf numFmtId="0" fontId="22" fillId="0" borderId="30" xfId="0" applyFont="1" applyBorder="1" applyNumberFormat="1">
      <alignment horizontal="left" vertical="center" wrapText="1" indent="1"/>
    </xf>
    <xf numFmtId="0" fontId="47" fillId="0" borderId="0" xfId="0" applyFont="1" applyNumberFormat="1">
      <alignment horizontal="center" vertical="center" wrapText="1"/>
    </xf>
    <xf numFmtId="0" fontId="0" fillId="0" borderId="14" xfId="0" applyFont="1" applyBorder="1" applyNumberFormat="1">
      <alignment horizontal="center" vertical="center" wrapText="1"/>
    </xf>
    <xf numFmtId="0" fontId="0" fillId="0" borderId="15" xfId="0" applyFont="1" applyBorder="1" applyNumberFormat="1">
      <alignment horizontal="center" vertical="center" wrapText="1"/>
    </xf>
    <xf numFmtId="0" fontId="0" fillId="0" borderId="13" xfId="0" applyFont="1" applyBorder="1" applyNumberFormat="1">
      <alignment horizontal="center" vertical="center" wrapText="1"/>
    </xf>
    <xf numFmtId="0" fontId="0" fillId="0" borderId="17" xfId="0" applyFont="1" applyBorder="1" applyNumberFormat="1">
      <alignment horizontal="left" vertical="top" wrapText="1"/>
    </xf>
    <xf numFmtId="0" fontId="0" fillId="0" borderId="23" xfId="0" applyFont="1" applyBorder="1" applyNumberFormat="1">
      <alignment horizontal="left" vertical="top" wrapText="1"/>
    </xf>
    <xf numFmtId="0" fontId="0" fillId="0" borderId="12"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37" xfId="0" applyFont="1" applyBorder="1" applyNumberFormat="1">
      <alignment horizontal="center" vertical="center" wrapText="1"/>
    </xf>
    <xf numFmtId="0" fontId="0" fillId="0" borderId="30"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20" xfId="0" applyFont="1" applyBorder="1" applyNumberFormat="1">
      <alignment horizontal="center" vertical="center" wrapText="1"/>
    </xf>
    <xf numFmtId="0" fontId="0" fillId="0" borderId="29" xfId="0" applyFont="1" applyBorder="1" applyNumberFormat="1">
      <alignment horizontal="center" vertical="center" wrapText="1"/>
    </xf>
    <xf numFmtId="0" fontId="22" fillId="0" borderId="23" xfId="0" applyFont="1" applyBorder="1" applyNumberFormat="1">
      <alignment horizontal="center" vertical="center" wrapText="1"/>
    </xf>
    <xf numFmtId="49" fontId="0" fillId="0" borderId="37" xfId="0" applyFont="1" applyBorder="1" applyNumberFormat="1">
      <alignment horizontal="center" vertical="center" wrapText="1"/>
    </xf>
    <xf numFmtId="49" fontId="0" fillId="0" borderId="30" xfId="0" applyFont="1" applyBorder="1" applyNumberFormat="1">
      <alignment horizontal="center" vertical="center" wrapText="1"/>
    </xf>
    <xf numFmtId="0" fontId="22" fillId="40" borderId="19" xfId="0" applyFont="1" applyFill="1" applyBorder="1" applyNumberFormat="1">
      <alignment horizontal="left" vertical="center" wrapText="1"/>
    </xf>
    <xf numFmtId="0" fontId="22" fillId="40" borderId="27" xfId="0" applyFont="1" applyFill="1" applyBorder="1" applyNumberFormat="1">
      <alignment horizontal="left" vertical="center" wrapText="1"/>
    </xf>
    <xf numFmtId="0" fontId="22" fillId="0" borderId="19" xfId="0" applyFont="1" applyBorder="1" applyNumberFormat="1">
      <alignment horizontal="left" vertical="top" wrapText="1" indent="1"/>
    </xf>
    <xf numFmtId="0" fontId="22" fillId="0" borderId="20" xfId="0" applyFont="1" applyBorder="1" applyNumberFormat="1">
      <alignment horizontal="left" vertical="center" wrapText="1" indent="1"/>
    </xf>
    <xf numFmtId="0" fontId="22" fillId="0" borderId="17" xfId="0" applyFont="1" applyBorder="1" applyNumberFormat="1">
      <alignment horizontal="left" vertical="center" wrapText="1" indent="1"/>
    </xf>
    <xf numFmtId="0" fontId="22" fillId="0" borderId="37" xfId="0" applyFont="1" applyBorder="1" applyNumberFormat="1">
      <alignment horizontal="left" vertical="center" wrapText="1" indent="1"/>
    </xf>
    <xf numFmtId="0" fontId="0" fillId="0" borderId="36" xfId="0" applyFont="1" applyBorder="1" applyNumberFormat="1">
      <alignment horizontal="left" vertical="top" wrapText="1"/>
    </xf>
    <xf numFmtId="0" fontId="22" fillId="34" borderId="14" xfId="0" applyFont="1" applyFill="1" applyBorder="1" applyNumberFormat="1">
      <alignment horizontal="left" vertical="center" wrapText="1"/>
    </xf>
    <xf numFmtId="0" fontId="22" fillId="34" borderId="15" xfId="0" applyFont="1" applyFill="1" applyBorder="1" applyNumberFormat="1">
      <alignment horizontal="left" vertical="center" wrapText="1"/>
    </xf>
    <xf numFmtId="0" fontId="22" fillId="34" borderId="13" xfId="0" applyFont="1" applyFill="1" applyBorder="1" applyNumberFormat="1">
      <alignment horizontal="left" vertical="center" wrapText="1"/>
    </xf>
    <xf numFmtId="0" fontId="22" fillId="40" borderId="14" xfId="0" applyFont="1" applyFill="1" applyBorder="1" applyNumberFormat="1">
      <alignment horizontal="left" vertical="center" wrapText="1"/>
    </xf>
    <xf numFmtId="0" fontId="22" fillId="40" borderId="15" xfId="0" applyFont="1" applyFill="1" applyBorder="1" applyNumberFormat="1">
      <alignment horizontal="left" vertical="center" wrapText="1"/>
    </xf>
    <xf numFmtId="0" fontId="22" fillId="40" borderId="13" xfId="0" applyFont="1" applyFill="1" applyBorder="1" applyNumberFormat="1">
      <alignment horizontal="left" vertical="center" wrapText="1"/>
    </xf>
    <xf numFmtId="0" fontId="22" fillId="0" borderId="19" xfId="0" applyFont="1" applyBorder="1" applyNumberFormat="1">
      <alignment horizontal="left" vertical="top" wrapText="1" indent="1"/>
    </xf>
    <xf numFmtId="0" fontId="22" fillId="0" borderId="27" xfId="0" applyFont="1" applyBorder="1" applyNumberFormat="1">
      <alignment horizontal="left" vertical="center" wrapText="1" indent="1"/>
    </xf>
    <xf numFmtId="0" fontId="0" fillId="35" borderId="12" xfId="0" applyFont="1" applyFill="1" applyBorder="1" applyNumberFormat="1">
      <alignment horizontal="right" vertical="center" wrapText="1" indent="1"/>
    </xf>
    <xf numFmtId="0" fontId="22" fillId="34" borderId="12" xfId="0" applyFont="1" applyFill="1" applyBorder="1" applyNumberFormat="1">
      <alignment horizontal="left" vertical="center" wrapText="1" indent="1"/>
    </xf>
    <xf numFmtId="0" fontId="37" fillId="0" borderId="27" xfId="0" applyFont="1" applyBorder="1" applyNumberFormat="1">
      <alignment horizontal="center" vertical="center" wrapText="1"/>
    </xf>
    <xf numFmtId="0" fontId="45" fillId="0" borderId="17" xfId="0" applyFont="1" applyBorder="1" applyNumberFormat="1">
      <alignment horizontal="left" vertical="top" wrapText="1"/>
    </xf>
    <xf numFmtId="0" fontId="45" fillId="0" borderId="36" xfId="0" applyFont="1" applyBorder="1" applyNumberFormat="1">
      <alignment horizontal="left" vertical="top" wrapText="1"/>
    </xf>
    <xf numFmtId="0" fontId="45" fillId="0" borderId="23" xfId="0" applyFont="1" applyBorder="1" applyNumberFormat="1">
      <alignment horizontal="left" vertical="top" wrapText="1"/>
    </xf>
    <xf numFmtId="0" fontId="47" fillId="0" borderId="12" xfId="0" applyFont="1" applyBorder="1" applyNumberFormat="1">
      <alignment horizontal="center" vertical="center" wrapText="1"/>
    </xf>
    <xf numFmtId="0" fontId="48" fillId="0" borderId="0" xfId="0" applyFont="1" applyNumberFormat="1">
      <alignment horizontal="center" vertical="center" wrapText="1"/>
    </xf>
    <xf numFmtId="0" fontId="47" fillId="0" borderId="12" xfId="0" applyFont="1" applyBorder="1" applyNumberFormat="1">
      <alignment horizontal="center" vertical="center"/>
    </xf>
    <xf numFmtId="0" fontId="47" fillId="0" borderId="14" xfId="0" applyFont="1" applyBorder="1" applyNumberFormat="1">
      <alignment horizontal="center" vertical="center"/>
    </xf>
    <xf numFmtId="0" fontId="22" fillId="0" borderId="17" xfId="0" applyFont="1" applyBorder="1" applyNumberFormat="1">
      <alignment horizontal="center" vertical="center" wrapText="1"/>
    </xf>
    <xf numFmtId="0" fontId="22" fillId="0" borderId="23" xfId="0" applyFont="1" applyBorder="1" applyNumberFormat="1">
      <alignment horizontal="center" vertical="center" wrapText="1"/>
    </xf>
    <xf numFmtId="0" fontId="22" fillId="0" borderId="14" xfId="0" applyFont="1" applyBorder="1" applyNumberFormat="1">
      <alignment horizontal="center" vertical="center" wrapText="1"/>
    </xf>
    <xf numFmtId="0" fontId="22" fillId="0" borderId="13" xfId="0" applyFont="1" applyBorder="1" applyNumberFormat="1">
      <alignment horizontal="center" vertical="center" wrapText="1"/>
    </xf>
    <xf numFmtId="504" fontId="22" fillId="34" borderId="12" xfId="0" applyFont="1" applyFill="1" applyBorder="1" applyNumberFormat="1">
      <alignment horizontal="left" vertical="center" wrapText="1" indent="1"/>
    </xf>
    <xf numFmtId="504"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504" fontId="47" fillId="0" borderId="12" xfId="0" applyFont="1" applyBorder="1" applyNumberFormat="1">
      <alignment horizontal="center" vertical="center" wrapText="1"/>
    </xf>
    <xf numFmtId="49" fontId="47" fillId="0" borderId="12" xfId="0" applyFont="1" applyBorder="1" applyNumberFormat="1">
      <alignment horizontal="center" vertical="center" wrapText="1"/>
    </xf>
    <xf numFmtId="0" fontId="22" fillId="0" borderId="15" xfId="0" applyFont="1" applyBorder="1" applyNumberFormat="1">
      <alignment horizontal="center" vertical="center" wrapText="1"/>
    </xf>
    <xf numFmtId="0" fontId="0" fillId="0" borderId="14" xfId="0" applyFont="1" applyBorder="1" applyNumberFormat="1">
      <alignment horizontal="center" vertical="center" wrapText="1"/>
    </xf>
    <xf numFmtId="0" fontId="0" fillId="0" borderId="13" xfId="0" applyFont="1" applyBorder="1" applyNumberFormat="1">
      <alignment horizontal="center" vertical="center" wrapText="1"/>
    </xf>
    <xf numFmtId="0" fontId="80" fillId="35" borderId="19" xfId="0" applyFont="1" applyFill="1" applyBorder="1" applyNumberFormat="1">
      <alignment horizontal="center" vertical="center" wrapText="1"/>
    </xf>
    <xf numFmtId="0" fontId="22" fillId="35" borderId="12" xfId="0" applyFont="1" applyFill="1" applyBorder="1" applyNumberFormat="1">
      <alignment horizontal="left" vertical="center" wrapText="1"/>
    </xf>
    <xf numFmtId="0" fontId="0" fillId="35" borderId="14" xfId="0" applyFont="1" applyFill="1" applyBorder="1" applyNumberFormat="1">
      <alignment horizontal="center" vertical="center" wrapText="1"/>
    </xf>
    <xf numFmtId="0" fontId="0" fillId="35" borderId="15" xfId="0" applyFont="1" applyFill="1" applyBorder="1" applyNumberFormat="1">
      <alignment horizontal="center" vertical="center" wrapText="1"/>
    </xf>
    <xf numFmtId="0" fontId="0" fillId="35" borderId="13" xfId="0" applyFont="1" applyFill="1" applyBorder="1" applyNumberFormat="1">
      <alignment horizontal="center" vertical="center" wrapText="1"/>
    </xf>
    <xf numFmtId="0" fontId="22" fillId="35" borderId="17" xfId="0" applyFont="1" applyFill="1" applyBorder="1" applyNumberFormat="1">
      <alignment horizontal="center" vertical="center" wrapText="1"/>
    </xf>
    <xf numFmtId="0" fontId="22" fillId="35" borderId="36" xfId="0" applyFont="1" applyFill="1" applyBorder="1" applyNumberFormat="1">
      <alignment horizontal="center" vertical="center" wrapText="1"/>
    </xf>
    <xf numFmtId="0" fontId="22" fillId="35" borderId="23" xfId="0" applyFont="1" applyFill="1" applyBorder="1" applyNumberFormat="1">
      <alignment horizontal="center" vertical="center" wrapText="1"/>
    </xf>
    <xf numFmtId="49" fontId="40" fillId="37" borderId="17" xfId="0" applyFont="1" applyFill="1" applyBorder="1" applyNumberFormat="1">
      <alignment horizontal="center" vertical="center" textRotation="90" wrapText="1"/>
    </xf>
    <xf numFmtId="49" fontId="40" fillId="37" borderId="36" xfId="0" applyFont="1" applyFill="1" applyBorder="1" applyNumberFormat="1">
      <alignment horizontal="center" vertical="center" textRotation="90" wrapText="1"/>
    </xf>
    <xf numFmtId="49" fontId="40" fillId="37" borderId="23" xfId="0" applyFont="1" applyFill="1" applyBorder="1" applyNumberFormat="1">
      <alignment horizontal="center" vertical="center" textRotation="90" wrapText="1"/>
    </xf>
    <xf numFmtId="0" fontId="47" fillId="0" borderId="17" xfId="0" applyFont="1" applyBorder="1" applyNumberFormat="1">
      <alignment horizontal="center" vertical="center" wrapText="1"/>
    </xf>
    <xf numFmtId="0" fontId="47" fillId="0" borderId="23" xfId="0" applyFont="1" applyBorder="1" applyNumberFormat="1">
      <alignment horizontal="center" vertical="center" wrapText="1"/>
    </xf>
    <xf numFmtId="0" fontId="22" fillId="0" borderId="0" xfId="0" applyFont="1" applyNumberFormat="1">
      <alignment horizontal="left" vertical="top" wrapText="1"/>
    </xf>
    <xf numFmtId="0" fontId="47" fillId="0" borderId="14" xfId="0" applyFont="1" applyBorder="1" applyNumberFormat="1">
      <alignment horizontal="center" vertical="center" wrapText="1"/>
    </xf>
    <xf numFmtId="504" fontId="0" fillId="39" borderId="17" xfId="0" applyFont="1" applyFill="1" applyBorder="1" applyNumberFormat="1">
      <alignment horizontal="center" vertical="center" wrapText="1"/>
      <protection locked="0"/>
    </xf>
    <xf numFmtId="49" fontId="0" fillId="39" borderId="23" xfId="0" applyFont="1" applyFill="1" applyBorder="1" applyNumberFormat="1">
      <alignment horizontal="center" vertical="center" wrapText="1"/>
      <protection locked="0"/>
    </xf>
    <xf numFmtId="0" fontId="22" fillId="0" borderId="12" xfId="0" applyFont="1" applyBorder="1" applyNumberFormat="1">
      <alignment horizontal="center" vertical="center"/>
    </xf>
    <xf numFmtId="0" fontId="22" fillId="0" borderId="14" xfId="0" applyFont="1" applyBorder="1" applyNumberFormat="1">
      <alignment horizontal="center" vertical="center"/>
    </xf>
    <xf numFmtId="0" fontId="0" fillId="35" borderId="19" xfId="0" applyFont="1" applyFill="1" applyBorder="1" applyNumberFormat="1">
      <alignment horizontal="center" vertical="center" wrapText="1"/>
    </xf>
    <xf numFmtId="0" fontId="48" fillId="0" borderId="17" xfId="0" applyFont="1" applyBorder="1" applyNumberFormat="1">
      <alignment horizontal="center" vertical="center" wrapText="1"/>
    </xf>
    <xf numFmtId="0" fontId="48" fillId="0" borderId="23" xfId="0" applyFont="1" applyBorder="1" applyNumberFormat="1">
      <alignment horizontal="center" vertical="center" wrapText="1"/>
    </xf>
    <xf numFmtId="0" fontId="22" fillId="0" borderId="37" xfId="0" applyFont="1" applyBorder="1" applyNumberFormat="1">
      <alignment horizontal="center" vertical="center" wrapText="1"/>
    </xf>
    <xf numFmtId="0" fontId="22" fillId="0" borderId="30" xfId="0" applyFont="1" applyBorder="1" applyNumberFormat="1">
      <alignment horizontal="center" vertical="center" wrapText="1"/>
    </xf>
    <xf numFmtId="0" fontId="48" fillId="0" borderId="14" xfId="0" applyFont="1" applyBorder="1" applyNumberFormat="1">
      <alignment horizontal="left" vertical="center" wrapText="1"/>
    </xf>
    <xf numFmtId="0" fontId="48" fillId="0" borderId="15" xfId="0" applyFont="1" applyBorder="1" applyNumberFormat="1">
      <alignment horizontal="left" vertical="center" wrapText="1"/>
    </xf>
    <xf numFmtId="0" fontId="48" fillId="0" borderId="13" xfId="0" applyFont="1" applyBorder="1" applyNumberFormat="1">
      <alignment horizontal="left" vertical="center" wrapText="1"/>
    </xf>
    <xf numFmtId="0" fontId="0" fillId="0" borderId="0" xfId="0" applyFont="1" applyNumberFormat="1">
      <alignment horizontal="left" vertical="top" wrapText="1"/>
    </xf>
    <xf numFmtId="0" fontId="22" fillId="34" borderId="37" xfId="0" applyFont="1" applyFill="1" applyBorder="1" applyNumberFormat="1">
      <alignment horizontal="left" vertical="center" wrapText="1"/>
    </xf>
    <xf numFmtId="0" fontId="22" fillId="34" borderId="19" xfId="0" applyFont="1" applyFill="1" applyBorder="1" applyNumberFormat="1">
      <alignment horizontal="left" vertical="center" wrapText="1"/>
    </xf>
    <xf numFmtId="0" fontId="22" fillId="34" borderId="20" xfId="0" applyFont="1" applyFill="1" applyBorder="1" applyNumberFormat="1">
      <alignment horizontal="left" vertical="center" wrapText="1"/>
    </xf>
    <xf numFmtId="0" fontId="22" fillId="34" borderId="12" xfId="0" applyFont="1" applyFill="1" applyBorder="1" applyNumberFormat="1">
      <alignment horizontal="left" vertical="center" wrapText="1"/>
    </xf>
    <xf numFmtId="0" fontId="48" fillId="0" borderId="12" xfId="0" applyFont="1" applyBorder="1" applyNumberFormat="1">
      <alignment horizontal="left" vertical="center" wrapText="1"/>
    </xf>
    <xf numFmtId="0" fontId="22" fillId="40" borderId="12" xfId="0" applyFont="1" applyFill="1" applyBorder="1" applyNumberFormat="1">
      <alignment horizontal="left" vertical="center" wrapText="1"/>
    </xf>
    <xf numFmtId="504" fontId="0" fillId="39" borderId="23" xfId="0" applyFont="1" applyFill="1" applyBorder="1" applyNumberFormat="1">
      <alignment horizontal="center" vertical="center" wrapText="1"/>
      <protection locked="0"/>
    </xf>
    <xf numFmtId="0" fontId="22" fillId="0" borderId="19" xfId="0" applyFont="1" applyBorder="1" applyNumberFormat="1">
      <alignment horizontal="left" vertical="center" wrapText="1" indent="1"/>
    </xf>
    <xf numFmtId="0" fontId="22" fillId="40" borderId="20" xfId="0" applyFont="1" applyFill="1" applyBorder="1" applyNumberFormat="1">
      <alignment horizontal="left" vertical="center" wrapText="1"/>
    </xf>
    <xf numFmtId="49" fontId="0" fillId="39" borderId="12" xfId="0" applyFont="1" applyFill="1" applyBorder="1" applyNumberFormat="1">
      <alignment horizontal="center" vertical="center" wrapText="1"/>
      <protection locked="0"/>
    </xf>
    <xf numFmtId="0" fontId="22" fillId="0" borderId="12" xfId="0" applyFont="1" applyBorder="1" applyNumberFormat="1">
      <alignment horizontal="center" vertical="center"/>
    </xf>
    <xf numFmtId="0" fontId="22" fillId="0" borderId="14" xfId="0" applyFont="1" applyBorder="1" applyNumberFormat="1">
      <alignment horizontal="center" vertical="center"/>
    </xf>
    <xf numFmtId="0" fontId="22" fillId="0" borderId="12" xfId="0" applyFont="1" applyBorder="1" applyNumberFormat="1">
      <alignment horizontal="center" vertical="center" wrapText="1"/>
    </xf>
    <xf numFmtId="0" fontId="22" fillId="0" borderId="19" xfId="0" applyFont="1" applyBorder="1" applyNumberFormat="1">
      <alignment horizontal="center" vertical="center" wrapText="1"/>
    </xf>
    <xf numFmtId="0" fontId="22" fillId="0" borderId="20" xfId="0" applyFont="1" applyBorder="1" applyNumberFormat="1">
      <alignment horizontal="center" vertical="center" wrapText="1"/>
    </xf>
    <xf numFmtId="0" fontId="22" fillId="0" borderId="27" xfId="0" applyFont="1" applyBorder="1" applyNumberFormat="1">
      <alignment horizontal="center" vertical="center" wrapText="1"/>
    </xf>
    <xf numFmtId="0" fontId="22" fillId="0" borderId="29"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36"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15" xfId="0" applyFont="1" applyBorder="1" applyNumberFormat="1">
      <alignment horizontal="center" vertical="center" wrapText="1"/>
    </xf>
    <xf numFmtId="0" fontId="0" fillId="0" borderId="37" xfId="0" applyFont="1" applyBorder="1" applyNumberFormat="1">
      <alignment horizontal="center" vertical="center" wrapText="1"/>
    </xf>
    <xf numFmtId="0" fontId="0" fillId="0" borderId="20" xfId="0" applyFont="1" applyBorder="1" applyNumberFormat="1">
      <alignment horizontal="center" vertical="center" wrapText="1"/>
    </xf>
    <xf numFmtId="0" fontId="0" fillId="0" borderId="30" xfId="0" applyFont="1" applyBorder="1" applyNumberFormat="1">
      <alignment horizontal="center" vertical="center" wrapText="1"/>
    </xf>
    <xf numFmtId="0" fontId="0" fillId="0" borderId="29" xfId="0" applyFont="1" applyBorder="1" applyNumberFormat="1">
      <alignment horizontal="center" vertical="center" wrapText="1"/>
    </xf>
    <xf numFmtId="0" fontId="22" fillId="0" borderId="22" xfId="0" applyFont="1" applyBorder="1" applyNumberFormat="1">
      <alignment horizontal="center" vertical="center" wrapText="1"/>
    </xf>
    <xf numFmtId="0" fontId="37" fillId="0" borderId="12" xfId="0" applyFont="1" applyBorder="1" applyNumberFormat="1">
      <alignment horizontal="center" vertical="center" wrapText="1"/>
    </xf>
    <xf numFmtId="49" fontId="22" fillId="40" borderId="12" xfId="0" applyFont="1" applyFill="1" applyBorder="1" applyNumberFormat="1">
      <alignment horizontal="left" vertical="center" wrapText="1" indent="1"/>
    </xf>
    <xf numFmtId="0" fontId="0" fillId="35" borderId="37" xfId="0" applyFont="1" applyFill="1" applyBorder="1" applyNumberFormat="1">
      <alignment horizontal="center" vertical="center" wrapText="1"/>
    </xf>
    <xf numFmtId="0" fontId="0" fillId="35" borderId="20" xfId="0" applyFont="1" applyFill="1" applyBorder="1" applyNumberFormat="1">
      <alignment horizontal="center" vertical="center" wrapText="1"/>
    </xf>
    <xf numFmtId="0" fontId="0" fillId="35" borderId="22" xfId="0" applyFont="1" applyFill="1" applyBorder="1" applyNumberFormat="1">
      <alignment horizontal="center" vertical="center" wrapText="1"/>
    </xf>
    <xf numFmtId="0" fontId="0" fillId="35" borderId="0" xfId="0" applyFont="1" applyFill="1" applyNumberFormat="1">
      <alignment horizontal="center" vertical="center" wrapText="1"/>
    </xf>
    <xf numFmtId="0" fontId="0" fillId="35" borderId="24" xfId="0" applyFont="1" applyFill="1" applyBorder="1" applyNumberFormat="1">
      <alignment horizontal="center" vertical="center" wrapText="1"/>
    </xf>
    <xf numFmtId="0" fontId="0" fillId="35" borderId="30" xfId="0" applyFont="1" applyFill="1" applyBorder="1" applyNumberFormat="1">
      <alignment horizontal="center" vertical="center" wrapText="1"/>
    </xf>
    <xf numFmtId="0" fontId="0" fillId="35" borderId="27" xfId="0" applyFont="1" applyFill="1" applyBorder="1" applyNumberFormat="1">
      <alignment horizontal="center" vertical="center" wrapText="1"/>
    </xf>
    <xf numFmtId="0" fontId="0" fillId="35" borderId="29" xfId="0" applyFont="1" applyFill="1" applyBorder="1" applyNumberFormat="1">
      <alignment horizontal="center" vertical="center" wrapText="1"/>
    </xf>
    <xf numFmtId="0" fontId="22" fillId="35" borderId="37" xfId="0" applyFont="1" applyFill="1" applyBorder="1" applyNumberFormat="1">
      <alignment horizontal="center" vertical="center" wrapText="1"/>
    </xf>
    <xf numFmtId="0" fontId="22" fillId="35" borderId="22" xfId="0" applyFont="1" applyFill="1" applyBorder="1" applyNumberFormat="1">
      <alignment horizontal="center" vertical="center" wrapText="1"/>
    </xf>
    <xf numFmtId="0" fontId="22" fillId="35" borderId="30" xfId="0" applyFont="1" applyFill="1" applyBorder="1" applyNumberFormat="1">
      <alignment horizontal="center" vertical="center" wrapText="1"/>
    </xf>
    <xf numFmtId="0" fontId="22" fillId="39" borderId="12" xfId="0" applyFont="1" applyFill="1" applyBorder="1" applyNumberFormat="1">
      <alignment horizontal="center" vertical="center" wrapText="1"/>
      <protection locked="0"/>
    </xf>
    <xf numFmtId="0" fontId="22" fillId="34" borderId="12" xfId="0" applyFont="1" applyFill="1" applyBorder="1" applyNumberFormat="1">
      <alignment horizontal="center" vertical="center" wrapText="1"/>
    </xf>
    <xf numFmtId="0" fontId="22" fillId="35" borderId="17" xfId="0" applyFont="1" applyFill="1" applyBorder="1" applyNumberFormat="1">
      <alignment horizontal="left" vertical="center" wrapText="1"/>
    </xf>
    <xf numFmtId="0" fontId="22" fillId="35" borderId="36" xfId="0" applyFont="1" applyFill="1" applyBorder="1" applyNumberFormat="1">
      <alignment horizontal="left" vertical="center" wrapText="1"/>
    </xf>
    <xf numFmtId="0" fontId="22" fillId="35" borderId="23" xfId="0" applyFont="1" applyFill="1" applyBorder="1" applyNumberFormat="1">
      <alignment horizontal="left" vertical="center" wrapText="1"/>
    </xf>
    <xf numFmtId="49" fontId="22" fillId="39" borderId="17" xfId="0" applyFont="1" applyFill="1" applyBorder="1" applyNumberFormat="1">
      <alignment horizontal="left" vertical="center" wrapText="1" indent="6"/>
      <protection locked="0"/>
    </xf>
    <xf numFmtId="49" fontId="22" fillId="39" borderId="36" xfId="0" applyFont="1" applyFill="1" applyBorder="1" applyNumberFormat="1">
      <alignment horizontal="left" vertical="center" wrapText="1" indent="6"/>
      <protection locked="0"/>
    </xf>
    <xf numFmtId="49" fontId="22" fillId="39" borderId="23" xfId="0" applyFont="1" applyFill="1" applyBorder="1" applyNumberFormat="1">
      <alignment horizontal="left" vertical="center" wrapText="1" indent="6"/>
      <protection locked="0"/>
    </xf>
    <xf numFmtId="0" fontId="48" fillId="0" borderId="24" xfId="0" applyFont="1" applyBorder="1" applyNumberFormat="1">
      <alignment horizontal="center" vertical="top" wrapText="1"/>
    </xf>
    <xf numFmtId="49" fontId="22" fillId="0" borderId="12" xfId="0" applyFont="1" applyBorder="1" applyNumberFormat="1">
      <alignment horizontal="left" vertical="center" wrapText="1" indent="1"/>
    </xf>
    <xf numFmtId="0" fontId="45" fillId="0" borderId="12" xfId="0" applyFont="1" applyBorder="1" applyNumberFormat="1">
      <alignment horizontal="left" vertical="top" wrapText="1"/>
    </xf>
    <xf numFmtId="0" fontId="22" fillId="36" borderId="14" xfId="0" applyFont="1" applyFill="1" applyBorder="1" applyNumberFormat="1">
      <alignment horizontal="left" vertical="center" wrapText="1"/>
      <protection locked="0"/>
    </xf>
    <xf numFmtId="0" fontId="22" fillId="36" borderId="15" xfId="0" applyFont="1" applyFill="1" applyBorder="1" applyNumberFormat="1">
      <alignment horizontal="left" vertical="center" wrapText="1"/>
      <protection locked="0"/>
    </xf>
    <xf numFmtId="0" fontId="22" fillId="36" borderId="13" xfId="0" applyFont="1" applyFill="1" applyBorder="1" applyNumberFormat="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0" fontId="22" fillId="39" borderId="13" xfId="0" applyFont="1" applyFill="1" applyBorder="1" applyNumberFormat="1">
      <alignment horizontal="center" vertical="center" wrapText="1"/>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40" borderId="29" xfId="0" applyFont="1" applyFill="1" applyBorder="1" applyNumberFormat="1">
      <alignment horizontal="center" vertical="center" wrapText="1"/>
    </xf>
    <xf numFmtId="49" fontId="22" fillId="36" borderId="17" xfId="0" applyFont="1" applyFill="1" applyBorder="1" applyNumberFormat="1">
      <alignment horizontal="left" vertical="center" wrapText="1" indent="6"/>
      <protection locked="0"/>
    </xf>
    <xf numFmtId="49" fontId="22" fillId="36" borderId="36" xfId="0" applyFont="1" applyFill="1" applyBorder="1" applyNumberFormat="1">
      <alignment horizontal="left" vertical="center" wrapText="1" indent="6"/>
      <protection locked="0"/>
    </xf>
    <xf numFmtId="49" fontId="22" fillId="36" borderId="23"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0" fontId="48" fillId="0" borderId="19" xfId="0" applyFont="1" applyBorder="1" applyNumberFormat="1">
      <alignment horizontal="left" vertical="center" wrapText="1"/>
    </xf>
    <xf numFmtId="49" fontId="22" fillId="35" borderId="12" xfId="59" applyFont="1" applyFill="1" applyBorder="1" applyNumberFormat="1">
      <alignment horizontal="center" vertical="center" wrapText="1"/>
    </xf>
    <xf numFmtId="0" fontId="22" fillId="0" borderId="12" xfId="0" applyFont="1" applyBorder="1" applyNumberFormat="1">
      <alignment horizontal="center" vertical="center" wrapText="1"/>
    </xf>
    <xf numFmtId="0" fontId="22" fillId="0" borderId="15" xfId="0" applyFont="1" applyBorder="1" applyNumberFormat="1">
      <alignment horizontal="right" vertical="center" wrapText="1" indent="1"/>
    </xf>
    <xf numFmtId="0" fontId="22" fillId="0" borderId="13" xfId="0" applyFont="1" applyBorder="1" applyNumberFormat="1">
      <alignment horizontal="right" vertical="center" wrapText="1" indent="1"/>
    </xf>
    <xf numFmtId="0" fontId="22" fillId="0" borderId="14" xfId="0" applyFont="1" applyBorder="1" applyNumberFormat="1">
      <alignment horizontal="right" vertical="center" wrapText="1"/>
    </xf>
    <xf numFmtId="0" fontId="22" fillId="0" borderId="15" xfId="0" applyFont="1" applyBorder="1" applyNumberFormat="1">
      <alignment horizontal="right" vertical="center" wrapText="1"/>
    </xf>
    <xf numFmtId="49" fontId="91" fillId="46" borderId="0" xfId="0" applyFont="1" applyFill="1" applyNumberFormat="1">
      <alignment horizontal="center" vertical="center" textRotation="90" wrapText="1"/>
    </xf>
    <xf numFmtId="0" fontId="72" fillId="0" borderId="0" xfId="0" applyFont="1" applyNumberFormat="1">
      <alignment horizontal="center" vertical="center" wrapText="1"/>
    </xf>
    <xf numFmtId="49" fontId="91" fillId="46" borderId="0" xfId="0" applyFont="1" applyFill="1" applyNumberFormat="1">
      <alignment horizontal="center" vertical="center" textRotation="90" wrapText="1"/>
    </xf>
    <xf numFmtId="0" fontId="48" fillId="0" borderId="0" xfId="0" applyFont="1" applyNumberFormat="1">
      <alignment horizontal="center" vertical="center" wrapText="1"/>
    </xf>
    <xf numFmtId="0" fontId="47" fillId="0" borderId="0" xfId="0" applyFont="1" applyNumberFormat="1">
      <alignment horizontal="center" vertical="top"/>
    </xf>
    <xf numFmtId="0" fontId="22" fillId="0" borderId="23" xfId="0" applyFont="1" applyBorder="1" applyNumberFormat="1">
      <alignment horizontal="left" vertical="center" wrapText="1"/>
    </xf>
    <xf numFmtId="0" fontId="0" fillId="0" borderId="14" xfId="0" applyFont="1" applyBorder="1" applyNumberFormat="1">
      <alignment horizontal="right" vertical="center" wrapText="1" indent="1"/>
    </xf>
    <xf numFmtId="0" fontId="0" fillId="0" borderId="15" xfId="0" applyFont="1" applyBorder="1" applyNumberFormat="1">
      <alignment horizontal="right" vertical="center" wrapText="1" indent="1"/>
    </xf>
    <xf numFmtId="0" fontId="0" fillId="0" borderId="13" xfId="0" applyFont="1" applyBorder="1" applyNumberFormat="1">
      <alignment horizontal="right" vertical="center" wrapText="1" indent="1"/>
    </xf>
    <xf numFmtId="49" fontId="48" fillId="0" borderId="17" xfId="0" applyFont="1" applyBorder="1" applyNumberFormat="1">
      <alignment horizontal="center" vertical="center" wrapText="1"/>
    </xf>
    <xf numFmtId="49" fontId="48" fillId="0" borderId="36" xfId="0" applyFont="1" applyBorder="1" applyNumberFormat="1">
      <alignment horizontal="center" vertical="center" wrapText="1"/>
    </xf>
    <xf numFmtId="49" fontId="48" fillId="0" borderId="23" xfId="0" applyFont="1" applyBorder="1" applyNumberFormat="1">
      <alignment horizontal="center" vertical="center" wrapText="1"/>
    </xf>
    <xf numFmtId="0" fontId="0" fillId="34" borderId="12" xfId="0" applyFont="1" applyFill="1" applyBorder="1" applyNumberFormat="1">
      <alignment horizontal="left" vertical="center" wrapText="1" indent="1"/>
    </xf>
    <xf numFmtId="0" fontId="45" fillId="0" borderId="0" xfId="0" applyFont="1" applyNumberFormat="1">
      <alignment horizontal="left" vertical="top" wrapText="1"/>
    </xf>
    <xf numFmtId="0" fontId="22" fillId="0" borderId="0" xfId="0" applyFont="1" applyNumberFormat="1">
      <alignment horizontal="left" vertical="top" wrapText="1"/>
    </xf>
    <xf numFmtId="0" fontId="22" fillId="35" borderId="14" xfId="0" applyFont="1" applyFill="1" applyBorder="1" applyNumberFormat="1">
      <alignment horizontal="center" vertical="center" wrapText="1"/>
    </xf>
    <xf numFmtId="0" fontId="22" fillId="35" borderId="15" xfId="0" applyFont="1" applyFill="1" applyBorder="1" applyNumberFormat="1">
      <alignment horizontal="center" vertical="center" wrapText="1"/>
    </xf>
    <xf numFmtId="0" fontId="22" fillId="35" borderId="20" xfId="0" applyFont="1" applyFill="1" applyBorder="1" applyNumberFormat="1">
      <alignment horizontal="center" vertical="center" wrapText="1"/>
    </xf>
    <xf numFmtId="0" fontId="22" fillId="35" borderId="12" xfId="0" applyFont="1" applyFill="1" applyBorder="1" applyNumberFormat="1">
      <alignment horizontal="center" vertical="center"/>
    </xf>
    <xf numFmtId="0" fontId="48" fillId="0" borderId="15" xfId="0" applyFont="1" applyBorder="1" applyNumberFormat="1">
      <alignment horizontal="right" vertical="center" wrapText="1" indent="1"/>
    </xf>
    <xf numFmtId="0" fontId="48" fillId="0" borderId="13" xfId="0" applyFont="1" applyBorder="1" applyNumberFormat="1">
      <alignment horizontal="right" vertical="center" wrapText="1" indent="1"/>
    </xf>
    <xf numFmtId="49" fontId="22" fillId="57" borderId="0" xfId="0" applyFont="1" applyFill="1" applyNumberFormat="1">
      <alignment horizontal="center" vertical="center" textRotation="90" wrapText="1"/>
    </xf>
    <xf numFmtId="0" fontId="22" fillId="34" borderId="14" xfId="0" applyFont="1" applyFill="1" applyBorder="1" applyNumberFormat="1">
      <alignment horizontal="left" vertical="top" wrapText="1"/>
    </xf>
    <xf numFmtId="0" fontId="22" fillId="34" borderId="13" xfId="0" applyFont="1" applyFill="1" applyBorder="1" applyNumberFormat="1">
      <alignment horizontal="left" vertical="top" wrapText="1"/>
    </xf>
    <xf numFmtId="0" fontId="22" fillId="34" borderId="14" xfId="0" applyFont="1" applyFill="1" applyBorder="1" applyNumberFormat="1">
      <alignment horizontal="left" vertical="top" wrapText="1" indent="1"/>
    </xf>
    <xf numFmtId="0" fontId="22" fillId="34" borderId="13" xfId="0" applyFont="1" applyFill="1" applyBorder="1" applyNumberFormat="1">
      <alignment horizontal="left" vertical="top" wrapText="1" indent="1"/>
    </xf>
    <xf numFmtId="49" fontId="22" fillId="0" borderId="0" xfId="0" applyFont="1" applyNumberFormat="1">
      <alignment vertical="center" wrapText="1"/>
    </xf>
    <xf numFmtId="0" fontId="36" fillId="0" borderId="24" xfId="0" applyFont="1" applyBorder="1" applyNumberFormat="1">
      <alignment horizontal="center" vertical="center" wrapText="1"/>
    </xf>
    <xf numFmtId="0" fontId="0" fillId="35" borderId="14" xfId="0" applyFont="1" applyFill="1" applyBorder="1" applyNumberFormat="1">
      <alignment horizontal="center" vertical="center" wrapText="1"/>
    </xf>
    <xf numFmtId="0" fontId="0" fillId="35" borderId="15" xfId="0" applyFont="1" applyFill="1" applyBorder="1" applyNumberFormat="1">
      <alignment horizontal="center" vertical="center" wrapText="1"/>
    </xf>
    <xf numFmtId="0" fontId="0" fillId="35" borderId="13" xfId="0" applyFont="1" applyFill="1" applyBorder="1" applyNumberFormat="1">
      <alignment horizontal="center" vertical="center" wrapText="1"/>
    </xf>
    <xf numFmtId="49" fontId="0" fillId="0" borderId="12" xfId="0" applyFont="1" applyBorder="1" applyNumberFormat="1">
      <alignment horizontal="center" vertical="center" wrapText="1"/>
    </xf>
    <xf numFmtId="0" fontId="0" fillId="0" borderId="12" xfId="0" applyFont="1" applyBorder="1" applyNumberFormat="1">
      <alignment horizontal="left" vertical="center" wrapText="1" indent="1"/>
    </xf>
    <xf numFmtId="49" fontId="22" fillId="0" borderId="12" xfId="0" applyFont="1" applyBorder="1" applyNumberFormat="1">
      <alignment horizontal="left" vertical="center" wrapText="1"/>
    </xf>
    <xf numFmtId="49" fontId="22" fillId="0" borderId="14" xfId="0" applyFont="1" applyBorder="1" applyNumberFormat="1">
      <alignment horizontal="center" vertical="center" wrapText="1"/>
    </xf>
    <xf numFmtId="49" fontId="48" fillId="0" borderId="12" xfId="0" applyFont="1" applyBorder="1" applyNumberFormat="1">
      <alignment horizontal="center" vertical="center" wrapText="1"/>
    </xf>
    <xf numFmtId="0" fontId="22" fillId="0" borderId="0" xfId="0" applyFont="1" applyNumberFormat="1">
      <alignment horizontal="left" vertical="center" wrapText="1"/>
    </xf>
    <xf numFmtId="0" fontId="22" fillId="35" borderId="12" xfId="0" applyFont="1" applyFill="1" applyBorder="1" applyNumberFormat="1">
      <alignment horizontal="center" vertical="center" wrapText="1"/>
    </xf>
    <xf numFmtId="0" fontId="22" fillId="35" borderId="37" xfId="0" applyFont="1" applyFill="1" applyBorder="1" applyNumberFormat="1">
      <alignment horizontal="center" vertical="center" wrapText="1"/>
    </xf>
    <xf numFmtId="0" fontId="22" fillId="35" borderId="20" xfId="0" applyFont="1" applyFill="1" applyBorder="1" applyNumberFormat="1">
      <alignment horizontal="center" vertical="center" wrapText="1"/>
    </xf>
    <xf numFmtId="0" fontId="22" fillId="35" borderId="22" xfId="0" applyFont="1" applyFill="1" applyBorder="1" applyNumberFormat="1">
      <alignment horizontal="center" vertical="center" wrapText="1"/>
    </xf>
    <xf numFmtId="0" fontId="22" fillId="35" borderId="24" xfId="0" applyFont="1" applyFill="1" applyBorder="1" applyNumberFormat="1">
      <alignment horizontal="center" vertical="center" wrapText="1"/>
    </xf>
    <xf numFmtId="0" fontId="22" fillId="35" borderId="30" xfId="0" applyFont="1" applyFill="1" applyBorder="1" applyNumberFormat="1">
      <alignment horizontal="center" vertical="center" wrapText="1"/>
    </xf>
    <xf numFmtId="0" fontId="22" fillId="35" borderId="29" xfId="0" applyFont="1" applyFill="1" applyBorder="1" applyNumberFormat="1">
      <alignment horizontal="center" vertical="center" wrapText="1"/>
    </xf>
    <xf numFmtId="0" fontId="22" fillId="0" borderId="60" xfId="0" applyFont="1" applyBorder="1" applyNumberFormat="1">
      <alignment horizontal="center" vertical="center"/>
    </xf>
    <xf numFmtId="0" fontId="22" fillId="0" borderId="61" xfId="0" applyFont="1" applyBorder="1" applyNumberFormat="1">
      <alignment horizontal="center" vertical="center"/>
    </xf>
    <xf numFmtId="0" fontId="22" fillId="0" borderId="67" xfId="0" applyFont="1" applyBorder="1" applyNumberFormat="1">
      <alignment horizontal="center" vertical="center"/>
    </xf>
    <xf numFmtId="0" fontId="0" fillId="0" borderId="12" xfId="0" applyFont="1" applyBorder="1" applyNumberFormat="1">
      <alignment horizontal="center" vertical="center" wrapText="1"/>
    </xf>
    <xf numFmtId="0" fontId="22" fillId="0" borderId="73" xfId="0" applyFont="1" applyBorder="1" applyNumberFormat="1">
      <alignment horizontal="center" vertical="center"/>
    </xf>
    <xf numFmtId="0" fontId="22" fillId="0" borderId="43" xfId="0" applyFont="1" applyBorder="1" applyNumberFormat="1">
      <alignment horizontal="center" vertical="center"/>
    </xf>
    <xf numFmtId="49" fontId="0" fillId="0" borderId="12" xfId="0" applyFont="1" applyBorder="1" applyNumberFormat="1">
      <alignment vertical="center" wrapText="1"/>
    </xf>
    <xf numFmtId="49" fontId="0" fillId="0" borderId="12" xfId="0" applyFont="1" applyBorder="1" applyNumberFormat="1">
      <alignment horizontal="left" vertical="center" wrapText="1"/>
    </xf>
    <xf numFmtId="49" fontId="0" fillId="0" borderId="17" xfId="0" applyFont="1" applyBorder="1" applyNumberFormat="1">
      <alignment horizontal="center" vertical="center" wrapText="1"/>
    </xf>
    <xf numFmtId="49" fontId="0" fillId="0" borderId="36" xfId="0" applyFont="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wrapText="1"/>
    </xf>
    <xf numFmtId="0" fontId="0" fillId="34" borderId="12" xfId="0" applyFont="1" applyFill="1" applyBorder="1" applyNumberFormat="1">
      <alignment horizontal="center" vertical="center" wrapText="1"/>
    </xf>
    <xf numFmtId="49" fontId="0" fillId="0" borderId="12" xfId="0" applyFont="1" applyBorder="1" applyNumberFormat="1">
      <alignment horizontal="center" vertical="center"/>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0" fontId="22" fillId="0" borderId="20" xfId="0" applyFont="1" applyBorder="1" applyNumberFormat="1">
      <alignment horizontal="left" vertical="top" wrapText="1"/>
    </xf>
    <xf numFmtId="0" fontId="22" fillId="35" borderId="13" xfId="0" applyFont="1" applyFill="1" applyBorder="1" applyNumberFormat="1">
      <alignment horizontal="center" vertical="center" wrapText="1"/>
    </xf>
    <xf numFmtId="0" fontId="22" fillId="41" borderId="12" xfId="0" applyFont="1" applyFill="1" applyBorder="1" applyNumberFormat="1">
      <alignment horizontal="center" vertical="center" wrapText="1"/>
    </xf>
    <xf numFmtId="0" fontId="22" fillId="35" borderId="29" xfId="0" applyFont="1" applyFill="1" applyBorder="1" applyNumberFormat="1">
      <alignment horizontal="center" vertical="center" wrapText="1"/>
    </xf>
    <xf numFmtId="0" fontId="22" fillId="41" borderId="13"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49" fontId="47" fillId="47" borderId="14" xfId="0" applyFont="1" applyFill="1" applyBorder="1" applyNumberFormat="1">
      <alignment horizontal="center" vertical="center" wrapText="1"/>
    </xf>
    <xf numFmtId="49" fontId="47" fillId="47" borderId="15" xfId="0" applyFont="1" applyFill="1" applyBorder="1" applyNumberFormat="1">
      <alignment horizontal="center" vertical="center" wrapText="1"/>
    </xf>
    <xf numFmtId="49" fontId="47" fillId="47" borderId="13" xfId="0" applyFont="1" applyFill="1" applyBorder="1" applyNumberFormat="1">
      <alignment horizontal="center" vertical="center" wrapText="1"/>
    </xf>
    <xf numFmtId="49" fontId="47" fillId="50" borderId="14" xfId="0" applyFont="1" applyFill="1" applyBorder="1" applyNumberFormat="1">
      <alignment horizontal="center" vertical="center" wrapText="1"/>
    </xf>
    <xf numFmtId="49" fontId="47" fillId="50" borderId="15" xfId="0" applyFont="1" applyFill="1" applyBorder="1" applyNumberFormat="1">
      <alignment horizontal="center" vertical="center" wrapText="1"/>
    </xf>
    <xf numFmtId="49" fontId="47" fillId="50" borderId="13"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41" borderId="27" xfId="0" applyFont="1" applyFill="1" applyBorder="1" applyNumberFormat="1">
      <alignment horizontal="center" vertical="center" wrapText="1"/>
    </xf>
    <xf numFmtId="0" fontId="22" fillId="49" borderId="14" xfId="0" applyFont="1" applyFill="1" applyBorder="1" applyNumberFormat="1">
      <alignment horizontal="center" vertical="center" wrapText="1"/>
    </xf>
    <xf numFmtId="0" fontId="22" fillId="49" borderId="15" xfId="0" applyFont="1" applyFill="1" applyBorder="1" applyNumberFormat="1">
      <alignment horizontal="center" vertical="center" wrapText="1"/>
    </xf>
    <xf numFmtId="0" fontId="22" fillId="49" borderId="13" xfId="0" applyFont="1" applyFill="1" applyBorder="1" applyNumberFormat="1">
      <alignment horizontal="center" vertical="center" wrapText="1"/>
    </xf>
    <xf numFmtId="0" fontId="22" fillId="41" borderId="14" xfId="0" applyFont="1" applyFill="1" applyBorder="1" applyNumberFormat="1">
      <alignment horizontal="center" vertical="center" wrapText="1"/>
    </xf>
    <xf numFmtId="0" fontId="22" fillId="0" borderId="20" xfId="0" applyFont="1" applyBorder="1" applyNumberFormat="1">
      <alignment horizontal="left" vertical="top" wrapText="1" indent="1"/>
    </xf>
    <xf numFmtId="0" fontId="22" fillId="0" borderId="17" xfId="0" applyFont="1" applyBorder="1" applyNumberFormat="1">
      <alignment horizontal="left" vertical="top" wrapText="1" indent="1"/>
    </xf>
    <xf numFmtId="0" fontId="22" fillId="0" borderId="37" xfId="0" applyFont="1" applyBorder="1" applyNumberFormat="1">
      <alignment horizontal="left" vertical="top" wrapText="1" indent="1"/>
    </xf>
    <xf numFmtId="0" fontId="22" fillId="0" borderId="29" xfId="0" applyFont="1" applyBorder="1" applyNumberFormat="1">
      <alignment horizontal="left" vertical="center" wrapText="1" indent="1"/>
    </xf>
    <xf numFmtId="0" fontId="22" fillId="0" borderId="23" xfId="0" applyFont="1" applyBorder="1" applyNumberFormat="1">
      <alignment horizontal="left" vertical="center" wrapText="1" indent="1"/>
    </xf>
    <xf numFmtId="0" fontId="22" fillId="0" borderId="30" xfId="0" applyFont="1" applyBorder="1" applyNumberFormat="1">
      <alignment horizontal="left" vertical="center" wrapText="1" indent="1"/>
    </xf>
    <xf numFmtId="0" fontId="0" fillId="0" borderId="12" xfId="0" applyFont="1" applyBorder="1" applyNumberFormat="1">
      <alignment horizontal="left" vertical="center" wrapText="1"/>
    </xf>
    <xf numFmtId="0" fontId="0" fillId="0" borderId="12" xfId="0" applyFont="1" applyBorder="1" applyNumberFormat="1">
      <alignment horizontal="left" vertical="center" wrapText="1"/>
    </xf>
    <xf numFmtId="0" fontId="39" fillId="35" borderId="24" xfId="0" applyFont="1" applyFill="1" applyBorder="1" applyNumberFormat="1">
      <alignment horizontal="center" vertical="top" wrapText="1"/>
    </xf>
    <xf numFmtId="49" fontId="0" fillId="35" borderId="23" xfId="0" applyFont="1" applyFill="1" applyBorder="1" applyNumberFormat="1">
      <alignment horizontal="center" vertical="center" wrapText="1"/>
    </xf>
    <xf numFmtId="0" fontId="0" fillId="34" borderId="23" xfId="0" applyFont="1" applyFill="1" applyBorder="1" applyNumberFormat="1">
      <alignment horizontal="left" vertical="center" wrapText="1" indent="1"/>
    </xf>
    <xf numFmtId="0" fontId="22" fillId="0" borderId="15" xfId="0" applyFont="1" applyBorder="1" applyNumberFormat="1">
      <alignment horizontal="left" vertical="top" wrapText="1" indent="1"/>
    </xf>
    <xf numFmtId="0" fontId="39" fillId="35" borderId="0" xfId="0" applyFont="1" applyFill="1" applyNumberFormat="1">
      <alignment horizontal="center" vertical="top" wrapText="1"/>
    </xf>
    <xf numFmtId="49" fontId="36" fillId="35" borderId="19" xfId="0" applyFont="1" applyFill="1" applyBorder="1" applyNumberFormat="1">
      <alignment horizontal="center" vertical="center" wrapText="1"/>
    </xf>
    <xf numFmtId="0" fontId="0" fillId="0" borderId="17" xfId="0" applyFont="1" applyBorder="1" applyNumberFormat="1">
      <alignment horizontal="left" vertical="center" wrapText="1"/>
    </xf>
    <xf numFmtId="0" fontId="0" fillId="0" borderId="17" xfId="0" applyFont="1" applyBorder="1" applyNumberFormat="1">
      <alignment horizontal="left" vertical="center" wrapText="1"/>
    </xf>
    <xf numFmtId="0" fontId="0" fillId="34" borderId="14" xfId="0" applyFont="1" applyFill="1" applyBorder="1" applyNumberFormat="1">
      <alignment horizontal="left" vertical="center" wrapText="1" indent="1"/>
    </xf>
    <xf numFmtId="0" fontId="0" fillId="35" borderId="17" xfId="0" applyFont="1" applyFill="1" applyBorder="1" applyNumberFormat="1">
      <alignment horizontal="left" vertical="top" wrapText="1"/>
    </xf>
    <xf numFmtId="0" fontId="0" fillId="35" borderId="36" xfId="0" applyFont="1" applyFill="1" applyBorder="1" applyNumberFormat="1">
      <alignment horizontal="left" vertical="top" wrapText="1"/>
    </xf>
    <xf numFmtId="0" fontId="0" fillId="35" borderId="23" xfId="0" applyFont="1" applyFill="1" applyBorder="1" applyNumberFormat="1">
      <alignment horizontal="left" vertical="top" wrapText="1"/>
    </xf>
    <xf numFmtId="4"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4" fontId="22" fillId="0" borderId="36" xfId="0" applyFont="1" applyBorder="1" applyNumberFormat="1">
      <alignment horizontal="center" vertical="center" wrapText="1"/>
    </xf>
    <xf numFmtId="0" fontId="22" fillId="0" borderId="29" xfId="0" applyFont="1" applyBorder="1" applyNumberFormat="1">
      <alignment horizontal="left" vertical="top" wrapText="1"/>
    </xf>
    <xf numFmtId="501" fontId="22" fillId="0" borderId="17" xfId="0" applyFont="1" applyBorder="1" applyNumberFormat="1">
      <alignment horizontal="center" vertical="center" wrapText="1"/>
    </xf>
    <xf numFmtId="501" fontId="22" fillId="0" borderId="23" xfId="0" applyFont="1" applyBorder="1" applyNumberFormat="1">
      <alignment horizontal="center" vertical="center" wrapText="1"/>
    </xf>
    <xf numFmtId="501" fontId="22" fillId="0" borderId="14" xfId="0" applyFont="1" applyBorder="1" applyNumberFormat="1">
      <alignment horizontal="center" vertical="center" wrapText="1"/>
    </xf>
    <xf numFmtId="501" fontId="22" fillId="0" borderId="15" xfId="0" applyFont="1" applyBorder="1" applyNumberFormat="1">
      <alignment horizontal="center" vertical="center" wrapText="1"/>
    </xf>
    <xf numFmtId="501" fontId="22" fillId="0" borderId="13" xfId="0" applyFont="1" applyBorder="1" applyNumberFormat="1">
      <alignment horizontal="center" vertical="center" wrapTex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22" fillId="34" borderId="29" xfId="0" applyFont="1" applyFill="1" applyBorder="1" applyNumberFormat="1">
      <alignment horizontal="left" vertical="center" wrapText="1"/>
    </xf>
    <xf numFmtId="14" fontId="22" fillId="40" borderId="23" xfId="0" applyFont="1" applyFill="1" applyBorder="1" applyNumberFormat="1">
      <alignment horizontal="left" vertical="center" wrapText="1"/>
    </xf>
    <xf numFmtId="49" fontId="22" fillId="0" borderId="12" xfId="0" applyFont="1" applyBorder="1" applyNumberFormat="1">
      <alignment horizontal="left" vertical="top" wrapText="1"/>
    </xf>
    <xf numFmtId="49" fontId="127" fillId="0" borderId="12" xfId="0" applyFont="1" applyBorder="1" applyNumberFormat="1">
      <alignment horizontal="left" vertical="top" wrapText="1"/>
    </xf>
    <xf numFmtId="0" fontId="22" fillId="0" borderId="15" xfId="0" applyFont="1" applyBorder="1" applyNumberFormat="1">
      <alignment horizontal="left" vertical="center" wrapText="1"/>
    </xf>
    <xf numFmtId="501" fontId="22" fillId="0" borderId="36" xfId="0" applyFont="1" applyBorder="1" applyNumberFormat="1">
      <alignment horizontal="center" vertical="center" wrapText="1"/>
    </xf>
    <xf numFmtId="501" fontId="22" fillId="0" borderId="12" xfId="0" applyFont="1" applyBorder="1" applyNumberFormat="1">
      <alignment horizontal="center" vertical="center" wrapText="1"/>
    </xf>
    <xf numFmtId="501" fontId="45" fillId="0" borderId="19" xfId="0" applyFont="1" applyBorder="1" applyNumberFormat="1">
      <alignment horizontal="center" vertical="center" wrapText="1"/>
    </xf>
    <xf numFmtId="49" fontId="22" fillId="40" borderId="30" xfId="0" applyFont="1" applyFill="1" applyBorder="1" applyNumberFormat="1">
      <alignment horizontal="left" vertical="center" wrapText="1"/>
    </xf>
    <xf numFmtId="49" fontId="22" fillId="40" borderId="23" xfId="0" applyFont="1" applyFill="1" applyBorder="1" applyNumberFormat="1">
      <alignment horizontal="left" vertical="center" wrapText="1"/>
    </xf>
    <xf numFmtId="49" fontId="22" fillId="0" borderId="0" xfId="0" applyFont="1" applyNumberFormat="1">
      <alignment horizontal="left" vertical="top" wrapText="1"/>
    </xf>
    <xf numFmtId="0" fontId="22" fillId="0" borderId="13" xfId="0" applyFont="1" applyBorder="1" applyNumberFormat="1">
      <alignment horizontal="left" vertical="center" wrapText="1" indent="1"/>
    </xf>
    <xf numFmtId="0" fontId="22" fillId="0" borderId="14" xfId="0" applyFont="1" applyBorder="1" applyNumberFormat="1">
      <alignment horizontal="left" vertical="center" wrapText="1" indent="1"/>
    </xf>
    <xf numFmtId="49" fontId="22" fillId="0" borderId="0" xfId="0" applyFont="1" applyNumberFormat="1">
      <alignment horizontal="left" vertical="top" wrapText="1"/>
    </xf>
    <xf numFmtId="49" fontId="0" fillId="0" borderId="15" xfId="0" applyFont="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0" fillId="0" borderId="12" xfId="0" applyFont="1" applyBorder="1" applyNumberFormat="1">
      <alignment vertical="top"/>
    </xf>
    <xf numFmtId="0" fontId="0" fillId="40" borderId="12" xfId="0" applyFont="1" applyFill="1" applyBorder="1" applyNumberFormat="1">
      <alignment horizontal="left" vertical="center" wrapText="1"/>
    </xf>
    <xf numFmtId="49" fontId="0" fillId="40" borderId="12" xfId="0" applyFont="1" applyFill="1" applyBorder="1" applyNumberFormat="1">
      <alignment horizontal="left" vertical="center" wrapText="1"/>
    </xf>
    <xf numFmtId="3"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49" fontId="123" fillId="0" borderId="12" xfId="0" applyFont="1" applyBorder="1" applyNumberFormat="1">
      <alignment horizontal="center" vertical="center" wrapText="1"/>
    </xf>
    <xf numFmtId="0" fontId="45" fillId="0" borderId="13" xfId="0" applyFont="1" applyBorder="1" applyNumberFormat="1">
      <alignment horizontal="center" vertical="center"/>
    </xf>
    <xf numFmtId="49" fontId="22" fillId="40" borderId="17" xfId="0" applyFont="1" applyFill="1" applyBorder="1" applyNumberFormat="1">
      <alignment horizontal="left" vertical="center" wrapText="1" indent="1"/>
    </xf>
    <xf numFmtId="49" fontId="22" fillId="40" borderId="36" xfId="0" applyFont="1" applyFill="1" applyBorder="1" applyNumberFormat="1">
      <alignment horizontal="left" vertical="center" wrapText="1" indent="1"/>
    </xf>
    <xf numFmtId="49" fontId="22" fillId="40" borderId="23"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22" fillId="34" borderId="12" xfId="0" applyFont="1" applyFill="1" applyBorder="1" applyNumberFormat="1">
      <alignment horizontal="left" vertical="center" wrapText="1"/>
    </xf>
    <xf numFmtId="49" fontId="22" fillId="0" borderId="13" xfId="0" applyFont="1" applyBorder="1" applyNumberFormat="1">
      <alignment horizontal="center" vertical="center" wrapText="1"/>
    </xf>
    <xf numFmtId="49" fontId="22" fillId="40" borderId="13" xfId="0" applyFont="1" applyFill="1" applyBorder="1" applyNumberFormat="1">
      <alignment horizontal="left" vertical="center" wrapText="1"/>
    </xf>
    <xf numFmtId="49" fontId="22" fillId="39" borderId="12" xfId="0" applyFont="1" applyFill="1" applyBorder="1" applyNumberFormat="1">
      <alignment horizontal="left" vertical="center" wrapText="1"/>
      <protection locked="0"/>
    </xf>
    <xf numFmtId="0" fontId="40" fillId="37" borderId="15" xfId="0" applyFont="1" applyFill="1" applyBorder="1" applyNumberFormat="1">
      <alignment horizontal="left" vertical="center"/>
    </xf>
    <xf numFmtId="0" fontId="40" fillId="37" borderId="13" xfId="0" applyFont="1" applyFill="1" applyBorder="1" applyNumberFormat="1">
      <alignment horizontal="left" vertical="center"/>
    </xf>
    <xf numFmtId="0" fontId="40" fillId="37" borderId="19" xfId="0" applyFont="1" applyFill="1" applyBorder="1" applyNumberFormat="1">
      <alignment horizontal="left" vertical="center"/>
    </xf>
    <xf numFmtId="0" fontId="40" fillId="37" borderId="20" xfId="0" applyFont="1" applyFill="1" applyBorder="1" applyNumberFormat="1">
      <alignment horizontal="left" vertical="center"/>
    </xf>
    <xf numFmtId="49" fontId="22" fillId="39" borderId="17" xfId="0" applyFont="1" applyFill="1" applyBorder="1" applyNumberFormat="1">
      <alignment horizontal="left" vertical="center" wrapText="1"/>
      <protection locked="0"/>
    </xf>
    <xf numFmtId="49" fontId="22" fillId="0" borderId="36" xfId="0" applyFont="1" applyBorder="1" applyNumberFormat="1">
      <alignment horizontal="center" vertical="center"/>
    </xf>
    <xf numFmtId="0" fontId="22" fillId="40" borderId="17" xfId="0" applyFont="1" applyFill="1" applyBorder="1" applyNumberFormat="1">
      <alignment horizontal="left" vertical="center" wrapText="1"/>
    </xf>
    <xf numFmtId="0" fontId="22" fillId="40" borderId="36" xfId="0" applyFont="1" applyFill="1" applyBorder="1" applyNumberFormat="1">
      <alignment horizontal="left" vertical="center" wrapText="1"/>
    </xf>
    <xf numFmtId="49" fontId="22" fillId="40" borderId="17" xfId="0" applyFont="1" applyFill="1" applyBorder="1" applyNumberFormat="1">
      <alignment horizontal="left" vertical="center" wrapText="1"/>
    </xf>
    <xf numFmtId="0" fontId="22" fillId="0" borderId="24" xfId="0" applyFont="1" applyBorder="1" applyNumberFormat="1">
      <alignment horizontal="center" vertical="center"/>
    </xf>
    <xf numFmtId="49" fontId="22" fillId="36" borderId="17" xfId="0" applyFont="1" applyFill="1" applyBorder="1" applyNumberFormat="1">
      <alignment horizontal="left" vertical="center" wrapText="1"/>
      <protection locked="0"/>
    </xf>
    <xf numFmtId="0" fontId="0" fillId="0" borderId="12" xfId="0" applyFont="1" applyBorder="1" applyNumberFormat="1">
      <alignment horizontal="center" vertical="center"/>
    </xf>
    <xf numFmtId="49" fontId="0" fillId="0" borderId="12" xfId="0" applyFont="1" applyBorder="1" applyNumberFormat="1">
      <alignment horizontal="left" vertical="top"/>
    </xf>
    <xf numFmtId="0" fontId="22" fillId="40" borderId="12" xfId="0" applyFont="1" applyFill="1" applyBorder="1" applyNumberFormat="1">
      <alignment horizontal="left" vertical="top" wrapText="1"/>
    </xf>
    <xf numFmtId="49" fontId="0" fillId="40" borderId="12" xfId="0" applyFont="1" applyFill="1" applyBorder="1" applyNumberFormat="1">
      <alignment horizontal="left" vertical="top"/>
    </xf>
    <xf numFmtId="49" fontId="0" fillId="36" borderId="12" xfId="0" applyFont="1" applyFill="1" applyBorder="1" applyNumberFormat="1">
      <alignment horizontal="left" vertical="top"/>
      <protection locked="0"/>
    </xf>
    <xf numFmtId="49" fontId="47" fillId="0" borderId="14" xfId="0" applyFont="1" applyBorder="1" applyNumberFormat="1">
      <alignment horizontal="center" vertical="center" wrapText="1"/>
    </xf>
    <xf numFmtId="49" fontId="40" fillId="37" borderId="51" xfId="0" applyFont="1" applyFill="1" applyBorder="1" applyNumberFormat="1">
      <alignment horizontal="left" vertical="center" indent="1"/>
    </xf>
    <xf numFmtId="49" fontId="22" fillId="34" borderId="12" xfId="0" applyFont="1" applyFill="1" applyBorder="1" applyNumberFormat="1">
      <alignment horizontal="center" vertical="center" wrapText="1"/>
    </xf>
    <xf numFmtId="49" fontId="22" fillId="34" borderId="74" xfId="0" applyFont="1" applyFill="1" applyBorder="1" applyNumberFormat="1">
      <alignment horizontal="center" vertical="center" wrapText="1"/>
    </xf>
    <xf numFmtId="3" fontId="47" fillId="0" borderId="12" xfId="0" applyFont="1" applyBorder="1" applyNumberFormat="1">
      <alignment horizontal="center" vertical="center" wrapText="1"/>
    </xf>
    <xf numFmtId="49" fontId="47" fillId="0" borderId="12" xfId="0" applyFont="1" applyBorder="1" applyNumberFormat="1">
      <alignment horizontal="left" vertical="center" wrapText="1"/>
    </xf>
    <xf numFmtId="49" fontId="47" fillId="0" borderId="13" xfId="0" applyFont="1" applyBorder="1" applyNumberFormat="1">
      <alignment horizontal="center" vertical="center" wrapText="1"/>
    </xf>
    <xf numFmtId="49" fontId="47" fillId="0" borderId="13" xfId="0" applyFont="1" applyBorder="1" applyNumberFormat="1">
      <alignment horizontal="left" vertical="center" wrapText="1"/>
    </xf>
    <xf numFmtId="49" fontId="47" fillId="0" borderId="12" xfId="0" applyFont="1" applyBorder="1" applyNumberFormat="1">
      <alignment horizontal="left" vertical="center" wrapText="1"/>
    </xf>
    <xf numFmtId="49" fontId="125" fillId="0" borderId="13" xfId="0" applyFont="1" applyBorder="1" applyNumberFormat="1">
      <alignment horizontal="center" vertical="center" wrapText="1"/>
    </xf>
    <xf numFmtId="0" fontId="94" fillId="0" borderId="12" xfId="0" applyFont="1" applyBorder="1" applyNumberFormat="1">
      <alignment horizontal="center" vertical="center"/>
    </xf>
    <xf numFmtId="49" fontId="22" fillId="40" borderId="12" xfId="0" applyFont="1" applyFill="1" applyBorder="1" applyNumberFormat="1">
      <alignment horizontal="center" vertical="top" wrapText="1"/>
    </xf>
    <xf numFmtId="49" fontId="22" fillId="40" borderId="14" xfId="0" applyFont="1" applyFill="1" applyBorder="1" applyNumberFormat="1">
      <alignment horizontal="center" vertical="top" wrapText="1"/>
    </xf>
    <xf numFmtId="0" fontId="22" fillId="36" borderId="12" xfId="0" applyFont="1" applyFill="1" applyBorder="1" applyNumberFormat="1">
      <alignment horizontal="left" vertical="top" wrapText="1"/>
      <protection locked="0"/>
    </xf>
    <xf numFmtId="504" fontId="0" fillId="36"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39" borderId="12" xfId="0" applyFont="1" applyFill="1" applyBorder="1" applyNumberFormat="1">
      <alignment horizontal="left" vertical="top" wrapText="1"/>
      <protection locked="0"/>
    </xf>
    <xf numFmtId="49" fontId="0" fillId="34" borderId="12" xfId="0" applyFont="1" applyFill="1" applyBorder="1" applyNumberFormat="1">
      <alignment horizontal="center" vertical="top" wrapText="1"/>
    </xf>
    <xf numFmtId="0" fontId="22" fillId="34" borderId="12" xfId="0" applyFont="1" applyFill="1" applyBorder="1" applyNumberFormat="1">
      <alignment horizontal="center" vertical="top" wrapText="1"/>
    </xf>
    <xf numFmtId="0" fontId="0" fillId="0" borderId="12" xfId="0" applyFont="1" applyBorder="1" applyNumberFormat="1">
      <alignment horizontal="center" vertical="center"/>
    </xf>
    <xf numFmtId="0" fontId="0" fillId="0" borderId="37" xfId="0" applyFont="1" applyBorder="1" applyNumberFormat="1">
      <alignment horizontal="center" vertical="center"/>
    </xf>
    <xf numFmtId="0" fontId="0" fillId="0" borderId="22" xfId="0" applyFont="1" applyBorder="1" applyNumberFormat="1">
      <alignment horizontal="center" vertical="center"/>
    </xf>
    <xf numFmtId="49" fontId="0" fillId="0" borderId="0" xfId="0" applyFont="1" applyNumberFormat="1">
      <alignment horizontal="left" vertical="top"/>
    </xf>
    <xf numFmtId="14" fontId="81" fillId="0" borderId="17" xfId="0" applyFont="1" applyBorder="1" applyNumberFormat="1">
      <alignment horizontal="center" vertical="center" wrapText="1"/>
    </xf>
    <xf numFmtId="14" fontId="81" fillId="0" borderId="36" xfId="0" applyFont="1" applyBorder="1" applyNumberFormat="1">
      <alignment horizontal="center" vertical="center" wrapText="1"/>
    </xf>
    <xf numFmtId="0" fontId="75" fillId="0" borderId="12" xfId="0" applyFont="1" applyBorder="1" applyNumberFormat="1">
      <alignment horizontal="left" vertical="center" wrapText="1" indent="1"/>
    </xf>
    <xf numFmtId="0" fontId="75" fillId="0" borderId="12" xfId="0" applyFont="1" applyBorder="1" applyNumberFormat="1">
      <alignment horizontal="left" vertical="top" indent="1"/>
    </xf>
    <xf numFmtId="0" fontId="36" fillId="0" borderId="12" xfId="0" applyFont="1" applyBorder="1" applyNumberFormat="1">
      <alignment horizontal="center" vertical="center" wrapText="1"/>
    </xf>
    <xf numFmtId="0" fontId="22" fillId="40" borderId="12" xfId="0" applyFont="1" applyFill="1" applyBorder="1" applyNumberFormat="1">
      <alignment horizontal="left" vertical="center" wrapText="1" indent="1"/>
    </xf>
    <xf numFmtId="49" fontId="0" fillId="0" borderId="19" xfId="0" applyFont="1" applyBorder="1" applyNumberFormat="1">
      <alignment horizontal="left" vertical="center" wrapText="1"/>
    </xf>
    <xf numFmtId="49" fontId="0" fillId="0" borderId="0" xfId="0" applyFont="1" applyNumberFormat="1">
      <alignment horizontal="left" vertical="center" wrapText="1"/>
    </xf>
    <xf numFmtId="0" fontId="0" fillId="0" borderId="19" xfId="0" applyFont="1" applyBorder="1" applyNumberFormat="1">
      <alignment horizontal="left" vertical="center" wrapText="1"/>
    </xf>
    <xf numFmtId="0" fontId="0" fillId="0" borderId="0" xfId="0" applyFont="1" applyNumberFormat="1">
      <alignment horizontal="left" vertical="center" wrapText="1"/>
    </xf>
    <xf numFmtId="0" fontId="0" fillId="0" borderId="19" xfId="0" applyFont="1" applyBorder="1" applyNumberFormat="1">
      <alignment horizontal="center" vertical="center"/>
    </xf>
    <xf numFmtId="0" fontId="0" fillId="0" borderId="0" xfId="0" applyFont="1" applyNumberFormat="1">
      <alignment horizontal="center" vertical="center"/>
    </xf>
    <xf numFmtId="0" fontId="0" fillId="39" borderId="12" xfId="0" applyFont="1" applyFill="1" applyBorder="1" applyNumberFormat="1">
      <alignment horizontal="left" vertical="center" wrapText="1"/>
      <protection locked="0"/>
    </xf>
    <xf numFmtId="49" fontId="0" fillId="39" borderId="14"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37" fillId="0" borderId="17" xfId="0" applyFont="1" applyBorder="1" applyNumberFormat="1">
      <alignment horizontal="center" vertical="top" wrapText="1"/>
    </xf>
    <xf numFmtId="49" fontId="22" fillId="0" borderId="36" xfId="0" applyFont="1" applyBorder="1" applyNumberFormat="1">
      <alignment horizontal="center" vertical="top" wrapText="1"/>
    </xf>
    <xf numFmtId="49" fontId="22" fillId="0" borderId="23"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0" fontId="0" fillId="0" borderId="12" xfId="0" applyFont="1" applyBorder="1" applyNumberFormat="1">
      <alignment horizontal="center" vertical="center" wrapText="1"/>
    </xf>
    <xf numFmtId="49" fontId="22" fillId="0" borderId="17" xfId="0" applyFont="1" applyBorder="1" applyNumberFormat="1">
      <alignment horizontal="center" vertical="center" wrapText="1"/>
    </xf>
    <xf numFmtId="49" fontId="22" fillId="0" borderId="36" xfId="0" applyFont="1" applyBorder="1" applyNumberFormat="1">
      <alignment horizontal="center" vertical="center" wrapText="1"/>
    </xf>
    <xf numFmtId="49" fontId="22" fillId="0" borderId="23" xfId="0" applyFont="1" applyBorder="1" applyNumberFormat="1">
      <alignment horizontal="center" vertical="center" wrapText="1"/>
    </xf>
    <xf numFmtId="49" fontId="22" fillId="0" borderId="12" xfId="0" applyFont="1" applyBorder="1" applyNumberFormat="1">
      <alignment horizontal="center" vertical="top" wrapText="1"/>
    </xf>
    <xf numFmtId="0" fontId="0" fillId="34" borderId="12" xfId="0" applyFont="1" applyFill="1" applyBorder="1" applyNumberFormat="1">
      <alignment horizontal="left" vertical="top" wrapText="1" indent="1"/>
    </xf>
    <xf numFmtId="49" fontId="22" fillId="40" borderId="17" xfId="0" applyFont="1" applyFill="1" applyBorder="1" applyNumberFormat="1">
      <alignment horizontal="center" vertical="top" wrapText="1"/>
    </xf>
    <xf numFmtId="49" fontId="22" fillId="40" borderId="23" xfId="0" applyFont="1" applyFill="1" applyBorder="1" applyNumberFormat="1">
      <alignment horizontal="center" vertical="top" wrapText="1"/>
    </xf>
    <xf numFmtId="504" fontId="0" fillId="39" borderId="12" xfId="0" applyFont="1" applyFill="1" applyBorder="1" applyNumberFormat="1">
      <alignment horizontal="center" vertical="top" wrapText="1"/>
      <protection locked="0"/>
    </xf>
    <xf numFmtId="49" fontId="0" fillId="39"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47" fillId="0" borderId="17" xfId="0" applyFont="1" applyBorder="1" applyNumberFormat="1">
      <alignment horizontal="left" vertical="center" wrapText="1" indent="1"/>
    </xf>
    <xf numFmtId="49" fontId="47" fillId="0" borderId="36" xfId="0" applyFont="1" applyBorder="1" applyNumberFormat="1">
      <alignment horizontal="left" vertical="center" wrapText="1" indent="1"/>
    </xf>
    <xf numFmtId="49" fontId="47" fillId="0" borderId="23" xfId="0" applyFont="1" applyBorder="1" applyNumberFormat="1">
      <alignment horizontal="left" vertical="center" wrapText="1" indent="1"/>
    </xf>
    <xf numFmtId="0" fontId="45" fillId="0" borderId="12" xfId="0" applyFont="1" applyBorder="1" applyNumberFormat="1">
      <alignment horizontal="center" vertical="center"/>
    </xf>
    <xf numFmtId="49" fontId="95" fillId="0" borderId="12" xfId="0" applyFont="1" applyBorder="1" applyNumberFormat="1">
      <alignment horizontal="center" vertical="top" wrapText="1"/>
    </xf>
    <xf numFmtId="0" fontId="95" fillId="41" borderId="12" xfId="0" applyFont="1" applyFill="1" applyBorder="1" applyNumberFormat="1">
      <alignment horizontal="center" vertical="center" wrapText="1"/>
    </xf>
    <xf numFmtId="49" fontId="95" fillId="0" borderId="37"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23" xfId="0" applyFont="1" applyBorder="1" applyNumberFormat="1">
      <alignment horizontal="center" vertical="top" wrapText="1"/>
    </xf>
    <xf numFmtId="504" fontId="0" fillId="39" borderId="12" xfId="0" applyFont="1" applyFill="1" applyBorder="1" applyNumberFormat="1">
      <alignment horizontal="center" vertical="center" wrapText="1"/>
      <protection locked="0"/>
    </xf>
    <xf numFmtId="0" fontId="46" fillId="0" borderId="19" xfId="0" applyFont="1" applyBorder="1" applyNumberFormat="1">
      <alignment horizontal="left" vertical="center" wrapText="1" indent="1"/>
    </xf>
    <xf numFmtId="0" fontId="46" fillId="0" borderId="27" xfId="0" applyFont="1" applyBorder="1" applyNumberFormat="1">
      <alignment horizontal="left" vertical="center" wrapText="1" indent="1"/>
    </xf>
    <xf numFmtId="0" fontId="22" fillId="0" borderId="0" xfId="0" applyFont="1" applyNumberFormat="1">
      <alignment horizontal="right" vertical="center" wrapText="1"/>
    </xf>
    <xf numFmtId="4" fontId="22" fillId="34" borderId="12" xfId="0" applyFont="1" applyFill="1" applyBorder="1" applyNumberFormat="1">
      <alignment horizontal="left" vertical="center" wrapText="1"/>
    </xf>
    <xf numFmtId="0" fontId="47" fillId="0" borderId="0" xfId="0" applyFont="1" applyNumberFormat="1">
      <alignment horizontal="center" vertical="center" wrapText="1"/>
    </xf>
    <xf numFmtId="49" fontId="0" fillId="0" borderId="12" xfId="0" applyFont="1" applyBorder="1" applyNumberFormat="1">
      <alignment horizontal="center" vertical="top"/>
    </xf>
    <xf numFmtId="49" fontId="0" fillId="0" borderId="14" xfId="0" applyFont="1" applyBorder="1" applyNumberFormat="1">
      <alignment horizontal="center" vertical="top"/>
    </xf>
    <xf numFmtId="0" fontId="47" fillId="0" borderId="17" xfId="0" applyFont="1" applyBorder="1" applyNumberFormat="1">
      <alignment horizontal="center" vertical="center" wrapText="1"/>
    </xf>
    <xf numFmtId="0" fontId="22" fillId="0" borderId="19" xfId="0" applyFont="1" applyBorder="1" applyNumberFormat="1">
      <alignment horizontal="center" vertical="center" wrapText="1"/>
    </xf>
    <xf numFmtId="0" fontId="22" fillId="0" borderId="27" xfId="0" applyFont="1" applyBorder="1" applyNumberFormat="1">
      <alignment horizontal="center" vertical="center" wrapText="1"/>
    </xf>
    <xf numFmtId="49" fontId="0" fillId="0" borderId="15" xfId="0" applyFont="1" applyBorder="1" applyNumberFormat="1">
      <alignment horizontal="left" vertical="center" indent="1"/>
    </xf>
    <xf numFmtId="49" fontId="0" fillId="0" borderId="25" xfId="0" applyFont="1" applyBorder="1" applyNumberFormat="1">
      <alignment horizontal="center" vertical="center"/>
    </xf>
    <xf numFmtId="49" fontId="0" fillId="0" borderId="12" xfId="61" applyFont="1" applyBorder="1" applyNumberFormat="1">
      <alignment vertical="top"/>
    </xf>
    <xf numFmtId="49" fontId="0" fillId="0" borderId="14" xfId="61" applyFont="1" applyBorder="1" applyNumberFormat="1">
      <alignment vertical="top"/>
    </xf>
    <xf numFmtId="49" fontId="0" fillId="0" borderId="12" xfId="61" applyFont="1" applyBorder="1" applyNumberFormat="1">
      <alignment horizontal="center" vertical="top"/>
    </xf>
    <xf numFmtId="49" fontId="0" fillId="0" borderId="14" xfId="61" applyFont="1" applyBorder="1" applyNumberFormat="1">
      <alignment horizontal="center" vertical="top"/>
    </xf>
    <xf numFmtId="49" fontId="0" fillId="43" borderId="17" xfId="61" applyFont="1" applyFill="1" applyBorder="1" applyNumberFormat="1">
      <alignment vertical="top"/>
    </xf>
    <xf numFmtId="49" fontId="0" fillId="44" borderId="12" xfId="61" applyFont="1" applyFill="1" applyBorder="1" applyNumberFormat="1">
      <alignment vertical="top"/>
    </xf>
    <xf numFmtId="49" fontId="0" fillId="0" borderId="15" xfId="61" applyFont="1" applyBorder="1" applyNumberFormat="1">
      <alignment horizontal="center" vertical="top"/>
    </xf>
    <xf numFmtId="49" fontId="0" fillId="3" borderId="12" xfId="61" applyFont="1" applyFill="1" applyBorder="1" applyNumberFormat="1">
      <alignment vertical="top"/>
    </xf>
    <xf numFmtId="49" fontId="0" fillId="45" borderId="12" xfId="61" applyFont="1" applyFill="1" applyBorder="1" applyNumberFormat="1">
      <alignment vertical="top"/>
    </xf>
    <xf numFmtId="49" fontId="0" fillId="16" borderId="17" xfId="61" applyFont="1" applyFill="1" applyBorder="1" applyNumberFormat="1">
      <alignment vertical="top"/>
    </xf>
    <xf numFmtId="49" fontId="0" fillId="5" borderId="14" xfId="61" applyFont="1" applyFill="1" applyBorder="1" applyNumberFormat="1">
      <alignment vertical="top"/>
    </xf>
    <xf numFmtId="49" fontId="0" fillId="5" borderId="12" xfId="61" applyFont="1" applyFill="1" applyBorder="1" applyNumberFormat="1">
      <alignment vertical="top"/>
    </xf>
    <xf numFmtId="49" fontId="0" fillId="16" borderId="12" xfId="61" applyFont="1" applyFill="1" applyBorder="1" applyNumberFormat="1">
      <alignment vertical="top"/>
    </xf>
    <xf numFmtId="0" fontId="29" fillId="0" borderId="0" xfId="0" applyFont="1" applyNumberFormat="1"/>
    <xf numFmtId="0" fontId="115" fillId="0" borderId="0" xfId="0" applyFont="1" applyNumberForma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102" fillId="0" borderId="0" xfId="0" applyFont="1" applyNumberFormat="1">
      <alignment vertical="center" wrapText="1"/>
    </xf>
    <xf numFmtId="0" fontId="102" fillId="0" borderId="0" xfId="0" applyFont="1" applyNumberFormat="1">
      <alignment horizontal="left" vertical="center" wrapText="1"/>
    </xf>
    <xf numFmtId="49" fontId="117" fillId="0" borderId="0" xfId="0" applyFont="1" applyNumberFormat="1">
      <alignment wrapText="1"/>
    </xf>
    <xf numFmtId="0" fontId="102" fillId="0" borderId="0" xfId="0" applyFont="1" applyNumberFormat="1">
      <alignment vertical="center"/>
    </xf>
    <xf numFmtId="0" fontId="46" fillId="0" borderId="0" xfId="0" applyFont="1" applyNumberFormat="1">
      <alignment horizontal="left" vertical="top" wrapText="1"/>
    </xf>
    <xf numFmtId="49" fontId="22" fillId="0" borderId="0" xfId="0" applyFont="1" applyNumberFormat="1">
      <alignment vertical="top" wrapText="1"/>
    </xf>
    <xf numFmtId="0" fontId="46" fillId="56" borderId="63" xfId="0" applyFont="1" applyFill="1" applyBorder="1" applyNumberFormat="1">
      <alignment horizontal="center" vertical="center" wrapText="1"/>
    </xf>
    <xf numFmtId="0" fontId="46" fillId="56" borderId="64" xfId="0" applyFont="1" applyFill="1" applyBorder="1" applyNumberFormat="1">
      <alignment horizontal="center" vertical="center" wrapText="1"/>
    </xf>
    <xf numFmtId="0" fontId="46" fillId="56" borderId="65" xfId="0" applyFont="1" applyFill="1" applyBorder="1" applyNumberFormat="1">
      <alignment horizontal="center" vertical="center" wrapText="1"/>
    </xf>
    <xf numFmtId="0" fontId="66" fillId="0" borderId="0" xfId="0" applyFont="1" applyNumberFormat="1">
      <alignment wrapText="1"/>
    </xf>
    <xf numFmtId="0" fontId="46" fillId="46" borderId="38" xfId="0" applyFont="1" applyFill="1" applyBorder="1" applyNumberFormat="1">
      <alignment horizontal="right" vertical="center" wrapText="1" indent="1"/>
    </xf>
    <xf numFmtId="0" fontId="46" fillId="46" borderId="66" xfId="0" applyFont="1" applyFill="1" applyBorder="1" applyNumberFormat="1">
      <alignment horizontal="right" vertical="center" wrapText="1" indent="1"/>
    </xf>
    <xf numFmtId="0" fontId="118" fillId="0" borderId="0" xfId="0" applyFont="1" applyNumberFormat="1">
      <alignment horizontal="left" vertical="center" wrapText="1"/>
    </xf>
    <xf numFmtId="0" fontId="119" fillId="0" borderId="0" xfId="0" applyFont="1" applyNumberFormat="1">
      <alignment vertical="center" wrapText="1"/>
    </xf>
    <xf numFmtId="0" fontId="66" fillId="0" borderId="38" xfId="0" applyFont="1" applyBorder="1" applyNumberFormat="1">
      <alignment wrapText="1"/>
    </xf>
    <xf numFmtId="0" fontId="66" fillId="0" borderId="0" xfId="0" applyFont="1" applyNumberFormat="1"/>
    <xf numFmtId="0" fontId="118" fillId="0" borderId="0" xfId="0" applyFont="1" applyNumberFormat="1"/>
    <xf numFmtId="0" fontId="120" fillId="0" borderId="0" xfId="0" applyFont="1" applyNumberFormat="1">
      <alignment wrapText="1"/>
    </xf>
    <xf numFmtId="0" fontId="0" fillId="36" borderId="60" xfId="0" applyFont="1" applyFill="1" applyBorder="1" applyNumberFormat="1">
      <alignment horizontal="center" vertical="center" wrapText="1"/>
    </xf>
    <xf numFmtId="0" fontId="120" fillId="0" borderId="38" xfId="0" applyFont="1" applyBorder="1" applyNumberFormat="1">
      <alignment vertical="center" wrapText="1"/>
    </xf>
    <xf numFmtId="0" fontId="120" fillId="0" borderId="0" xfId="0" applyFont="1" applyNumberFormat="1">
      <alignment vertical="center" wrapText="1"/>
    </xf>
    <xf numFmtId="0" fontId="0" fillId="53" borderId="60" xfId="0" applyFont="1" applyFill="1" applyBorder="1" applyNumberFormat="1">
      <alignment horizontal="center" vertical="center" wrapText="1"/>
    </xf>
    <xf numFmtId="0" fontId="120" fillId="0" borderId="38" xfId="0" applyFont="1" applyBorder="1" applyNumberFormat="1">
      <alignment horizontal="left" vertical="center" wrapText="1"/>
    </xf>
    <xf numFmtId="0" fontId="120" fillId="0" borderId="0" xfId="0" applyFont="1" applyNumberFormat="1">
      <alignment horizontal="left" vertical="center" wrapText="1"/>
    </xf>
    <xf numFmtId="0" fontId="0" fillId="34" borderId="60" xfId="0" applyFont="1" applyFill="1" applyBorder="1" applyNumberFormat="1">
      <alignment horizontal="center" vertical="center" wrapText="1"/>
    </xf>
    <xf numFmtId="0" fontId="0" fillId="39" borderId="60" xfId="0" applyFont="1" applyFill="1" applyBorder="1" applyNumberFormat="1">
      <alignment horizontal="center" vertical="center" wrapText="1"/>
    </xf>
    <xf numFmtId="0" fontId="46" fillId="46" borderId="0" xfId="0" applyFont="1" applyFill="1" applyNumberFormat="1">
      <alignment horizontal="right" vertical="center" wrapText="1" indent="1"/>
    </xf>
    <xf numFmtId="0" fontId="118" fillId="0" borderId="38" xfId="0" applyFont="1" applyBorder="1" applyNumberFormat="1">
      <alignment horizontal="left" vertical="center" wrapText="1"/>
    </xf>
    <xf numFmtId="0" fontId="118" fillId="0" borderId="61" xfId="0" applyFont="1" applyBorder="1" applyNumberFormat="1">
      <alignment horizontal="left" vertical="center" wrapText="1"/>
    </xf>
    <xf numFmtId="0" fontId="46" fillId="46" borderId="60" xfId="0" applyFont="1" applyFill="1" applyBorder="1" applyNumberFormat="1">
      <alignment horizontal="right" vertical="center" wrapText="1" indent="1"/>
    </xf>
    <xf numFmtId="0" fontId="46" fillId="46" borderId="67" xfId="0" applyFont="1" applyFill="1" applyBorder="1" applyNumberFormat="1">
      <alignment horizontal="right" vertical="center" wrapText="1" indent="1"/>
    </xf>
    <xf numFmtId="0" fontId="120" fillId="0" borderId="0" xfId="0" applyFont="1" applyNumberFormat="1"/>
    <xf numFmtId="0" fontId="120" fillId="0" borderId="38" xfId="0" applyFont="1" applyBorder="1" applyNumberFormat="1">
      <alignment wrapText="1"/>
    </xf>
    <xf numFmtId="0" fontId="120" fillId="0" borderId="0" xfId="0" applyFont="1" applyNumberFormat="1">
      <alignment vertical="top" wrapText="1"/>
    </xf>
    <xf numFmtId="0" fontId="46" fillId="46" borderId="62" xfId="0" applyFont="1" applyFill="1" applyBorder="1" applyNumberFormat="1">
      <alignment horizontal="right" vertical="center" wrapText="1" indent="1"/>
    </xf>
    <xf numFmtId="0" fontId="46" fillId="46" borderId="39" xfId="0" applyFont="1" applyFill="1" applyBorder="1" applyNumberFormat="1">
      <alignment horizontal="right" vertical="center" wrapText="1" indent="1"/>
    </xf>
    <xf numFmtId="0" fontId="66" fillId="0" borderId="62" xfId="0" applyFont="1" applyBorder="1" applyNumberFormat="1">
      <alignment wrapText="1"/>
    </xf>
    <xf numFmtId="0" fontId="66" fillId="0" borderId="39" xfId="0" applyFont="1" applyBorder="1" applyNumberFormat="1">
      <alignment wrapText="1"/>
    </xf>
    <xf numFmtId="0" fontId="66" fillId="0" borderId="39" xfId="0" applyFont="1" applyBorder="1" applyNumberFormat="1">
      <alignment vertical="center" wrapText="1"/>
    </xf>
    <xf numFmtId="0" fontId="116" fillId="0" borderId="0" xfId="0" applyFont="1" applyNumberFormat="1"/>
    <xf numFmtId="49" fontId="66" fillId="0" borderId="0" xfId="0" applyFont="1" applyNumberFormat="1">
      <alignment vertical="top" wrapText="1"/>
    </xf>
    <xf numFmtId="0" fontId="29" fillId="0" borderId="0" xfId="0" applyFont="1" applyNumberFormat="1"/>
    <xf numFmtId="0" fontId="63" fillId="0" borderId="0" xfId="0" applyFont="1" applyNumberFormat="1">
      <alignment vertical="center" wrapText="1"/>
    </xf>
    <xf numFmtId="0" fontId="91" fillId="0" borderId="0" xfId="0" applyFont="1" applyNumberFormat="1">
      <alignment horizontal="left" vertical="center" wrapText="1"/>
    </xf>
    <xf numFmtId="0" fontId="63" fillId="0" borderId="0" xfId="0" applyFont="1" applyNumberFormat="1">
      <alignment horizontal="left" vertical="center" wrapText="1"/>
    </xf>
    <xf numFmtId="0" fontId="63" fillId="0" borderId="0" xfId="0" applyFont="1" applyNumberFormat="1">
      <alignment vertical="center" wrapText="1"/>
    </xf>
    <xf numFmtId="0" fontId="32" fillId="0" borderId="0" xfId="0" applyFont="1" applyNumberFormat="1">
      <alignment horizontal="center" vertical="center" wrapText="1"/>
    </xf>
    <xf numFmtId="0" fontId="32" fillId="0" borderId="0" xfId="0" applyFont="1" applyNumberFormat="1">
      <alignment vertical="center" wrapText="1"/>
    </xf>
    <xf numFmtId="0" fontId="48" fillId="0" borderId="0" xfId="0" applyFont="1" applyNumberFormat="1">
      <alignment vertical="center" wrapText="1"/>
    </xf>
    <xf numFmtId="0" fontId="32" fillId="0" borderId="0" xfId="0" applyFont="1" applyNumberFormat="1">
      <alignment vertical="center" wrapText="1"/>
    </xf>
    <xf numFmtId="0" fontId="32" fillId="0" borderId="0" xfId="0" applyFont="1" applyNumberFormat="1">
      <alignment horizontal="left" vertical="center" wrapText="1"/>
    </xf>
    <xf numFmtId="0" fontId="22" fillId="0" borderId="0" xfId="0" applyFont="1" applyNumberFormat="1">
      <alignment horizontal="left" vertical="top" indent="1"/>
    </xf>
    <xf numFmtId="49" fontId="66" fillId="0" borderId="0" xfId="0" applyFont="1" applyNumberFormat="1">
      <alignment vertical="top"/>
    </xf>
    <xf numFmtId="49" fontId="22" fillId="0" borderId="0" xfId="0" applyFont="1" applyNumberFormat="1">
      <alignment vertical="center" wrapText="1"/>
    </xf>
    <xf numFmtId="49" fontId="47" fillId="0" borderId="0" xfId="0" applyFont="1" applyNumberFormat="1">
      <alignment vertical="center" wrapText="1"/>
    </xf>
    <xf numFmtId="0" fontId="0" fillId="0" borderId="0" xfId="0" applyFont="1" applyNumberFormat="1">
      <alignment horizontal="left" vertical="center" indent="1"/>
    </xf>
    <xf numFmtId="49" fontId="0" fillId="0" borderId="0" xfId="0" applyFont="1" applyNumberFormat="1">
      <alignment vertical="top"/>
    </xf>
    <xf numFmtId="49" fontId="47" fillId="0" borderId="0" xfId="0" applyFont="1" applyNumberFormat="1">
      <alignment vertical="top"/>
    </xf>
    <xf numFmtId="49" fontId="0" fillId="0" borderId="0" xfId="0" applyFont="1" applyNumberFormat="1">
      <alignment vertical="top"/>
    </xf>
    <xf numFmtId="0" fontId="22" fillId="0" borderId="0" xfId="0" applyFont="1" applyNumberFormat="1">
      <alignment vertical="center" wrapText="1"/>
    </xf>
    <xf numFmtId="0" fontId="60" fillId="0" borderId="0" xfId="0" applyFont="1" applyNumberFormat="1">
      <alignment vertical="center" wrapText="1"/>
    </xf>
    <xf numFmtId="0" fontId="91" fillId="0" borderId="0" xfId="0" applyFont="1" applyNumberFormat="1">
      <alignment horizontal="left" vertical="center" wrapText="1"/>
    </xf>
    <xf numFmtId="0" fontId="58" fillId="0" borderId="0" xfId="0" applyFont="1" applyNumberFormat="1">
      <alignment horizontal="left" vertical="center" wrapText="1"/>
    </xf>
    <xf numFmtId="0" fontId="59" fillId="0" borderId="0" xfId="0" applyFont="1" applyNumberFormat="1">
      <alignment vertical="center" wrapText="1"/>
    </xf>
    <xf numFmtId="0" fontId="60" fillId="35" borderId="0" xfId="0" applyFont="1" applyFill="1" applyNumberFormat="1">
      <alignment vertical="center" wrapText="1"/>
    </xf>
    <xf numFmtId="0" fontId="60" fillId="0" borderId="0" xfId="0" applyFont="1" applyNumberFormat="1">
      <alignment vertical="center" wrapText="1"/>
    </xf>
    <xf numFmtId="0" fontId="60" fillId="0" borderId="0" xfId="0" applyFont="1" applyNumberFormat="1">
      <alignment horizontal="right" vertical="center"/>
    </xf>
    <xf numFmtId="0" fontId="22" fillId="0" borderId="0" xfId="0" applyFont="1" applyNumberFormat="1">
      <alignment horizontal="center" vertical="center" wrapText="1"/>
    </xf>
    <xf numFmtId="0" fontId="22" fillId="0" borderId="0" xfId="0" applyFont="1" applyNumberFormat="1">
      <alignment vertical="center" wrapText="1"/>
    </xf>
    <xf numFmtId="0" fontId="88" fillId="0" borderId="0" xfId="0" applyFont="1" applyNumberFormat="1">
      <alignment vertical="center" wrapText="1"/>
    </xf>
    <xf numFmtId="0" fontId="60" fillId="0" borderId="0" xfId="0" applyFont="1" applyNumberFormat="1">
      <alignment vertical="center" wrapText="1"/>
    </xf>
    <xf numFmtId="0" fontId="34" fillId="35" borderId="0" xfId="0" applyFont="1" applyFill="1" applyNumberFormat="1">
      <alignment vertical="center" wrapText="1"/>
    </xf>
    <xf numFmtId="0" fontId="22" fillId="0" borderId="13" xfId="0" applyFont="1" applyBorder="1" applyNumberFormat="1">
      <alignment horizontal="center" vertical="center" wrapText="1"/>
    </xf>
    <xf numFmtId="0" fontId="22" fillId="0" borderId="14" xfId="0" applyFont="1" applyBorder="1" applyNumberFormat="1">
      <alignment horizontal="center" vertical="center" wrapText="1"/>
    </xf>
    <xf numFmtId="0" fontId="50" fillId="35" borderId="0" xfId="0" applyFont="1" applyFill="1" applyNumberFormat="1">
      <alignment vertical="center" wrapText="1"/>
    </xf>
    <xf numFmtId="0" fontId="96" fillId="0" borderId="0" xfId="0" applyFont="1" applyNumberFormat="1">
      <alignment vertical="center" wrapText="1"/>
    </xf>
    <xf numFmtId="0" fontId="60" fillId="35" borderId="0" xfId="0" applyFont="1" applyFill="1" applyNumberFormat="1">
      <alignment horizontal="right" vertical="center" wrapText="1" indent="1"/>
    </xf>
    <xf numFmtId="0" fontId="62" fillId="35" borderId="0" xfId="0" applyFont="1" applyFill="1" applyNumberFormat="1">
      <alignment horizontal="center" vertical="center" wrapText="1"/>
    </xf>
    <xf numFmtId="0" fontId="22" fillId="35" borderId="26" xfId="0" applyFont="1" applyFill="1" applyBorder="1" applyNumberFormat="1">
      <alignment horizontal="right" vertical="center" wrapText="1" indent="1"/>
    </xf>
    <xf numFmtId="0" fontId="0" fillId="34" borderId="12" xfId="0" applyFont="1" applyFill="1" applyBorder="1" applyNumberFormat="1">
      <alignment horizontal="left" vertical="center" wrapText="1" indent="1"/>
    </xf>
    <xf numFmtId="14" fontId="91" fillId="35" borderId="0" xfId="0" applyFont="1" applyFill="1" applyNumberFormat="1">
      <alignment horizontal="left" vertical="center" wrapText="1"/>
    </xf>
    <xf numFmtId="0" fontId="58" fillId="35" borderId="0" xfId="0" applyFont="1" applyFill="1" applyNumberFormat="1">
      <alignment horizontal="center" vertical="center" wrapText="1"/>
    </xf>
    <xf numFmtId="0" fontId="60" fillId="35" borderId="0" xfId="0" applyFont="1" applyFill="1" applyNumberFormat="1">
      <alignment horizontal="left" vertical="center" wrapText="1" indent="1"/>
    </xf>
    <xf numFmtId="0" fontId="22" fillId="35" borderId="0" xfId="0" applyFont="1" applyFill="1" applyNumberFormat="1">
      <alignment horizontal="center" vertical="center" wrapText="1"/>
    </xf>
    <xf numFmtId="0" fontId="88" fillId="0" borderId="0" xfId="0" applyFont="1" applyNumberFormat="1">
      <alignment horizontal="center" vertical="center" wrapText="1"/>
    </xf>
    <xf numFmtId="0" fontId="22" fillId="0" borderId="0" xfId="0" applyFont="1" applyNumberFormat="1">
      <alignment vertical="center" wrapText="1"/>
    </xf>
    <xf numFmtId="0" fontId="33" fillId="0" borderId="0" xfId="0" applyFont="1" applyNumberFormat="1">
      <alignment vertical="center" wrapText="1"/>
    </xf>
    <xf numFmtId="0" fontId="34" fillId="35" borderId="0" xfId="0" applyFont="1" applyFill="1" applyNumberFormat="1">
      <alignment vertical="center" wrapText="1"/>
    </xf>
    <xf numFmtId="0" fontId="22" fillId="35" borderId="26" xfId="0" applyFont="1" applyFill="1" applyBorder="1" applyNumberFormat="1">
      <alignment horizontal="right" vertical="center" wrapText="1" indent="1"/>
    </xf>
    <xf numFmtId="0" fontId="22" fillId="39" borderId="12" xfId="0" applyFont="1" applyFill="1" applyBorder="1" applyNumberFormat="1">
      <alignment horizontal="left" vertical="top" wrapText="1" indent="1"/>
      <protection locked="0"/>
    </xf>
    <xf numFmtId="0" fontId="22" fillId="0" borderId="0" xfId="0" applyFont="1" applyNumberFormat="1">
      <alignment horizontal="left" vertical="center" wrapText="1"/>
    </xf>
    <xf numFmtId="0" fontId="47" fillId="0" borderId="0" xfId="0" applyFont="1" applyNumberFormat="1">
      <alignment vertical="center" wrapText="1"/>
    </xf>
    <xf numFmtId="0" fontId="58" fillId="0" borderId="0" xfId="0" applyFont="1" applyNumberFormat="1">
      <alignment horizontal="left" vertical="center" wrapText="1"/>
    </xf>
    <xf numFmtId="0" fontId="59" fillId="0" borderId="0" xfId="0" applyFont="1" applyNumberFormat="1">
      <alignment vertical="center" wrapText="1"/>
    </xf>
    <xf numFmtId="49" fontId="22" fillId="40" borderId="12" xfId="0" applyFont="1" applyFill="1" applyBorder="1" applyNumberFormat="1">
      <alignment horizontal="left" vertical="center" wrapText="1" indent="1"/>
    </xf>
    <xf numFmtId="0" fontId="60" fillId="0" borderId="0" xfId="0" applyFont="1" applyNumberFormat="1">
      <alignment vertical="center" wrapText="1"/>
    </xf>
    <xf numFmtId="14" fontId="93" fillId="0" borderId="12" xfId="0" applyFont="1" applyBorder="1" applyNumberFormat="1">
      <alignment horizontal="center" vertical="center" wrapText="1"/>
    </xf>
    <xf numFmtId="504" fontId="0" fillId="39" borderId="12" xfId="0" applyFont="1" applyFill="1" applyBorder="1" applyNumberFormat="1">
      <alignment horizontal="left" vertical="center" wrapText="1" indent="1"/>
      <protection locked="0"/>
    </xf>
    <xf numFmtId="0" fontId="53" fillId="0" borderId="0" xfId="0" applyFont="1" applyNumberFormat="1">
      <alignment horizontal="left" vertical="center" indent="1"/>
    </xf>
    <xf numFmtId="0" fontId="22" fillId="35" borderId="0" xfId="0" applyFont="1" applyFill="1" applyNumberFormat="1">
      <alignment vertical="center" wrapText="1"/>
    </xf>
    <xf numFmtId="14" fontId="93" fillId="0" borderId="12" xfId="0" applyFont="1" applyBorder="1" applyNumberFormat="1">
      <alignment horizontal="left" vertical="center" wrapText="1"/>
    </xf>
    <xf numFmtId="49" fontId="22" fillId="35" borderId="26" xfId="0" applyFont="1" applyFill="1" applyBorder="1" applyNumberFormat="1">
      <alignment horizontal="right" vertical="center" wrapText="1" indent="1"/>
    </xf>
    <xf numFmtId="504" fontId="0" fillId="39" borderId="12" xfId="0" applyFont="1" applyFill="1" applyBorder="1" applyNumberFormat="1">
      <alignment horizontal="left" vertical="center" wrapText="1" indent="1"/>
      <protection locked="0"/>
    </xf>
    <xf numFmtId="49" fontId="47" fillId="0" borderId="0" xfId="0" applyFont="1" applyNumberFormat="1">
      <alignment vertical="center" wrapText="1"/>
    </xf>
    <xf numFmtId="0" fontId="0" fillId="39" borderId="12"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504" fontId="0" fillId="0" borderId="12" xfId="0" applyFont="1" applyBorder="1" applyNumberFormat="1">
      <alignment horizontal="left" vertical="center" wrapText="1" indent="1"/>
    </xf>
    <xf numFmtId="0" fontId="0" fillId="35" borderId="0" xfId="0" applyFont="1" applyFill="1" applyNumberFormat="1">
      <alignment horizontal="right" vertical="center" wrapText="1" indent="1"/>
    </xf>
    <xf numFmtId="0" fontId="96" fillId="0" borderId="0" xfId="0" applyFont="1" applyNumberFormat="1">
      <alignment horizontal="left" vertical="center" wrapText="1"/>
    </xf>
    <xf numFmtId="0" fontId="22" fillId="35" borderId="0" xfId="0" applyFont="1" applyFill="1" applyNumberFormat="1">
      <alignment horizontal="right" vertical="center" wrapText="1" indent="1"/>
    </xf>
    <xf numFmtId="0" fontId="22" fillId="0" borderId="0" xfId="0" applyFont="1" applyNumberFormat="1">
      <alignment horizontal="center" vertical="center" wrapText="1"/>
    </xf>
    <xf numFmtId="0" fontId="22" fillId="35" borderId="0" xfId="0" applyFont="1" applyFill="1" applyNumberFormat="1">
      <alignment horizontal="center" vertical="center" wrapText="1"/>
    </xf>
    <xf numFmtId="0" fontId="0" fillId="35" borderId="0" xfId="0" applyFont="1" applyFill="1" applyNumberFormat="1">
      <alignment horizontal="left" vertical="center" wrapText="1" indent="1"/>
    </xf>
    <xf numFmtId="49" fontId="22" fillId="39" borderId="12" xfId="0" applyFont="1" applyFill="1" applyBorder="1" applyNumberFormat="1">
      <alignment horizontal="left" vertical="center" wrapText="1" indent="1"/>
      <protection locked="0"/>
    </xf>
    <xf numFmtId="49" fontId="22" fillId="0" borderId="12" xfId="0" applyFont="1" applyBorder="1" applyNumberFormat="1">
      <alignment horizontal="left" vertical="center" wrapText="1" indent="1"/>
    </xf>
    <xf numFmtId="0" fontId="33" fillId="0" borderId="0" xfId="0" applyFont="1" applyNumberFormat="1">
      <alignment horizontal="center" vertical="center" wrapText="1"/>
    </xf>
    <xf numFmtId="0" fontId="35" fillId="35" borderId="0" xfId="0" applyFont="1" applyFill="1" applyNumberFormat="1">
      <alignment horizontal="center" vertical="center" wrapText="1"/>
    </xf>
    <xf numFmtId="49" fontId="22" fillId="34" borderId="12" xfId="0" applyFont="1" applyFill="1" applyBorder="1" applyNumberFormat="1">
      <alignment horizontal="left" vertical="center" wrapText="1" indent="1"/>
    </xf>
    <xf numFmtId="14" fontId="22" fillId="35" borderId="0" xfId="0" applyFont="1" applyFill="1" applyNumberFormat="1">
      <alignment horizontal="center" vertical="center" wrapText="1"/>
    </xf>
    <xf numFmtId="0" fontId="0" fillId="35" borderId="26" xfId="0" applyFont="1" applyFill="1" applyBorder="1" applyNumberFormat="1">
      <alignment horizontal="right" vertical="center" wrapText="1" indent="1"/>
    </xf>
    <xf numFmtId="0" fontId="22" fillId="0" borderId="0" xfId="0" applyFont="1" applyNumberFormat="1">
      <alignment vertical="center"/>
    </xf>
    <xf numFmtId="14" fontId="22" fillId="35" borderId="0" xfId="0" applyFont="1" applyFill="1" applyNumberFormat="1">
      <alignment horizontal="left" vertical="center" wrapText="1"/>
    </xf>
    <xf numFmtId="0" fontId="22" fillId="39" borderId="12" xfId="0" applyFont="1" applyFill="1" applyBorder="1" applyNumberFormat="1">
      <alignment horizontal="left" vertical="center" wrapText="1" indent="1"/>
      <protection locked="0"/>
    </xf>
    <xf numFmtId="0" fontId="61" fillId="35" borderId="0" xfId="0" applyFont="1" applyFill="1" applyNumberFormat="1">
      <alignment horizontal="right" vertical="center" wrapText="1" indent="1"/>
    </xf>
    <xf numFmtId="0" fontId="61" fillId="35" borderId="0" xfId="0" applyFont="1" applyFill="1" applyNumberFormat="1">
      <alignment horizontal="left" vertical="center" wrapText="1" indent="1"/>
    </xf>
    <xf numFmtId="49" fontId="22" fillId="40" borderId="12" xfId="0" applyFont="1" applyFill="1" applyBorder="1" applyNumberFormat="1">
      <alignment horizontal="left" vertical="center" wrapText="1" indent="1"/>
    </xf>
    <xf numFmtId="0" fontId="60" fillId="35" borderId="0" xfId="0" applyFont="1" applyFill="1" applyNumberFormat="1">
      <alignment vertical="center" wrapText="1"/>
    </xf>
    <xf numFmtId="0" fontId="61" fillId="35" borderId="0" xfId="0" applyFont="1" applyFill="1" applyNumberFormat="1">
      <alignment horizontal="right" vertical="center" wrapText="1" indent="1"/>
    </xf>
    <xf numFmtId="0" fontId="32" fillId="0" borderId="0" xfId="0" applyFont="1" applyNumberFormat="1">
      <alignment horizontal="left" vertical="center" wrapText="1"/>
    </xf>
    <xf numFmtId="49" fontId="124" fillId="0" borderId="12" xfId="0" applyFont="1" applyBorder="1" applyNumberFormat="1">
      <alignment horizontal="left" vertical="center" wrapText="1" indent="1"/>
    </xf>
    <xf numFmtId="0" fontId="32" fillId="0" borderId="0" xfId="0" applyFont="1" applyNumberFormat="1">
      <alignment horizontal="left" vertical="center" wrapText="1"/>
    </xf>
    <xf numFmtId="14" fontId="92" fillId="0" borderId="0" xfId="0" applyFont="1" applyNumberFormat="1">
      <alignment horizontal="center" vertical="center" wrapText="1"/>
    </xf>
    <xf numFmtId="0" fontId="33" fillId="0" borderId="0" xfId="0" applyFont="1" applyNumberFormat="1">
      <alignment vertical="center" wrapText="1"/>
    </xf>
    <xf numFmtId="0" fontId="32" fillId="0" borderId="0" xfId="0" applyFont="1" applyNumberFormat="1">
      <alignment horizontal="center" vertical="center" wrapText="1"/>
    </xf>
    <xf numFmtId="0" fontId="22" fillId="0" borderId="0" xfId="0" applyFont="1" applyNumberFormat="1">
      <alignment horizontal="center" vertical="center" wrapText="1"/>
    </xf>
    <xf numFmtId="0" fontId="47" fillId="0" borderId="0" xfId="0" applyFont="1" applyNumberFormat="1">
      <alignment horizontal="center" vertical="center" wrapText="1"/>
    </xf>
    <xf numFmtId="0" fontId="47" fillId="0" borderId="0" xfId="0" applyFont="1" applyNumberFormat="1">
      <alignment vertical="center" wrapText="1"/>
    </xf>
    <xf numFmtId="0" fontId="83" fillId="0" borderId="0" xfId="0" applyFont="1" applyNumberFormat="1">
      <alignment vertical="center" wrapText="1"/>
    </xf>
    <xf numFmtId="0" fontId="22" fillId="0" borderId="0" xfId="0" applyFont="1" applyNumberFormat="1">
      <alignment vertical="center" wrapText="1"/>
    </xf>
    <xf numFmtId="0" fontId="22" fillId="40" borderId="12" xfId="0" applyFont="1" applyFill="1" applyBorder="1" applyNumberFormat="1">
      <alignment horizontal="left" vertical="center" wrapText="1" indent="1"/>
    </xf>
    <xf numFmtId="504" fontId="0" fillId="0" borderId="11" xfId="0" applyFont="1" applyBorder="1" applyNumberFormat="1">
      <alignment horizontal="left" vertical="center" wrapText="1" indent="1"/>
    </xf>
    <xf numFmtId="0" fontId="22" fillId="40" borderId="12" xfId="0" applyFont="1" applyFill="1" applyBorder="1" applyNumberFormat="1">
      <alignment horizontal="left" vertical="center" wrapText="1" indent="1"/>
    </xf>
    <xf numFmtId="0" fontId="22" fillId="39" borderId="12" xfId="0" applyFont="1" applyFill="1" applyBorder="1" applyNumberFormat="1">
      <alignment horizontal="left" vertical="center" wrapText="1" indent="1"/>
      <protection locked="0"/>
    </xf>
    <xf numFmtId="49" fontId="22" fillId="40" borderId="12" xfId="0" applyFont="1" applyFill="1" applyBorder="1" applyNumberFormat="1">
      <alignment horizontal="left" vertical="center" wrapText="1" indent="1"/>
    </xf>
    <xf numFmtId="0" fontId="91" fillId="0" borderId="0" xfId="0" applyFont="1" applyNumberFormat="1">
      <alignment horizontal="left" vertical="center" wrapText="1"/>
    </xf>
    <xf numFmtId="49" fontId="32" fillId="0" borderId="0" xfId="0" applyFont="1" applyNumberFormat="1">
      <alignment horizontal="left" vertical="center" wrapText="1"/>
    </xf>
    <xf numFmtId="49" fontId="34" fillId="35" borderId="0" xfId="0" applyFont="1" applyFill="1" applyNumberFormat="1">
      <alignment horizontal="center" vertical="center" wrapText="1"/>
    </xf>
    <xf numFmtId="0" fontId="22" fillId="0" borderId="0" xfId="0" applyFont="1" applyNumberFormat="1">
      <alignment horizontal="left" vertical="center" wrapText="1" indent="4"/>
    </xf>
    <xf numFmtId="0" fontId="22" fillId="0" borderId="0" xfId="0" applyFont="1" applyNumberFormat="1">
      <alignment horizontal="left" vertical="center" wrapText="1" indent="1"/>
    </xf>
    <xf numFmtId="49" fontId="22" fillId="39" borderId="12" xfId="0" applyFont="1" applyFill="1" applyBorder="1" applyNumberFormat="1">
      <alignment horizontal="left" vertical="center" wrapText="1" indent="1"/>
      <protection locked="0"/>
    </xf>
    <xf numFmtId="49" fontId="27" fillId="39" borderId="12" xfId="0" applyFont="1" applyFill="1" applyBorder="1" applyNumberFormat="1">
      <alignment horizontal="left" vertical="center" wrapText="1" indent="1"/>
      <protection locked="0"/>
    </xf>
    <xf numFmtId="0" fontId="0" fillId="0" borderId="0" xfId="0" applyFont="1" applyNumberFormat="1">
      <alignment horizontal="center" vertical="center" wrapText="1"/>
    </xf>
    <xf numFmtId="49" fontId="22" fillId="35" borderId="0" xfId="0" applyFont="1" applyFill="1" applyNumberFormat="1">
      <alignment horizontal="right" vertical="center" wrapText="1" indent="1"/>
    </xf>
    <xf numFmtId="49" fontId="47" fillId="0" borderId="0" xfId="0" applyFont="1" applyNumberFormat="1">
      <alignment horizontal="center" vertical="center" wrapText="1"/>
    </xf>
    <xf numFmtId="49" fontId="22" fillId="0" borderId="0" xfId="0" applyFont="1" applyNumberFormat="1">
      <alignment horizontal="center" vertical="center" wrapText="1"/>
    </xf>
    <xf numFmtId="49" fontId="0" fillId="35" borderId="0" xfId="0" applyFont="1" applyFill="1" applyNumberFormat="1">
      <alignment horizontal="right" vertical="center" wrapText="1" indent="1"/>
    </xf>
    <xf numFmtId="0" fontId="50" fillId="0" borderId="0" xfId="0" applyFont="1" applyNumberFormat="1">
      <alignment vertical="top" wrapText="1"/>
    </xf>
    <xf numFmtId="0" fontId="33" fillId="0" borderId="0" xfId="0" applyFont="1" applyNumberFormat="1">
      <alignment vertical="center" wrapText="1"/>
    </xf>
    <xf numFmtId="0" fontId="32" fillId="0" borderId="0" xfId="0" applyFont="1" applyNumberFormat="1">
      <alignment horizontal="left" vertical="center" wrapText="1"/>
    </xf>
    <xf numFmtId="0" fontId="22" fillId="0" borderId="0" xfId="0" applyFont="1" applyNumberFormat="1">
      <alignment horizontal="center" vertical="center" wrapText="1"/>
    </xf>
    <xf numFmtId="0" fontId="47" fillId="0" borderId="0" xfId="0" applyFont="1" applyNumberFormat="1">
      <alignment vertical="center" wrapText="1"/>
    </xf>
    <xf numFmtId="0" fontId="48" fillId="0" borderId="0" xfId="0" applyFont="1" applyNumberFormat="1">
      <alignment vertical="center" wrapText="1"/>
    </xf>
    <xf numFmtId="0" fontId="72" fillId="0" borderId="0" xfId="0" applyFont="1" applyNumberFormat="1">
      <alignment vertical="center" wrapText="1"/>
    </xf>
    <xf numFmtId="0" fontId="48" fillId="0" borderId="0" xfId="0" applyFont="1" applyNumberFormat="1">
      <alignment vertical="center" wrapText="1"/>
    </xf>
    <xf numFmtId="0" fontId="48" fillId="0" borderId="0" xfId="0" applyFont="1" applyNumberFormat="1">
      <alignment horizontal="center" vertical="center" wrapText="1"/>
    </xf>
    <xf numFmtId="0" fontId="48" fillId="0" borderId="0" xfId="0" applyFont="1" applyNumberFormat="1">
      <alignment horizontal="left" vertical="center" indent="1"/>
    </xf>
    <xf numFmtId="0" fontId="48" fillId="0" borderId="0" xfId="0" applyFont="1" applyNumberFormat="1">
      <alignment horizontal="center" vertical="center" wrapText="1"/>
    </xf>
    <xf numFmtId="0" fontId="48" fillId="0" borderId="0" xfId="0" applyFont="1" applyNumberFormat="1">
      <alignment horizontal="left" vertical="center" wrapText="1" indent="1"/>
    </xf>
    <xf numFmtId="0" fontId="48" fillId="0" borderId="0" xfId="0" applyFont="1" applyNumberFormat="1">
      <alignment horizontal="left" vertical="center" indent="1"/>
    </xf>
    <xf numFmtId="0" fontId="48" fillId="0" borderId="0" xfId="0" applyFont="1" applyNumberFormat="1">
      <alignment vertical="center" wrapText="1"/>
    </xf>
    <xf numFmtId="0" fontId="56" fillId="0" borderId="0" xfId="0" applyFont="1" applyNumberFormat="1">
      <alignment vertical="center" wrapText="1"/>
    </xf>
    <xf numFmtId="0" fontId="22" fillId="0" borderId="0" xfId="0" applyFont="1" applyNumberFormat="1">
      <alignment horizontal="left" vertical="center" wrapText="1" indent="1"/>
    </xf>
    <xf numFmtId="0" fontId="47" fillId="0" borderId="0" xfId="0" applyFont="1" applyNumberFormat="1">
      <alignment horizontal="left" vertical="center" wrapText="1" indent="1"/>
    </xf>
    <xf numFmtId="0" fontId="56" fillId="0" borderId="0" xfId="0" applyFont="1" applyNumberFormat="1">
      <alignment horizontal="left" vertical="center" wrapText="1" indent="1"/>
    </xf>
    <xf numFmtId="0" fontId="57" fillId="0" borderId="0" xfId="0" applyFont="1" applyNumberFormat="1">
      <alignment horizontal="left" vertical="center" indent="1"/>
    </xf>
    <xf numFmtId="0" fontId="56" fillId="0" borderId="0" xfId="0" applyFont="1" applyNumberFormat="1">
      <alignment vertical="center" wrapText="1"/>
    </xf>
    <xf numFmtId="0" fontId="42" fillId="0" borderId="0" xfId="0" applyFont="1" applyNumberFormat="1">
      <alignment vertical="center" wrapText="1"/>
    </xf>
    <xf numFmtId="0" fontId="22" fillId="0" borderId="0" xfId="0" applyFont="1" applyNumberFormat="1">
      <alignment vertical="center" wrapText="1"/>
    </xf>
    <xf numFmtId="0" fontId="47" fillId="0" borderId="0" xfId="0" applyFont="1" applyNumberFormat="1">
      <alignment vertical="center" wrapText="1"/>
    </xf>
    <xf numFmtId="0" fontId="37" fillId="0" borderId="0" xfId="0" applyFont="1" applyNumberFormat="1">
      <alignment horizontal="center" vertical="center" wrapText="1"/>
    </xf>
    <xf numFmtId="0" fontId="22" fillId="0" borderId="0" xfId="0" applyFont="1" applyNumberFormat="1">
      <alignment vertical="center" wrapText="1"/>
    </xf>
    <xf numFmtId="0" fontId="22" fillId="0" borderId="0" xfId="0" applyFont="1" applyNumberFormat="1">
      <alignment vertical="center" wrapText="1"/>
    </xf>
    <xf numFmtId="0" fontId="22" fillId="0" borderId="0" xfId="0" applyFont="1" applyNumberFormat="1">
      <alignment horizontal="right" vertical="center" wrapText="1"/>
    </xf>
    <xf numFmtId="0" fontId="48" fillId="0" borderId="0" xfId="0" applyFont="1" applyNumberFormat="1">
      <alignment vertical="center"/>
    </xf>
    <xf numFmtId="0" fontId="48" fillId="0" borderId="0" xfId="0" applyFont="1" applyNumberFormat="1">
      <alignment vertical="center"/>
    </xf>
    <xf numFmtId="0" fontId="55" fillId="0" borderId="0" xfId="0" applyFont="1" applyNumberFormat="1">
      <alignment vertical="center"/>
    </xf>
    <xf numFmtId="0" fontId="42" fillId="0" borderId="0" xfId="0" applyFont="1" applyNumberFormat="1">
      <alignment vertical="center" wrapText="1"/>
    </xf>
    <xf numFmtId="0" fontId="22" fillId="0" borderId="15" xfId="0" applyFont="1" applyBorder="1" applyNumberFormat="1">
      <alignment horizontal="left" vertical="center" wrapText="1" indent="1"/>
    </xf>
    <xf numFmtId="4" fontId="22" fillId="0" borderId="0" xfId="0" applyFont="1" applyNumberFormat="1">
      <alignment horizontal="right" vertical="center" wrapText="1"/>
    </xf>
    <xf numFmtId="0" fontId="22" fillId="0" borderId="0" xfId="0" applyFont="1" applyNumberFormat="1">
      <alignment horizontal="left" vertical="center" wrapText="1" indent="1"/>
    </xf>
    <xf numFmtId="49" fontId="22" fillId="0" borderId="0" xfId="0" applyFont="1" applyNumberFormat="1">
      <alignment vertical="top"/>
    </xf>
    <xf numFmtId="49" fontId="47" fillId="0" borderId="0" xfId="0" applyFont="1" applyNumberFormat="1">
      <alignment vertical="top"/>
    </xf>
    <xf numFmtId="49" fontId="22" fillId="0" borderId="0" xfId="0" applyFont="1" applyNumberFormat="1">
      <alignment vertical="top"/>
    </xf>
    <xf numFmtId="49" fontId="22" fillId="0" borderId="0" xfId="0" applyFont="1" applyNumberFormat="1">
      <alignment horizontal="center" vertical="center" wrapText="1"/>
    </xf>
    <xf numFmtId="4" fontId="22" fillId="0" borderId="0" xfId="0" applyFont="1" applyNumberFormat="1">
      <alignment horizontal="center" vertical="center" wrapText="1"/>
    </xf>
    <xf numFmtId="0" fontId="22" fillId="0" borderId="0" xfId="0" applyFont="1" applyNumberFormat="1">
      <alignment vertical="center" wrapText="1"/>
    </xf>
    <xf numFmtId="0" fontId="22" fillId="0" borderId="14" xfId="0" applyFont="1" applyBorder="1" applyNumberFormat="1">
      <alignment horizontal="center" vertical="center" wrapText="1"/>
    </xf>
    <xf numFmtId="0" fontId="22" fillId="0" borderId="15" xfId="0" applyFont="1" applyBorder="1" applyNumberFormat="1">
      <alignment horizontal="center" vertical="center" wrapText="1"/>
    </xf>
    <xf numFmtId="0" fontId="22" fillId="0" borderId="13" xfId="0" applyFont="1" applyBorder="1" applyNumberFormat="1">
      <alignment horizontal="center" vertical="center" wrapText="1"/>
    </xf>
    <xf numFmtId="4" fontId="22" fillId="0" borderId="12" xfId="0" applyFont="1" applyBorder="1" applyNumberFormat="1">
      <alignment horizontal="center" vertical="center" wrapText="1"/>
    </xf>
    <xf numFmtId="501" fontId="22" fillId="0" borderId="14" xfId="0" applyFont="1" applyBorder="1" applyNumberFormat="1">
      <alignment horizontal="center" vertical="center" wrapText="1"/>
    </xf>
    <xf numFmtId="501" fontId="22" fillId="0" borderId="12" xfId="0" applyFont="1" applyBorder="1" applyNumberFormat="1">
      <alignment horizontal="center" vertical="center" wrapText="1"/>
    </xf>
    <xf numFmtId="0" fontId="36" fillId="0" borderId="0" xfId="0" applyFont="1" applyNumberFormat="1">
      <alignment horizontal="center" vertical="center" wrapText="1"/>
    </xf>
    <xf numFmtId="49" fontId="36" fillId="0" borderId="15" xfId="0" applyFont="1" applyBorder="1" applyNumberFormat="1">
      <alignment horizontal="center" vertical="center" wrapText="1"/>
    </xf>
    <xf numFmtId="49" fontId="36" fillId="0" borderId="15" xfId="0" applyFont="1" applyBorder="1" applyNumberFormat="1">
      <alignment horizontal="center" vertical="center" wrapText="1"/>
    </xf>
    <xf numFmtId="0" fontId="47" fillId="0" borderId="0" xfId="0" applyFont="1" applyNumberFormat="1">
      <alignment vertical="center"/>
    </xf>
    <xf numFmtId="0" fontId="47" fillId="0" borderId="0" xfId="0" applyFont="1" applyNumberFormat="1">
      <alignment vertical="center"/>
    </xf>
    <xf numFmtId="0" fontId="54" fillId="0" borderId="0" xfId="0" applyFont="1" applyNumberFormat="1">
      <alignment vertical="center"/>
    </xf>
    <xf numFmtId="49" fontId="22" fillId="37" borderId="19" xfId="0" applyFont="1" applyFill="1" applyBorder="1" applyNumberFormat="1">
      <alignment horizontal="center" vertical="center" wrapText="1"/>
    </xf>
    <xf numFmtId="49" fontId="47" fillId="37" borderId="19" xfId="0" applyFont="1" applyFill="1" applyBorder="1" applyNumberFormat="1">
      <alignment horizontal="left" vertical="center" wrapText="1"/>
    </xf>
    <xf numFmtId="49" fontId="47" fillId="37" borderId="20" xfId="0" applyFont="1" applyFill="1" applyBorder="1" applyNumberFormat="1">
      <alignment horizontal="left" vertical="center" wrapText="1"/>
    </xf>
    <xf numFmtId="0" fontId="48" fillId="0" borderId="22" xfId="0" applyFont="1" applyBorder="1" applyNumberFormat="1">
      <alignment vertical="center"/>
    </xf>
    <xf numFmtId="0" fontId="22" fillId="0" borderId="0" xfId="0" applyFont="1" applyNumberFormat="1">
      <alignment horizontal="center" vertical="center" wrapText="1"/>
    </xf>
    <xf numFmtId="0" fontId="37" fillId="0" borderId="0" xfId="0" applyFont="1" applyNumberFormat="1">
      <alignment horizontal="center" vertical="center" wrapText="1"/>
    </xf>
    <xf numFmtId="0" fontId="22" fillId="0" borderId="12" xfId="0" applyFont="1" applyBorder="1" applyNumberFormat="1">
      <alignment horizontal="center" vertical="center" wrapText="1"/>
    </xf>
    <xf numFmtId="0" fontId="48" fillId="0" borderId="12" xfId="0" applyFont="1" applyBorder="1" applyNumberFormat="1">
      <alignment horizontal="center" vertical="center" wrapText="1"/>
    </xf>
    <xf numFmtId="49" fontId="22" fillId="39" borderId="12" xfId="0" applyFont="1" applyFill="1" applyBorder="1" applyNumberFormat="1">
      <alignment vertical="center" wrapText="1"/>
      <protection locked="0"/>
    </xf>
    <xf numFmtId="49" fontId="47" fillId="0" borderId="12" xfId="0" applyFont="1" applyBorder="1" applyNumberFormat="1">
      <alignment horizontal="left" vertical="center" wrapText="1"/>
    </xf>
    <xf numFmtId="0" fontId="48" fillId="0" borderId="0" xfId="0" applyFont="1" applyNumberFormat="1">
      <alignment vertical="center"/>
    </xf>
    <xf numFmtId="0" fontId="48" fillId="0" borderId="0" xfId="0" applyFont="1" applyNumberFormat="1">
      <alignment vertical="center"/>
    </xf>
    <xf numFmtId="0" fontId="42" fillId="0" borderId="0" xfId="0" applyFont="1" applyNumberFormat="1">
      <alignment vertical="center" wrapText="1"/>
    </xf>
    <xf numFmtId="49" fontId="0" fillId="0" borderId="0" xfId="0" applyFont="1" applyNumberFormat="1">
      <alignment vertical="top"/>
    </xf>
    <xf numFmtId="0" fontId="36" fillId="0" borderId="24" xfId="0" applyFont="1" applyBorder="1" applyNumberFormat="1">
      <alignment vertical="top" wrapText="1"/>
    </xf>
    <xf numFmtId="0" fontId="22" fillId="0" borderId="23" xfId="0" applyFont="1" applyBorder="1" applyNumberFormat="1">
      <alignment horizontal="center" vertical="center" wrapText="1"/>
    </xf>
    <xf numFmtId="0" fontId="48" fillId="0" borderId="23" xfId="0" applyFont="1" applyBorder="1" applyNumberFormat="1">
      <alignment horizontal="center" vertical="center" wrapText="1"/>
    </xf>
    <xf numFmtId="14" fontId="22" fillId="40" borderId="23" xfId="0" applyFont="1" applyFill="1" applyBorder="1" applyNumberFormat="1">
      <alignment horizontal="left" vertical="center" wrapText="1" indent="1"/>
    </xf>
    <xf numFmtId="49" fontId="22" fillId="34" borderId="23" xfId="0" applyFont="1" applyFill="1" applyBorder="1" applyNumberFormat="1">
      <alignment horizontal="center" vertical="center" wrapText="1"/>
    </xf>
    <xf numFmtId="0" fontId="74" fillId="0" borderId="0" xfId="0" applyFont="1" applyNumberFormat="1">
      <alignment vertical="center" wrapText="1"/>
    </xf>
    <xf numFmtId="49" fontId="47" fillId="0" borderId="0" xfId="0" applyFont="1" applyNumberFormat="1">
      <alignment vertical="top"/>
    </xf>
    <xf numFmtId="49" fontId="48" fillId="0" borderId="0" xfId="0" applyFont="1" applyNumberFormat="1">
      <alignment vertical="top"/>
    </xf>
    <xf numFmtId="49" fontId="0" fillId="0" borderId="0" xfId="0" applyFont="1" applyNumberFormat="1">
      <alignment vertical="top"/>
    </xf>
    <xf numFmtId="0" fontId="0" fillId="0" borderId="0" xfId="0" applyFont="1" applyNumberFormat="1">
      <alignment vertical="center" wrapText="1"/>
    </xf>
    <xf numFmtId="0" fontId="36" fillId="0" borderId="0" xfId="0" applyFont="1" applyNumberFormat="1">
      <alignment vertical="top" wrapText="1"/>
    </xf>
    <xf numFmtId="49" fontId="50" fillId="37" borderId="14" xfId="0" applyFont="1" applyFill="1" applyBorder="1" applyNumberFormat="1">
      <alignment horizontal="right" vertical="center" wrapText="1"/>
    </xf>
    <xf numFmtId="49" fontId="50" fillId="37" borderId="15" xfId="0" applyFont="1" applyFill="1" applyBorder="1" applyNumberFormat="1">
      <alignment horizontal="right" vertical="center" wrapText="1"/>
    </xf>
    <xf numFmtId="49" fontId="40" fillId="37" borderId="15" xfId="0" applyFont="1" applyFill="1" applyBorder="1" applyNumberFormat="1">
      <alignment horizontal="left" vertical="center" indent="1"/>
    </xf>
    <xf numFmtId="49" fontId="0" fillId="37" borderId="15" xfId="0" applyFont="1" applyFill="1" applyBorder="1" applyNumberFormat="1">
      <alignment horizontal="right" vertical="center" wrapText="1"/>
    </xf>
    <xf numFmtId="49" fontId="0" fillId="37" borderId="13" xfId="0" applyFont="1" applyFill="1" applyBorder="1" applyNumberFormat="1">
      <alignment horizontal="right" vertical="center" wrapText="1"/>
    </xf>
    <xf numFmtId="49" fontId="22" fillId="37" borderId="14"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40" fillId="37" borderId="15" xfId="0" applyFont="1" applyFill="1" applyBorder="1" applyNumberFormat="1">
      <alignment horizontal="left" vertical="center"/>
    </xf>
    <xf numFmtId="49" fontId="22" fillId="37" borderId="13" xfId="0" applyFont="1" applyFill="1" applyBorder="1" applyNumberFormat="1">
      <alignment horizontal="right" vertical="center" wrapText="1"/>
    </xf>
    <xf numFmtId="0" fontId="37" fillId="0" borderId="0" xfId="0" applyFont="1" applyNumberFormat="1">
      <alignment horizontal="center" vertical="center" wrapText="1"/>
    </xf>
    <xf numFmtId="0" fontId="22" fillId="0" borderId="21" xfId="0" applyFont="1" applyBorder="1" applyNumberFormat="1">
      <alignment vertical="center" wrapText="1"/>
    </xf>
    <xf numFmtId="0" fontId="45" fillId="0" borderId="0" xfId="0" applyFont="1" applyNumberFormat="1">
      <alignment vertical="center" wrapText="1"/>
    </xf>
    <xf numFmtId="0" fontId="94" fillId="0" borderId="0" xfId="0" applyFont="1" applyNumberFormat="1">
      <alignment vertical="center" wrapText="1"/>
    </xf>
    <xf numFmtId="0" fontId="51" fillId="0" borderId="0" xfId="0" applyFont="1" applyNumberFormat="1">
      <alignment horizontal="center" vertical="center" wrapText="1"/>
    </xf>
    <xf numFmtId="0" fontId="45" fillId="0" borderId="0" xfId="0" applyFont="1" applyNumberFormat="1">
      <alignment vertical="center" wrapText="1"/>
    </xf>
    <xf numFmtId="49" fontId="0" fillId="0" borderId="0" xfId="0" applyFont="1" applyNumberFormat="1">
      <alignment vertical="top"/>
    </xf>
    <xf numFmtId="0" fontId="37" fillId="0" borderId="0" xfId="0" applyFont="1" applyNumberFormat="1">
      <alignment horizontal="center" vertical="center" wrapText="1"/>
    </xf>
    <xf numFmtId="0" fontId="48" fillId="0" borderId="0" xfId="0" applyFont="1" applyNumberFormat="1">
      <alignment vertical="center"/>
    </xf>
    <xf numFmtId="0" fontId="0" fillId="0" borderId="0" xfId="0" applyFont="1" applyNumberFormat="1">
      <alignment vertical="center"/>
    </xf>
    <xf numFmtId="0" fontId="22" fillId="0" borderId="0" xfId="0" applyFont="1" applyNumberFormat="1">
      <alignment vertical="center"/>
    </xf>
    <xf numFmtId="0" fontId="22" fillId="0" borderId="20" xfId="0" applyFont="1" applyBorder="1" applyNumberFormat="1">
      <alignment horizontal="left" vertical="center" wrapText="1" indent="1"/>
    </xf>
    <xf numFmtId="0" fontId="22" fillId="0" borderId="17" xfId="0" applyFont="1" applyBorder="1" applyNumberFormat="1">
      <alignment horizontal="left" vertical="center" wrapText="1" indent="1"/>
    </xf>
    <xf numFmtId="0" fontId="22" fillId="0" borderId="37" xfId="0" applyFont="1" applyBorder="1" applyNumberFormat="1">
      <alignment horizontal="left" vertical="center" wrapText="1" indent="1"/>
    </xf>
    <xf numFmtId="0" fontId="47" fillId="0" borderId="0" xfId="0" applyFont="1" applyNumberFormat="1">
      <alignment vertical="center"/>
    </xf>
    <xf numFmtId="0" fontId="41" fillId="0" borderId="0" xfId="0" applyFont="1" applyNumberFormat="1">
      <alignment vertical="center"/>
    </xf>
    <xf numFmtId="0" fontId="22" fillId="0" borderId="29" xfId="0" applyFont="1" applyBorder="1" applyNumberFormat="1">
      <alignment horizontal="left" vertical="center" indent="1"/>
    </xf>
    <xf numFmtId="0" fontId="22" fillId="0" borderId="23" xfId="0" applyFont="1" applyBorder="1" applyNumberFormat="1">
      <alignment horizontal="left" vertical="center" indent="1"/>
    </xf>
    <xf numFmtId="0" fontId="22" fillId="0" borderId="30" xfId="0" applyFont="1" applyBorder="1" applyNumberFormat="1">
      <alignment horizontal="left" vertical="center" indent="1"/>
    </xf>
    <xf numFmtId="0" fontId="86" fillId="0" borderId="0" xfId="0" applyFont="1" applyNumberFormat="1">
      <alignment vertical="center"/>
    </xf>
    <xf numFmtId="0" fontId="49" fillId="0" borderId="0" xfId="0" applyFont="1" applyNumberFormat="1">
      <alignment vertical="center"/>
    </xf>
    <xf numFmtId="0" fontId="108" fillId="0" borderId="0" xfId="0" applyFont="1" applyNumberFormat="1">
      <alignment vertical="center"/>
    </xf>
    <xf numFmtId="0" fontId="41" fillId="0" borderId="0" xfId="0" applyFont="1" applyNumberFormat="1">
      <alignment vertical="center"/>
    </xf>
    <xf numFmtId="0" fontId="22" fillId="0" borderId="0" xfId="0" applyFont="1" applyNumberFormat="1">
      <alignment vertical="center" wrapText="1"/>
    </xf>
    <xf numFmtId="0" fontId="86" fillId="0" borderId="0" xfId="0" applyFont="1" applyNumberFormat="1">
      <alignment vertical="center"/>
    </xf>
    <xf numFmtId="0" fontId="49" fillId="0" borderId="0" xfId="0" applyFont="1" applyNumberFormat="1">
      <alignment vertical="center"/>
    </xf>
    <xf numFmtId="0" fontId="108" fillId="0" borderId="0" xfId="0" applyFont="1" applyNumberFormat="1">
      <alignment vertical="center"/>
    </xf>
    <xf numFmtId="0" fontId="0" fillId="0" borderId="0" xfId="0" applyFont="1" applyNumberFormat="1">
      <alignment horizontal="left" vertical="center" wrapText="1" indent="2"/>
    </xf>
    <xf numFmtId="0" fontId="0" fillId="0" borderId="0" xfId="0" applyFont="1" applyNumberFormat="1">
      <alignment horizontal="left" vertical="center" indent="2"/>
    </xf>
    <xf numFmtId="0" fontId="31" fillId="0" borderId="0" xfId="0" applyFont="1" applyNumberFormat="1">
      <alignment vertical="center"/>
    </xf>
    <xf numFmtId="0" fontId="22" fillId="42" borderId="0" xfId="0" applyFont="1" applyFill="1" applyNumberFormat="1">
      <alignment horizontal="center" vertical="center" wrapText="1"/>
    </xf>
    <xf numFmtId="0" fontId="22" fillId="0" borderId="0" xfId="0" applyFont="1" applyNumberFormat="1">
      <alignment vertical="center" wrapText="1"/>
    </xf>
    <xf numFmtId="0" fontId="22" fillId="0" borderId="12" xfId="0" applyFont="1" applyBorder="1" applyNumberFormat="1">
      <alignment horizontal="center" vertical="center" wrapText="1"/>
    </xf>
    <xf numFmtId="0" fontId="75" fillId="0" borderId="37" xfId="0" applyFont="1" applyBorder="1" applyNumberFormat="1">
      <alignment horizontal="center" vertical="center" wrapText="1"/>
    </xf>
    <xf numFmtId="0" fontId="75" fillId="0" borderId="19" xfId="0" applyFont="1" applyBorder="1" applyNumberFormat="1">
      <alignment horizontal="center" vertical="center" wrapText="1"/>
    </xf>
    <xf numFmtId="0" fontId="75" fillId="0" borderId="12" xfId="0" applyFont="1" applyBorder="1" applyNumberFormat="1">
      <alignment horizontal="center" vertical="center" wrapText="1"/>
    </xf>
    <xf numFmtId="0" fontId="22" fillId="0" borderId="0" xfId="0" applyFont="1" applyNumberFormat="1">
      <alignment horizontal="center" vertical="center" wrapText="1"/>
    </xf>
    <xf numFmtId="0" fontId="82" fillId="0" borderId="0" xfId="0" applyFont="1" applyNumberFormat="1">
      <alignment horizontal="center" vertical="center" wrapText="1"/>
    </xf>
    <xf numFmtId="0" fontId="22" fillId="0" borderId="12" xfId="0" applyFont="1" applyBorder="1" applyNumberFormat="1">
      <alignment horizontal="center" vertical="center" wrapText="1"/>
    </xf>
    <xf numFmtId="0" fontId="22" fillId="0" borderId="71" xfId="0" applyFont="1" applyBorder="1" applyNumberFormat="1">
      <alignment horizontal="center" vertical="center" wrapText="1"/>
    </xf>
    <xf numFmtId="0" fontId="22" fillId="0" borderId="72" xfId="0" applyFont="1" applyBorder="1" applyNumberFormat="1">
      <alignment horizontal="center" vertical="center" wrapText="1"/>
    </xf>
    <xf numFmtId="0" fontId="47" fillId="0" borderId="22" xfId="0" applyFont="1" applyBorder="1" applyNumberFormat="1">
      <alignment vertical="center"/>
    </xf>
    <xf numFmtId="0" fontId="0" fillId="0" borderId="0" xfId="0" applyFont="1" applyNumberFormat="1">
      <alignment vertical="center"/>
    </xf>
    <xf numFmtId="49" fontId="36" fillId="0" borderId="0" xfId="0" applyFont="1" applyNumberFormat="1">
      <alignment horizontal="center" vertical="center" wrapText="1"/>
    </xf>
    <xf numFmtId="49" fontId="36" fillId="0" borderId="12" xfId="0" applyFont="1" applyBorder="1" applyNumberFormat="1">
      <alignment horizontal="center" vertical="center" wrapText="1"/>
    </xf>
    <xf numFmtId="49" fontId="36" fillId="0" borderId="69" xfId="0" applyFont="1" applyBorder="1" applyNumberFormat="1">
      <alignment horizontal="center" vertical="center" wrapText="1"/>
    </xf>
    <xf numFmtId="49" fontId="36" fillId="0" borderId="70" xfId="0" applyFont="1" applyBorder="1" applyNumberFormat="1">
      <alignment horizontal="center" vertical="center" wrapText="1"/>
    </xf>
    <xf numFmtId="49" fontId="36" fillId="0" borderId="14" xfId="0" applyFont="1" applyBorder="1" applyNumberFormat="1">
      <alignment horizontal="center" vertical="center" wrapText="1"/>
    </xf>
    <xf numFmtId="49" fontId="36" fillId="0" borderId="13" xfId="0" applyFont="1" applyBorder="1" applyNumberFormat="1">
      <alignment horizontal="center" vertical="center" wrapText="1"/>
    </xf>
    <xf numFmtId="0" fontId="47" fillId="0" borderId="22" xfId="0" applyFont="1" applyBorder="1" applyNumberFormat="1">
      <alignment vertical="center"/>
    </xf>
    <xf numFmtId="0" fontId="48" fillId="0" borderId="0" xfId="0" applyFont="1" applyNumberFormat="1">
      <alignment vertical="center"/>
    </xf>
    <xf numFmtId="0" fontId="48" fillId="0" borderId="0" xfId="0" applyFont="1" applyNumberFormat="1">
      <alignment vertical="center"/>
    </xf>
    <xf numFmtId="0" fontId="22" fillId="0" borderId="0" xfId="0" applyFont="1" applyNumberFormat="1">
      <alignment vertical="center"/>
    </xf>
    <xf numFmtId="0" fontId="47" fillId="0" borderId="0" xfId="0" applyFont="1" applyNumberFormat="1">
      <alignment vertical="center"/>
    </xf>
    <xf numFmtId="0" fontId="0" fillId="0" borderId="0" xfId="0" applyFont="1" applyNumberFormat="1">
      <alignment vertical="center"/>
    </xf>
    <xf numFmtId="0" fontId="48" fillId="0" borderId="0" xfId="0" applyFont="1" applyNumberFormat="1">
      <alignment horizontal="center" vertical="center"/>
    </xf>
    <xf numFmtId="0" fontId="22" fillId="0" borderId="0" xfId="0" applyFont="1" applyNumberFormat="1">
      <alignment horizontal="center" vertical="center" wrapText="1"/>
    </xf>
    <xf numFmtId="0" fontId="22" fillId="37" borderId="14"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41" xfId="0" applyFont="1" applyFill="1" applyBorder="1" applyNumberFormat="1">
      <alignment horizontal="center" vertical="center" wrapText="1"/>
    </xf>
    <xf numFmtId="49" fontId="0" fillId="37" borderId="15" xfId="0" applyFont="1" applyFill="1" applyBorder="1" applyNumberFormat="1">
      <alignment horizontal="left" vertical="center"/>
    </xf>
    <xf numFmtId="0" fontId="0" fillId="37" borderId="13" xfId="0" applyFont="1" applyFill="1" applyBorder="1" applyNumberFormat="1">
      <alignment vertical="center"/>
    </xf>
    <xf numFmtId="49" fontId="0" fillId="0" borderId="0" xfId="0" applyFont="1" applyNumberFormat="1">
      <alignment vertical="top"/>
    </xf>
    <xf numFmtId="0" fontId="37"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pplyNumberFormat="1">
      <alignment horizontal="left" vertical="center" wrapText="1" indent="2"/>
    </xf>
    <xf numFmtId="49" fontId="22" fillId="40" borderId="23" xfId="0" applyFont="1" applyFill="1" applyBorder="1" applyNumberFormat="1">
      <alignment horizontal="center" vertical="center" wrapText="1"/>
    </xf>
    <xf numFmtId="14" fontId="81" fillId="0" borderId="68" xfId="0" applyFont="1" applyBorder="1" applyNumberFormat="1">
      <alignment horizontal="center" vertical="center" wrapText="1"/>
    </xf>
    <xf numFmtId="0" fontId="22" fillId="0" borderId="68" xfId="0" applyFont="1" applyBorder="1" applyNumberFormat="1">
      <alignment horizontal="center" vertical="center" wrapText="1"/>
    </xf>
    <xf numFmtId="0" fontId="22" fillId="40" borderId="17" xfId="0" applyFont="1" applyFill="1" applyBorder="1" applyNumberFormat="1">
      <alignment horizontal="left" vertical="center" wrapText="1" indent="1"/>
    </xf>
    <xf numFmtId="49" fontId="22" fillId="40" borderId="12" xfId="0" applyFont="1" applyFill="1" applyBorder="1" applyNumberFormat="1">
      <alignment horizontal="center" vertical="center" wrapText="1"/>
    </xf>
    <xf numFmtId="49" fontId="22" fillId="0" borderId="17" xfId="0" applyFont="1" applyBorder="1" applyNumberFormat="1">
      <alignment horizontal="center" vertical="center" wrapText="1"/>
    </xf>
    <xf numFmtId="49" fontId="22" fillId="0" borderId="12" xfId="0" applyFont="1" applyBorder="1" applyNumberFormat="1">
      <alignment horizontal="center" vertical="center" wrapText="1"/>
    </xf>
    <xf numFmtId="49" fontId="75" fillId="0" borderId="12" xfId="0" applyFont="1" applyBorder="1" applyNumberFormat="1">
      <alignment horizontal="left" vertical="center" wrapText="1" indent="1"/>
    </xf>
    <xf numFmtId="0" fontId="47" fillId="0" borderId="22" xfId="0" applyFont="1" applyBorder="1" applyNumberFormat="1">
      <alignment vertical="center"/>
    </xf>
    <xf numFmtId="0" fontId="48" fillId="0" borderId="0" xfId="0" applyFont="1" applyNumberFormat="1">
      <alignment vertical="center"/>
    </xf>
    <xf numFmtId="0" fontId="22" fillId="0" borderId="0" xfId="0" applyFont="1" applyNumberFormat="1">
      <alignment vertical="center"/>
    </xf>
    <xf numFmtId="0" fontId="47" fillId="0" borderId="0" xfId="0" applyFont="1" applyNumberFormat="1">
      <alignment vertical="center"/>
    </xf>
    <xf numFmtId="0" fontId="0" fillId="0" borderId="0" xfId="0" applyFont="1" applyNumberFormat="1">
      <alignment vertical="center"/>
    </xf>
    <xf numFmtId="0" fontId="22" fillId="40" borderId="36" xfId="0" applyFont="1" applyFill="1" applyBorder="1" applyNumberFormat="1">
      <alignment horizontal="left" vertical="center" wrapText="1" indent="2"/>
    </xf>
    <xf numFmtId="0" fontId="22" fillId="40" borderId="23" xfId="0" applyFont="1" applyFill="1" applyBorder="1" applyNumberFormat="1">
      <alignment horizontal="left" vertical="center" wrapText="1" indent="1"/>
    </xf>
    <xf numFmtId="49" fontId="40" fillId="37" borderId="13" xfId="0" applyFont="1" applyFill="1" applyBorder="1" applyNumberFormat="1">
      <alignment horizontal="left" vertical="center" indent="1"/>
    </xf>
    <xf numFmtId="0" fontId="22" fillId="40" borderId="23" xfId="0" applyFont="1" applyFill="1" applyBorder="1" applyNumberFormat="1">
      <alignment horizontal="left" vertical="center" wrapText="1" indent="2"/>
    </xf>
    <xf numFmtId="49" fontId="50" fillId="37" borderId="42" xfId="0" applyFont="1" applyFill="1" applyBorder="1" applyNumberFormat="1">
      <alignment horizontal="right" vertical="center" wrapText="1"/>
    </xf>
    <xf numFmtId="49" fontId="50" fillId="37" borderId="43" xfId="0" applyFont="1" applyFill="1" applyBorder="1" applyNumberFormat="1">
      <alignment horizontal="right" vertical="center" wrapText="1"/>
    </xf>
    <xf numFmtId="49" fontId="40" fillId="37" borderId="15" xfId="0" applyFont="1" applyFill="1" applyBorder="1" applyNumberFormat="1">
      <alignment horizontal="left" vertical="center" indent="1"/>
    </xf>
    <xf numFmtId="49" fontId="50" fillId="37" borderId="13" xfId="0" applyFont="1" applyFill="1" applyBorder="1" applyNumberFormat="1">
      <alignment horizontal="right" vertical="center" wrapText="1"/>
    </xf>
    <xf numFmtId="0" fontId="75" fillId="42" borderId="0" xfId="0" applyFont="1" applyFill="1" applyNumberFormat="1">
      <alignment vertical="top"/>
    </xf>
    <xf numFmtId="49" fontId="22" fillId="0" borderId="0" xfId="0" applyFont="1" applyNumberFormat="1">
      <alignment vertical="center" wrapText="1"/>
    </xf>
    <xf numFmtId="49" fontId="22" fillId="0" borderId="0" xfId="0" applyFont="1" applyNumberFormat="1">
      <alignment horizontal="center" vertical="center" wrapText="1"/>
    </xf>
    <xf numFmtId="49" fontId="40" fillId="37" borderId="15" xfId="0" applyFont="1" applyFill="1" applyBorder="1" applyNumberFormat="1">
      <alignment horizontal="left" vertical="center" indent="2"/>
    </xf>
    <xf numFmtId="0" fontId="22" fillId="0" borderId="0" xfId="0" applyFont="1" applyNumberFormat="1">
      <alignment vertical="center"/>
    </xf>
    <xf numFmtId="0" fontId="47" fillId="0" borderId="0" xfId="0" applyFont="1" applyNumberFormat="1">
      <alignment vertical="center"/>
    </xf>
    <xf numFmtId="0" fontId="48" fillId="0" borderId="0" xfId="0" applyFont="1" applyNumberFormat="1">
      <alignment vertical="center"/>
    </xf>
    <xf numFmtId="0" fontId="0" fillId="0" borderId="0" xfId="0" applyFont="1" applyNumberFormat="1">
      <alignment vertical="center"/>
    </xf>
    <xf numFmtId="0" fontId="49" fillId="0" borderId="0" xfId="0" applyFont="1" applyNumberFormat="1">
      <alignment vertical="center"/>
    </xf>
    <xf numFmtId="0" fontId="22" fillId="0" borderId="20" xfId="0" applyFont="1" applyBorder="1" applyNumberFormat="1">
      <alignment horizontal="left" vertical="top" wrapText="1" indent="1"/>
    </xf>
    <xf numFmtId="0" fontId="22" fillId="0" borderId="17" xfId="0" applyFont="1" applyBorder="1" applyNumberFormat="1">
      <alignment horizontal="left" vertical="top" wrapText="1" indent="1"/>
    </xf>
    <xf numFmtId="0" fontId="22" fillId="0" borderId="37" xfId="0" applyFont="1" applyBorder="1" applyNumberFormat="1">
      <alignment horizontal="left" vertical="top" wrapText="1" indent="1"/>
    </xf>
    <xf numFmtId="0" fontId="64" fillId="0" borderId="0" xfId="0" applyFont="1" applyNumberFormat="1">
      <alignment vertical="center" wrapText="1"/>
    </xf>
    <xf numFmtId="0" fontId="46" fillId="0" borderId="0" xfId="0" applyFont="1" applyNumberFormat="1">
      <alignment vertical="center" wrapText="1"/>
    </xf>
    <xf numFmtId="0" fontId="46" fillId="0" borderId="0" xfId="0" applyFont="1" applyNumberFormat="1">
      <alignment vertical="center" wrapText="1"/>
    </xf>
    <xf numFmtId="0" fontId="108" fillId="0" borderId="0" xfId="0" applyFont="1" applyNumberFormat="1">
      <alignment vertical="center"/>
    </xf>
    <xf numFmtId="0" fontId="41" fillId="0" borderId="0" xfId="0" applyFont="1" applyNumberFormat="1">
      <alignment vertical="center"/>
    </xf>
    <xf numFmtId="0" fontId="22" fillId="0" borderId="27" xfId="0" applyFont="1" applyBorder="1" applyNumberFormat="1">
      <alignment horizontal="left" vertical="center" indent="1"/>
    </xf>
    <xf numFmtId="0" fontId="67" fillId="0" borderId="0" xfId="0" applyFont="1" applyNumberFormat="1">
      <alignment vertical="center"/>
    </xf>
    <xf numFmtId="0" fontId="48" fillId="0" borderId="0" xfId="0" applyFont="1" applyNumberFormat="1">
      <alignment vertical="center"/>
    </xf>
    <xf numFmtId="0" fontId="72" fillId="0" borderId="24" xfId="0" applyFont="1" applyBorder="1" applyNumberFormat="1">
      <alignment horizontal="left" vertical="center" wrapText="1" indent="1"/>
    </xf>
    <xf numFmtId="0" fontId="72" fillId="0" borderId="36" xfId="0" applyFont="1" applyBorder="1" applyNumberFormat="1">
      <alignment horizontal="left" vertical="center" wrapText="1" indent="1"/>
    </xf>
    <xf numFmtId="0" fontId="72" fillId="0" borderId="22" xfId="0" applyFont="1" applyBorder="1" applyNumberFormat="1">
      <alignment horizontal="left" vertical="center" wrapText="1" indent="1"/>
    </xf>
    <xf numFmtId="0" fontId="22" fillId="0" borderId="0" xfId="0" applyFont="1" applyNumberFormat="1">
      <alignment vertical="center"/>
    </xf>
    <xf numFmtId="0" fontId="67" fillId="0" borderId="0" xfId="0" applyFont="1" applyNumberFormat="1">
      <alignment vertical="center"/>
    </xf>
    <xf numFmtId="0" fontId="31" fillId="0" borderId="0" xfId="0" applyFont="1" applyNumberFormat="1">
      <alignment vertical="center"/>
    </xf>
    <xf numFmtId="0" fontId="41" fillId="0" borderId="0" xfId="0" applyFont="1" applyNumberFormat="1">
      <alignment vertical="center"/>
    </xf>
    <xf numFmtId="0" fontId="0"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0" xfId="0" applyFont="1" applyNumberFormat="1">
      <alignment vertical="center"/>
    </xf>
    <xf numFmtId="49" fontId="48" fillId="35" borderId="0" xfId="0" applyFont="1" applyFill="1" applyNumberFormat="1">
      <alignment horizontal="center" vertical="center" wrapText="1"/>
    </xf>
    <xf numFmtId="49" fontId="48" fillId="35" borderId="27" xfId="0" applyFont="1" applyFill="1" applyBorder="1" applyNumberFormat="1">
      <alignment horizontal="center" vertical="center" wrapText="1"/>
    </xf>
    <xf numFmtId="0" fontId="48" fillId="0" borderId="0" xfId="0" applyFont="1" applyNumberFormat="1">
      <alignment vertical="center"/>
    </xf>
    <xf numFmtId="0" fontId="37" fillId="0" borderId="0" xfId="0" applyFont="1" applyNumberFormat="1">
      <alignment horizontal="center" vertical="center" wrapText="1"/>
    </xf>
    <xf numFmtId="0" fontId="48" fillId="0" borderId="12" xfId="0" applyFont="1" applyBorder="1" applyNumberFormat="1">
      <alignment horizontal="center" vertical="center"/>
    </xf>
    <xf numFmtId="0" fontId="22" fillId="0" borderId="12" xfId="0" applyFont="1" applyBorder="1" applyNumberFormat="1">
      <alignment horizontal="center" vertical="center" wrapText="1"/>
    </xf>
    <xf numFmtId="0" fontId="0" fillId="0" borderId="12" xfId="0" applyFont="1" applyBorder="1" applyNumberFormat="1">
      <alignment horizontal="center" vertical="center"/>
    </xf>
    <xf numFmtId="49" fontId="22" fillId="0" borderId="12" xfId="0" applyFont="1" applyBorder="1" applyNumberFormat="1">
      <alignment horizontal="center" vertical="center" wrapText="1"/>
    </xf>
    <xf numFmtId="49" fontId="22" fillId="0" borderId="12" xfId="0" applyFont="1" applyBorder="1" applyNumberFormat="1">
      <alignment horizontal="center" vertical="center" wrapText="1"/>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12" xfId="0" applyFont="1" applyBorder="1" applyNumberFormat="1">
      <alignment horizontal="center" vertical="center" wrapText="1"/>
    </xf>
    <xf numFmtId="49" fontId="22" fillId="0" borderId="12" xfId="0" applyFont="1" applyBorder="1" applyNumberFormat="1">
      <alignment horizontal="center" vertical="center" wrapText="1"/>
    </xf>
    <xf numFmtId="49" fontId="0" fillId="0" borderId="12" xfId="0" applyFont="1" applyBorder="1" applyNumberFormat="1">
      <alignment horizontal="left" vertical="center"/>
    </xf>
    <xf numFmtId="0" fontId="0" fillId="0" borderId="0" xfId="0" applyFont="1" applyNumberFormat="1">
      <alignment vertical="center"/>
    </xf>
    <xf numFmtId="49" fontId="0" fillId="0" borderId="0" xfId="0" applyFont="1" applyNumberFormat="1">
      <alignment vertical="center"/>
    </xf>
    <xf numFmtId="0" fontId="0" fillId="0" borderId="12" xfId="0" applyFont="1" applyBorder="1" applyNumberFormat="1">
      <alignment horizontal="center" vertical="top"/>
    </xf>
    <xf numFmtId="0" fontId="22" fillId="0" borderId="12" xfId="0" applyFont="1" applyBorder="1" applyNumberFormat="1">
      <alignment horizontal="left" vertical="top" wrapText="1"/>
    </xf>
    <xf numFmtId="0" fontId="22" fillId="40" borderId="17" xfId="0" applyFont="1" applyFill="1" applyBorder="1" applyNumberFormat="1">
      <alignment horizontal="center" vertical="top" wrapText="1"/>
    </xf>
    <xf numFmtId="0" fontId="0" fillId="0" borderId="37" xfId="0" applyFont="1" applyBorder="1" applyNumberFormat="1">
      <alignment horizontal="center" vertical="center"/>
    </xf>
    <xf numFmtId="0" fontId="0" fillId="0" borderId="19" xfId="0" applyFont="1" applyBorder="1" applyNumberFormat="1">
      <alignment horizontal="center" vertical="center"/>
    </xf>
    <xf numFmtId="49" fontId="22"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0" fillId="0" borderId="19" xfId="0" applyFont="1" applyBorder="1" applyNumberFormat="1">
      <alignment horizontal="left"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22" fillId="0" borderId="20" xfId="0" applyFont="1" applyBorder="1" applyNumberFormat="1">
      <alignment horizontal="left" vertical="center" wrapText="1"/>
    </xf>
    <xf numFmtId="0" fontId="22" fillId="0" borderId="0" xfId="0" applyFont="1" applyNumberFormat="1">
      <alignment horizontal="left" vertical="center" indent="1"/>
    </xf>
    <xf numFmtId="0" fontId="0" fillId="0" borderId="0" xfId="0" applyFont="1" applyNumberFormat="1">
      <alignment vertical="center"/>
    </xf>
    <xf numFmtId="0" fontId="0" fillId="0" borderId="0" xfId="0" applyFont="1" applyNumberFormat="1">
      <alignment vertical="center"/>
    </xf>
    <xf numFmtId="0" fontId="22" fillId="40" borderId="36" xfId="0" applyFont="1" applyFill="1" applyBorder="1" applyNumberFormat="1">
      <alignment horizontal="center" vertical="top" wrapText="1"/>
    </xf>
    <xf numFmtId="0" fontId="0" fillId="0" borderId="22" xfId="0" applyFont="1" applyBorder="1" applyNumberFormat="1">
      <alignment horizontal="center" vertical="center"/>
    </xf>
    <xf numFmtId="0" fontId="0" fillId="0" borderId="0" xfId="0" applyFont="1" applyNumberFormat="1">
      <alignment horizontal="center" vertical="center"/>
    </xf>
    <xf numFmtId="49" fontId="22" fillId="0" borderId="0" xfId="0" applyFont="1" applyNumberFormat="1">
      <alignment horizontal="left" vertical="center" wrapText="1"/>
    </xf>
    <xf numFmtId="49" fontId="22" fillId="0" borderId="0" xfId="0" applyFont="1" applyNumberFormat="1">
      <alignment horizontal="center" vertical="center" wrapText="1"/>
    </xf>
    <xf numFmtId="0" fontId="0" fillId="0" borderId="0" xfId="0" applyFont="1" applyNumberFormat="1">
      <alignment horizontal="left" vertical="center" wrapText="1"/>
    </xf>
    <xf numFmtId="49" fontId="0" fillId="0" borderId="0" xfId="0" applyFont="1" applyNumberFormat="1">
      <alignment horizontal="left" vertical="center" wrapText="1"/>
    </xf>
    <xf numFmtId="0" fontId="40" fillId="0" borderId="0" xfId="0" applyFont="1" applyNumberFormat="1">
      <alignment horizontal="left" vertical="center"/>
    </xf>
    <xf numFmtId="0" fontId="40" fillId="0" borderId="24" xfId="0" applyFont="1" applyBorder="1" applyNumberFormat="1">
      <alignment horizontal="left" vertical="center"/>
    </xf>
    <xf numFmtId="49" fontId="0" fillId="0" borderId="0" xfId="0" applyFont="1" applyNumberFormat="1">
      <alignment horizontal="left" vertical="top"/>
    </xf>
    <xf numFmtId="49" fontId="22" fillId="0" borderId="0" xfId="0" applyFont="1" applyNumberFormat="1">
      <alignment horizontal="center" vertical="center" wrapText="1"/>
    </xf>
    <xf numFmtId="0" fontId="0" fillId="0" borderId="0" xfId="0" applyFont="1" applyNumberFormat="1">
      <alignment vertical="center"/>
    </xf>
    <xf numFmtId="0" fontId="0" fillId="0" borderId="0" xfId="0" applyFont="1" applyNumberFormat="1">
      <alignment vertical="center"/>
    </xf>
    <xf numFmtId="49" fontId="0" fillId="0" borderId="12" xfId="0" applyFont="1" applyBorder="1" applyNumberFormat="1">
      <alignment vertical="top"/>
    </xf>
    <xf numFmtId="49" fontId="0" fillId="0" borderId="12" xfId="0" applyFont="1" applyBorder="1" applyNumberFormat="1">
      <alignment horizontal="left" vertical="top"/>
    </xf>
    <xf numFmtId="0" fontId="22" fillId="40" borderId="23" xfId="0" applyFont="1" applyFill="1" applyBorder="1" applyNumberFormat="1">
      <alignment horizontal="center" vertical="top" wrapText="1"/>
    </xf>
    <xf numFmtId="0" fontId="40" fillId="0" borderId="30" xfId="0" applyFont="1" applyBorder="1" applyNumberFormat="1">
      <alignment horizontal="left" vertical="center"/>
    </xf>
    <xf numFmtId="0" fontId="40" fillId="0" borderId="27" xfId="0" applyFont="1" applyBorder="1" applyNumberFormat="1">
      <alignment horizontal="left" vertical="center"/>
    </xf>
    <xf numFmtId="0" fontId="0" fillId="0" borderId="27" xfId="0" applyFont="1" applyBorder="1" applyNumberFormat="1">
      <alignment vertical="center"/>
    </xf>
    <xf numFmtId="0" fontId="40" fillId="0" borderId="29" xfId="0" applyFont="1" applyBorder="1" applyNumberFormat="1">
      <alignment horizontal="left" vertical="center"/>
    </xf>
    <xf numFmtId="0" fontId="22" fillId="39" borderId="12" xfId="0" applyFont="1" applyFill="1" applyBorder="1" applyNumberFormat="1">
      <alignment horizontal="left" vertical="top" wrapText="1"/>
      <protection locked="0"/>
    </xf>
    <xf numFmtId="0" fontId="22" fillId="40" borderId="12" xfId="0" applyFont="1" applyFill="1" applyBorder="1" applyNumberFormat="1">
      <alignment horizontal="left" vertical="top" wrapText="1"/>
    </xf>
    <xf numFmtId="0" fontId="0" fillId="0" borderId="12" xfId="0" applyFont="1" applyBorder="1" applyNumberFormat="1">
      <alignment horizontal="center" vertical="center"/>
    </xf>
    <xf numFmtId="49" fontId="22" fillId="36" borderId="12" xfId="0" applyFont="1" applyFill="1" applyBorder="1" applyNumberFormat="1">
      <alignment horizontal="left" vertical="center" wrapText="1"/>
      <protection locked="0"/>
    </xf>
    <xf numFmtId="49" fontId="22" fillId="40" borderId="17" xfId="0" applyFont="1" applyFill="1" applyBorder="1" applyNumberFormat="1">
      <alignment horizontal="center" vertical="center" wrapText="1"/>
    </xf>
    <xf numFmtId="49" fontId="22" fillId="0" borderId="12" xfId="0" applyFont="1" applyBorder="1" applyNumberFormat="1">
      <alignment horizontal="center" vertical="center" wrapText="1"/>
    </xf>
    <xf numFmtId="0" fontId="0" fillId="40" borderId="12" xfId="0" applyFont="1" applyFill="1" applyBorder="1" applyNumberFormat="1">
      <alignment horizontal="left" vertical="center" wrapText="1"/>
    </xf>
    <xf numFmtId="49" fontId="0" fillId="35" borderId="12" xfId="0" applyFont="1" applyFill="1" applyBorder="1" applyNumberFormat="1">
      <alignment horizontal="left" vertical="center" wrapText="1"/>
    </xf>
    <xf numFmtId="49" fontId="22" fillId="40" borderId="12" xfId="0" applyFont="1" applyFill="1" applyBorder="1" applyNumberFormat="1">
      <alignment horizontal="center" vertical="center" wrapText="1"/>
    </xf>
    <xf numFmtId="49" fontId="22" fillId="0" borderId="0" xfId="0" applyFont="1" applyNumberFormat="1">
      <alignment horizontal="left" vertical="center" indent="1"/>
    </xf>
    <xf numFmtId="0" fontId="0" fillId="0" borderId="0" xfId="0" applyFont="1" applyNumberFormat="1">
      <alignment vertical="center"/>
    </xf>
    <xf numFmtId="0" fontId="22" fillId="39" borderId="12" xfId="0" applyFont="1" applyFill="1" applyBorder="1" applyNumberFormat="1">
      <alignment horizontal="left" vertical="top" wrapText="1"/>
      <protection locked="0"/>
    </xf>
    <xf numFmtId="49" fontId="22" fillId="40" borderId="36" xfId="0" applyFont="1" applyFill="1" applyBorder="1" applyNumberFormat="1">
      <alignment horizontal="center" vertical="center" wrapText="1"/>
    </xf>
    <xf numFmtId="0" fontId="40" fillId="37" borderId="14"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3" xfId="0" applyFont="1" applyFill="1" applyBorder="1" applyNumberFormat="1">
      <alignment horizontal="left" vertical="center"/>
    </xf>
    <xf numFmtId="0" fontId="0" fillId="39" borderId="12" xfId="0" applyFont="1" applyFill="1" applyBorder="1" applyNumberFormat="1">
      <alignment horizontal="left" vertical="top"/>
      <protection locked="0"/>
    </xf>
    <xf numFmtId="49" fontId="0" fillId="40" borderId="12" xfId="0" applyFont="1" applyFill="1" applyBorder="1" applyNumberFormat="1">
      <alignment horizontal="left" vertical="top"/>
    </xf>
    <xf numFmtId="49" fontId="0" fillId="0" borderId="12" xfId="0" applyFont="1" applyBorder="1" applyNumberFormat="1">
      <alignment vertical="top"/>
    </xf>
    <xf numFmtId="49" fontId="0" fillId="36" borderId="12" xfId="0" applyFont="1" applyFill="1" applyBorder="1" applyNumberFormat="1">
      <alignment horizontal="left" vertical="top"/>
      <protection locked="0"/>
    </xf>
    <xf numFmtId="49" fontId="0" fillId="40" borderId="12" xfId="0" applyFont="1" applyFill="1" applyBorder="1" applyNumberFormat="1">
      <alignment horizontal="left" vertical="center" wrapText="1"/>
    </xf>
    <xf numFmtId="49" fontId="22" fillId="40" borderId="23" xfId="0" applyFont="1" applyFill="1" applyBorder="1" applyNumberFormat="1">
      <alignment horizontal="center" vertical="center" wrapText="1"/>
    </xf>
    <xf numFmtId="0" fontId="40" fillId="37" borderId="14"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40" fillId="37" borderId="13" xfId="0" applyFont="1" applyFill="1" applyBorder="1" applyNumberFormat="1">
      <alignment horizontal="left" vertical="center"/>
    </xf>
    <xf numFmtId="0" fontId="40" fillId="37" borderId="14"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40" fillId="37" borderId="13" xfId="0" applyFont="1" applyFill="1" applyBorder="1" applyNumberFormat="1">
      <alignment horizontal="left" vertical="center"/>
    </xf>
    <xf numFmtId="0" fontId="40" fillId="37" borderId="14"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40" fillId="37" borderId="13" xfId="0" applyFont="1" applyFill="1" applyBorder="1" applyNumberFormat="1">
      <alignment horizontal="left" vertical="center"/>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0" fillId="0" borderId="0" xfId="0" applyFont="1" applyNumberFormat="1">
      <alignment vertical="center"/>
    </xf>
    <xf numFmtId="0" fontId="40" fillId="0" borderId="0" xfId="0" applyFont="1" applyNumberFormat="1">
      <alignment horizontal="left" vertical="center"/>
    </xf>
    <xf numFmtId="0" fontId="40" fillId="0" borderId="24" xfId="0" applyFont="1" applyBorder="1" applyNumberFormat="1">
      <alignment horizontal="left" vertical="center"/>
    </xf>
    <xf numFmtId="49" fontId="22" fillId="0" borderId="0" xfId="0" applyFont="1" applyNumberFormat="1">
      <alignment horizontal="center" vertical="center" wrapText="1"/>
    </xf>
    <xf numFmtId="0" fontId="40" fillId="0" borderId="27" xfId="0" applyFont="1" applyBorder="1" applyNumberFormat="1">
      <alignment horizontal="left" vertical="center"/>
    </xf>
    <xf numFmtId="0" fontId="40" fillId="0" borderId="29" xfId="0" applyFont="1" applyBorder="1" applyNumberFormat="1">
      <alignment horizontal="left" vertical="center"/>
    </xf>
    <xf numFmtId="0" fontId="0" fillId="0" borderId="0" xfId="0" applyFont="1" applyNumberFormat="1">
      <alignment vertical="center"/>
    </xf>
    <xf numFmtId="0" fontId="0" fillId="0" borderId="17" xfId="0" applyFont="1" applyBorder="1" applyNumberFormat="1">
      <alignment horizontal="center" vertical="top"/>
    </xf>
    <xf numFmtId="0" fontId="22" fillId="0" borderId="17" xfId="0" applyFont="1" applyBorder="1" applyNumberFormat="1">
      <alignment horizontal="left" vertical="top" wrapText="1"/>
    </xf>
    <xf numFmtId="0" fontId="0" fillId="0" borderId="0" xfId="0" applyFont="1" applyNumberFormat="1">
      <alignment vertical="center"/>
    </xf>
    <xf numFmtId="0" fontId="0" fillId="0" borderId="36" xfId="0" applyFont="1" applyBorder="1" applyNumberFormat="1">
      <alignment horizontal="center" vertical="top"/>
    </xf>
    <xf numFmtId="0" fontId="22" fillId="0" borderId="36" xfId="0" applyFont="1" applyBorder="1" applyNumberFormat="1">
      <alignment horizontal="left" vertical="top" wrapText="1"/>
    </xf>
    <xf numFmtId="0" fontId="0" fillId="0" borderId="23" xfId="0" applyFont="1" applyBorder="1" applyNumberFormat="1">
      <alignment horizontal="center" vertical="top"/>
    </xf>
    <xf numFmtId="0" fontId="22" fillId="0" borderId="23" xfId="0" applyFont="1" applyBorder="1" applyNumberFormat="1">
      <alignment horizontal="left" vertical="top"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40" fillId="0" borderId="0" xfId="0" applyFont="1" applyNumberFormat="1">
      <alignment horizontal="left" vertical="center"/>
    </xf>
    <xf numFmtId="0" fontId="40" fillId="0" borderId="24" xfId="0" applyFont="1" applyBorder="1" applyNumberFormat="1">
      <alignment horizontal="left" vertical="center"/>
    </xf>
    <xf numFmtId="49" fontId="22" fillId="0" borderId="0" xfId="0" applyFont="1" applyNumberFormat="1">
      <alignment horizontal="center" vertical="center" wrapText="1"/>
    </xf>
    <xf numFmtId="0" fontId="40" fillId="0" borderId="27" xfId="0" applyFont="1" applyBorder="1" applyNumberFormat="1">
      <alignment horizontal="left" vertical="center"/>
    </xf>
    <xf numFmtId="0" fontId="40" fillId="0" borderId="29" xfId="0" applyFont="1" applyBorder="1" applyNumberFormat="1">
      <alignment horizontal="left" vertical="center"/>
    </xf>
    <xf numFmtId="0" fontId="0" fillId="0" borderId="0" xfId="0" applyFont="1" applyNumberFormat="1">
      <alignment horizontal="left" vertical="top" wrapText="1"/>
    </xf>
    <xf numFmtId="0" fontId="0" fillId="0" borderId="0" xfId="0" applyFont="1" applyNumberFormat="1" quotePrefix="1">
      <alignment horizontal="left" vertical="top" wrapText="1" indent="1"/>
    </xf>
    <xf numFmtId="0" fontId="0" fillId="0" borderId="0" xfId="0" applyFont="1" applyNumberFormat="1">
      <alignment horizontal="left" vertical="top" wrapText="1" indent="1"/>
    </xf>
    <xf numFmtId="0" fontId="0" fillId="0" borderId="0" xfId="0" applyFont="1" applyNumberFormat="1">
      <alignment horizontal="left" vertical="top" wrapText="1"/>
    </xf>
    <xf numFmtId="0" fontId="0" fillId="0" borderId="0" xfId="0" applyFont="1" applyNumberFormat="1">
      <alignment horizontal="left" vertical="top" wrapText="1"/>
    </xf>
    <xf numFmtId="0" fontId="0" fillId="0" borderId="0" xfId="0" applyFont="1" applyNumberFormat="1">
      <alignment vertical="top" wrapText="1"/>
    </xf>
    <xf numFmtId="0" fontId="0" fillId="0" borderId="0" xfId="0" applyFont="1" applyNumberFormat="1">
      <alignment vertical="center"/>
    </xf>
    <xf numFmtId="0" fontId="0" fillId="0" borderId="0" xfId="0" applyFont="1" applyNumberFormat="1">
      <alignment vertical="center"/>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40" fillId="0" borderId="0" xfId="0" applyFont="1" applyNumberFormat="1">
      <alignment horizontal="left" vertical="center"/>
    </xf>
    <xf numFmtId="0" fontId="40" fillId="0" borderId="24" xfId="0" applyFont="1" applyBorder="1" applyNumberFormat="1">
      <alignment horizontal="left" vertical="center"/>
    </xf>
    <xf numFmtId="49" fontId="22" fillId="0" borderId="0" xfId="0" applyFont="1" applyNumberFormat="1">
      <alignment horizontal="center" vertical="center" wrapText="1"/>
    </xf>
    <xf numFmtId="0" fontId="40" fillId="0" borderId="27" xfId="0" applyFont="1" applyBorder="1" applyNumberFormat="1">
      <alignment horizontal="left" vertical="center"/>
    </xf>
    <xf numFmtId="0" fontId="40" fillId="0" borderId="29" xfId="0" applyFont="1" applyBorder="1" applyNumberFormat="1">
      <alignment horizontal="left" vertical="center"/>
    </xf>
    <xf numFmtId="0" fontId="48" fillId="0" borderId="0" xfId="0" applyFont="1" applyNumberFormat="1">
      <alignment vertical="center"/>
    </xf>
    <xf numFmtId="0" fontId="0" fillId="0" borderId="0" xfId="0" applyFont="1" applyNumberFormat="1">
      <alignment vertical="center"/>
    </xf>
    <xf numFmtId="49" fontId="48" fillId="0" borderId="0" xfId="0" applyFont="1" applyNumberFormat="1">
      <alignment vertical="top"/>
    </xf>
    <xf numFmtId="49" fontId="48" fillId="0" borderId="0" xfId="0" applyFont="1" applyNumberFormat="1">
      <alignment horizontal="center" vertical="center"/>
    </xf>
    <xf numFmtId="49" fontId="47" fillId="0" borderId="0" xfId="0" applyFont="1" applyNumberFormat="1">
      <alignment horizontal="center" vertical="center"/>
    </xf>
    <xf numFmtId="49" fontId="67" fillId="0" borderId="0" xfId="0" applyFont="1" applyNumberFormat="1">
      <alignment vertical="top"/>
    </xf>
    <xf numFmtId="49" fontId="0" fillId="0" borderId="0" xfId="0" applyFont="1" applyNumberFormat="1">
      <alignment vertical="top"/>
    </xf>
    <xf numFmtId="49" fontId="32" fillId="0" borderId="0" xfId="0" applyFont="1" applyNumberFormat="1">
      <alignment vertical="top"/>
    </xf>
    <xf numFmtId="0" fontId="32" fillId="0" borderId="0" xfId="0" applyFont="1" applyNumberFormat="1">
      <alignment vertical="center" wrapText="1"/>
    </xf>
    <xf numFmtId="0" fontId="22" fillId="0" borderId="0" xfId="0" applyFont="1" applyNumberFormat="1">
      <alignment vertical="center" wrapText="1"/>
    </xf>
    <xf numFmtId="0" fontId="37" fillId="0" borderId="0" xfId="0" applyFont="1" applyNumberFormat="1">
      <alignment horizontal="center" vertical="center" wrapText="1"/>
    </xf>
    <xf numFmtId="0" fontId="22" fillId="0" borderId="19" xfId="0" applyFont="1" applyBorder="1" applyNumberFormat="1">
      <alignment horizontal="left" vertical="center" wrapText="1" indent="1"/>
    </xf>
    <xf numFmtId="0" fontId="46" fillId="0" borderId="0" xfId="0" applyFont="1" applyNumberFormat="1">
      <alignment horizontal="left" vertical="center" wrapText="1" indent="1"/>
    </xf>
    <xf numFmtId="0" fontId="42" fillId="0" borderId="0" xfId="0" applyFont="1" applyNumberFormat="1">
      <alignment vertical="center"/>
    </xf>
    <xf numFmtId="0" fontId="113" fillId="0" borderId="0" xfId="0" applyFont="1" applyNumberFormat="1">
      <alignment vertical="center" wrapText="1"/>
    </xf>
    <xf numFmtId="0" fontId="114" fillId="0" borderId="0" xfId="0" applyFont="1" applyNumberFormat="1">
      <alignment vertical="center" wrapText="1"/>
    </xf>
    <xf numFmtId="0" fontId="22" fillId="0" borderId="0" xfId="0" applyFont="1" applyNumberFormat="1">
      <alignment vertical="center" wrapText="1"/>
    </xf>
    <xf numFmtId="0" fontId="22" fillId="0" borderId="27" xfId="0" applyFont="1" applyBorder="1" applyNumberFormat="1">
      <alignment horizontal="left" vertical="center" wrapText="1" indent="1"/>
    </xf>
    <xf numFmtId="0" fontId="42" fillId="0" borderId="0" xfId="0" applyFont="1" applyNumberFormat="1">
      <alignment vertical="center" wrapText="1"/>
    </xf>
    <xf numFmtId="0" fontId="22" fillId="0" borderId="37" xfId="0" applyFont="1" applyBorder="1" applyNumberFormat="1">
      <alignment horizontal="center" vertical="center" wrapText="1"/>
    </xf>
    <xf numFmtId="0" fontId="22" fillId="0" borderId="20" xfId="0" applyFont="1" applyBorder="1" applyNumberFormat="1">
      <alignment horizontal="center" vertical="center" wrapText="1"/>
    </xf>
    <xf numFmtId="0" fontId="22" fillId="0" borderId="36" xfId="0" applyFont="1" applyBorder="1" applyNumberFormat="1">
      <alignment horizontal="center" vertical="center" wrapText="1"/>
    </xf>
    <xf numFmtId="0" fontId="22" fillId="0" borderId="17" xfId="0" applyFont="1" applyBorder="1" applyNumberFormat="1">
      <alignment horizontal="center" vertical="center" wrapText="1"/>
    </xf>
    <xf numFmtId="0" fontId="22" fillId="0" borderId="37" xfId="0" applyFont="1" applyBorder="1" applyNumberFormat="1">
      <alignment horizontal="center" vertical="center" wrapText="1"/>
    </xf>
    <xf numFmtId="0" fontId="22" fillId="0" borderId="15"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17" xfId="0" applyFont="1" applyBorder="1" applyNumberFormat="1">
      <alignment horizontal="center" vertical="center" wrapText="1"/>
    </xf>
    <xf numFmtId="0" fontId="22" fillId="0" borderId="17" xfId="0" applyFont="1" applyBorder="1" applyNumberFormat="1">
      <alignment horizontal="center" vertical="center" wrapText="1"/>
    </xf>
    <xf numFmtId="0" fontId="22" fillId="0" borderId="22" xfId="0" applyFont="1" applyBorder="1" applyNumberFormat="1">
      <alignment horizontal="center" vertical="center" wrapText="1"/>
    </xf>
    <xf numFmtId="0" fontId="22" fillId="0" borderId="24" xfId="0" applyFont="1" applyBorder="1" applyNumberFormat="1">
      <alignment horizontal="center" vertical="center" wrapText="1"/>
    </xf>
    <xf numFmtId="0" fontId="22" fillId="0" borderId="22" xfId="0" applyFont="1" applyBorder="1" applyNumberFormat="1">
      <alignment horizontal="center" vertical="center" wrapText="1"/>
    </xf>
    <xf numFmtId="0" fontId="22" fillId="0" borderId="36" xfId="0" applyFont="1" applyBorder="1" applyNumberFormat="1">
      <alignment horizontal="center" vertical="center" wrapText="1"/>
    </xf>
    <xf numFmtId="0" fontId="22" fillId="0" borderId="30" xfId="0" applyFont="1" applyBorder="1" applyNumberFormat="1">
      <alignment horizontal="center" vertical="center" wrapText="1"/>
    </xf>
    <xf numFmtId="0" fontId="22" fillId="0" borderId="29" xfId="0" applyFont="1" applyBorder="1" applyNumberFormat="1">
      <alignment horizontal="center" vertical="center" wrapText="1"/>
    </xf>
    <xf numFmtId="0" fontId="22" fillId="0" borderId="17" xfId="0" applyFont="1" applyBorder="1" applyNumberFormat="1">
      <alignment horizontal="center" vertical="center" wrapText="1"/>
    </xf>
    <xf numFmtId="0" fontId="22" fillId="0" borderId="37" xfId="0" applyFont="1" applyBorder="1" applyNumberFormat="1">
      <alignment horizontal="center" vertical="center" wrapText="1"/>
    </xf>
    <xf numFmtId="49" fontId="22" fillId="0" borderId="0" xfId="0" applyFont="1" applyNumberFormat="1">
      <alignment vertical="top"/>
    </xf>
    <xf numFmtId="49" fontId="22" fillId="0" borderId="12" xfId="0" applyFont="1" applyBorder="1" applyNumberFormat="1">
      <alignment horizontal="center" vertical="center"/>
    </xf>
    <xf numFmtId="0" fontId="22" fillId="0" borderId="12" xfId="0" applyFont="1" applyBorder="1" applyNumberFormat="1">
      <alignment horizontal="left" vertical="center" wrapText="1"/>
    </xf>
    <xf numFmtId="49" fontId="22" fillId="40" borderId="17" xfId="0" applyFont="1" applyFill="1" applyBorder="1" applyNumberFormat="1">
      <alignment horizontal="center" vertical="center" wrapText="1"/>
    </xf>
    <xf numFmtId="49" fontId="22" fillId="0" borderId="37" xfId="0" applyFont="1" applyBorder="1" applyNumberFormat="1">
      <alignment vertical="center" wrapText="1"/>
    </xf>
    <xf numFmtId="0" fontId="22" fillId="0" borderId="19" xfId="0" applyFont="1" applyBorder="1" applyNumberFormat="1">
      <alignment horizontal="center" vertical="center"/>
    </xf>
    <xf numFmtId="49" fontId="22" fillId="0" borderId="19" xfId="0" applyFont="1" applyBorder="1" applyNumberForma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7"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pplyNumberFormat="1">
      <alignment horizontal="left" vertical="center" wrapText="1"/>
    </xf>
    <xf numFmtId="49" fontId="22" fillId="0" borderId="19" xfId="0" applyFont="1" applyBorder="1" applyNumberFormat="1">
      <alignment horizontal="center" vertical="center" wrapText="1"/>
    </xf>
    <xf numFmtId="49" fontId="22" fillId="0" borderId="19" xfId="0" applyFont="1" applyBorder="1" applyNumberFormat="1">
      <alignment vertical="center" wrapText="1"/>
    </xf>
    <xf numFmtId="49" fontId="22" fillId="40" borderId="36" xfId="0" applyFont="1" applyFill="1" applyBorder="1" applyNumberFormat="1">
      <alignment horizontal="center" vertical="center" wrapText="1"/>
    </xf>
    <xf numFmtId="49" fontId="22" fillId="0" borderId="22" xfId="0" applyFont="1" applyBorder="1" applyNumberFormat="1">
      <alignment vertical="center" wrapText="1"/>
    </xf>
    <xf numFmtId="0" fontId="22" fillId="0" borderId="0" xfId="0" applyFont="1" applyNumberFormat="1">
      <alignment horizontal="center" vertical="center"/>
    </xf>
    <xf numFmtId="0" fontId="22" fillId="0" borderId="0" xfId="0" applyFont="1" applyNumberFormat="1">
      <alignment horizontal="lef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7"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pplyNumberFormat="1">
      <alignment horizontal="left" vertical="center" wrapText="1"/>
    </xf>
    <xf numFmtId="0" fontId="40" fillId="0" borderId="0" xfId="0" applyFont="1" applyNumberFormat="1">
      <alignment horizontal="left" vertical="center"/>
    </xf>
    <xf numFmtId="0" fontId="40" fillId="0" borderId="0" xfId="0" applyFont="1" applyNumberFormat="1">
      <alignment horizontal="left" vertical="center"/>
    </xf>
    <xf numFmtId="0" fontId="40" fillId="0" borderId="24" xfId="0" applyFont="1" applyBorder="1" applyNumberFormat="1">
      <alignment horizontal="left" vertical="center"/>
    </xf>
    <xf numFmtId="49" fontId="22" fillId="0" borderId="0" xfId="0" applyFont="1" applyNumberFormat="1">
      <alignment horizontal="center" vertical="center" wrapText="1"/>
    </xf>
    <xf numFmtId="49" fontId="37" fillId="0" borderId="0" xfId="0" applyFont="1" applyNumberFormat="1">
      <alignment horizontal="center" vertical="center" wrapText="1"/>
    </xf>
    <xf numFmtId="0" fontId="40" fillId="0" borderId="0" xfId="0" applyFont="1" applyNumberFormat="1">
      <alignment vertical="center"/>
    </xf>
    <xf numFmtId="0" fontId="40" fillId="0" borderId="22" xfId="0" applyFont="1" applyBorder="1" applyNumberFormat="1">
      <alignment horizontal="left" vertical="center"/>
    </xf>
    <xf numFmtId="49" fontId="22" fillId="0" borderId="17" xfId="0" applyFont="1" applyBorder="1" applyNumberFormat="1">
      <alignment horizontal="center" vertical="center"/>
    </xf>
    <xf numFmtId="0" fontId="22" fillId="0" borderId="17" xfId="0" applyFont="1" applyBorder="1" applyNumberFormat="1">
      <alignment horizontal="left" vertical="center" wrapText="1"/>
    </xf>
    <xf numFmtId="0" fontId="22" fillId="0" borderId="37" xfId="0" applyFont="1" applyBorder="1" applyNumberFormat="1">
      <alignment horizontal="left" vertical="center" wrapText="1"/>
    </xf>
    <xf numFmtId="49" fontId="67" fillId="0" borderId="30" xfId="0" applyFont="1" applyBorder="1" applyNumberFormat="1">
      <alignment vertical="top"/>
    </xf>
    <xf numFmtId="49" fontId="67" fillId="0" borderId="27" xfId="0" applyFont="1" applyBorder="1" applyNumberFormat="1">
      <alignment vertical="top"/>
    </xf>
    <xf numFmtId="0" fontId="40" fillId="0" borderId="27" xfId="0" applyFont="1" applyBorder="1" applyNumberFormat="1">
      <alignment horizontal="left" vertical="center"/>
    </xf>
    <xf numFmtId="0" fontId="40" fillId="0" borderId="29" xfId="0" applyFont="1" applyBorder="1" applyNumberFormat="1">
      <alignment horizontal="left" vertical="center"/>
    </xf>
    <xf numFmtId="0" fontId="22" fillId="0" borderId="0" xfId="0" applyFont="1" applyNumberFormat="1">
      <alignment horizontal="left" vertical="center" wrapText="1"/>
    </xf>
    <xf numFmtId="0" fontId="22" fillId="0" borderId="14" xfId="0" applyFont="1" applyBorder="1" applyNumberFormat="1">
      <alignment horizontal="left" vertical="center" wrapText="1"/>
    </xf>
    <xf numFmtId="49" fontId="32" fillId="0" borderId="0" xfId="0" applyFont="1" applyNumberFormat="1">
      <alignment vertical="top"/>
    </xf>
    <xf numFmtId="0" fontId="22" fillId="35" borderId="0" xfId="0" applyFont="1" applyFill="1" applyNumberFormat="1"/>
    <xf numFmtId="0" fontId="0" fillId="35" borderId="0" xfId="0" applyFont="1" applyFill="1" applyNumberFormat="1"/>
    <xf numFmtId="0" fontId="61" fillId="35" borderId="0" xfId="0" applyFont="1" applyFill="1" applyNumberFormat="1"/>
    <xf numFmtId="0" fontId="48" fillId="35" borderId="0" xfId="0" applyFont="1" applyFill="1" applyNumberFormat="1"/>
    <xf numFmtId="0" fontId="61" fillId="35" borderId="0" xfId="0" applyFont="1" applyFill="1" applyNumberFormat="1">
      <alignment horizontal="center"/>
    </xf>
    <xf numFmtId="0" fontId="90" fillId="0" borderId="0" xfId="0" applyFont="1" applyNumberFormat="1">
      <alignment vertical="center"/>
    </xf>
    <xf numFmtId="0" fontId="89" fillId="0" borderId="0" xfId="0" applyFont="1" applyNumberFormat="1">
      <alignment vertical="center"/>
    </xf>
    <xf numFmtId="0" fontId="73" fillId="35" borderId="0" xfId="0" applyFont="1" applyFill="1" applyNumberFormat="1">
      <alignment horizontal="right" vertical="center"/>
    </xf>
    <xf numFmtId="0" fontId="22" fillId="35" borderId="0" xfId="0" applyFont="1" applyFill="1" applyNumberFormat="1">
      <alignment vertical="center" wrapText="1"/>
    </xf>
    <xf numFmtId="0" fontId="48" fillId="35" borderId="0" xfId="0" applyFont="1" applyFill="1" applyNumberFormat="1">
      <alignment vertical="center" wrapText="1"/>
    </xf>
    <xf numFmtId="0" fontId="22" fillId="35" borderId="0" xfId="0" applyFont="1" applyFill="1" applyNumberFormat="1">
      <alignment horizontal="center" vertical="center" wrapText="1"/>
    </xf>
    <xf numFmtId="0" fontId="93" fillId="35" borderId="0" xfId="0" applyFont="1" applyFill="1" applyNumberFormat="1">
      <alignment horizontal="left" vertical="center"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0" fillId="35" borderId="12" xfId="0" applyFont="1" applyFill="1" applyBorder="1" applyNumberFormat="1">
      <alignment horizontal="center" vertical="center" wrapText="1"/>
    </xf>
    <xf numFmtId="0" fontId="22" fillId="35" borderId="12" xfId="0" applyFont="1" applyFill="1" applyBorder="1" applyNumberFormat="1">
      <alignment horizontal="center" vertical="center" wrapText="1"/>
    </xf>
    <xf numFmtId="0" fontId="36" fillId="35" borderId="0" xfId="0" applyFont="1" applyFill="1" applyNumberFormat="1">
      <alignment horizontal="center" vertical="center"/>
    </xf>
    <xf numFmtId="49" fontId="48" fillId="0" borderId="12" xfId="0" applyFont="1" applyBorder="1" applyNumberFormat="1">
      <alignment horizontal="center" vertical="center"/>
    </xf>
    <xf numFmtId="0" fontId="48" fillId="0" borderId="12" xfId="0" applyFont="1" applyBorder="1" applyNumberFormat="1">
      <alignment vertical="center" wrapText="1"/>
    </xf>
    <xf numFmtId="0" fontId="48" fillId="0" borderId="12" xfId="0" applyFont="1" applyBorder="1" applyNumberFormat="1">
      <alignment horizontal="left" vertical="center" wrapText="1"/>
    </xf>
    <xf numFmtId="0" fontId="65" fillId="35" borderId="0" xfId="0" applyFont="1" applyFill="1" applyNumberFormat="1"/>
    <xf numFmtId="49" fontId="0" fillId="35" borderId="12" xfId="0" applyFont="1" applyFill="1" applyBorder="1" applyNumberFormat="1">
      <alignment horizontal="center" vertical="center"/>
    </xf>
    <xf numFmtId="0" fontId="0" fillId="35" borderId="12" xfId="0" applyFont="1" applyFill="1" applyBorder="1" applyNumberFormat="1">
      <alignment vertical="center" wrapText="1"/>
    </xf>
    <xf numFmtId="0" fontId="0" fillId="0" borderId="12" xfId="0" applyFont="1" applyBorder="1" applyNumberFormat="1">
      <alignment horizontal="center" vertical="center" wrapText="1"/>
    </xf>
    <xf numFmtId="0" fontId="22" fillId="35" borderId="12" xfId="0" applyFont="1" applyFill="1" applyBorder="1" applyNumberFormat="1">
      <alignment vertical="center" wrapText="1"/>
    </xf>
    <xf numFmtId="0" fontId="0" fillId="35" borderId="12" xfId="0" applyFont="1" applyFill="1" applyBorder="1" applyNumberFormat="1">
      <alignment horizontal="left" vertical="center" wrapText="1" indent="1"/>
    </xf>
    <xf numFmtId="49" fontId="0" fillId="39" borderId="12" xfId="0" applyFont="1" applyFill="1" applyBorder="1" applyNumberFormat="1">
      <alignment horizontal="left" vertical="center" wrapText="1"/>
      <protection locked="0"/>
    </xf>
    <xf numFmtId="0" fontId="48" fillId="0" borderId="12" xfId="0" applyFont="1" applyBorder="1" applyNumberFormat="1">
      <alignment horizontal="left" vertical="center" wrapText="1" indent="1"/>
    </xf>
    <xf numFmtId="49" fontId="22" fillId="35" borderId="0" xfId="0" applyFont="1" applyFill="1" applyNumberFormat="1">
      <alignment horizontal="center" vertical="center" wrapText="1"/>
    </xf>
    <xf numFmtId="0" fontId="22" fillId="35" borderId="24" xfId="0" applyFont="1" applyFill="1" applyBorder="1" applyNumberFormat="1">
      <alignment horizontal="center" vertical="center" wrapText="1"/>
    </xf>
    <xf numFmtId="0" fontId="90" fillId="0" borderId="0" xfId="0" applyFont="1" applyNumberFormat="1">
      <alignment vertical="center" wrapText="1"/>
    </xf>
    <xf numFmtId="0" fontId="0" fillId="35" borderId="12" xfId="0" applyFont="1" applyFill="1" applyBorder="1" applyNumberFormat="1">
      <alignment horizontal="center" vertical="center"/>
    </xf>
    <xf numFmtId="0" fontId="0" fillId="35" borderId="12" xfId="0" applyFont="1" applyFill="1" applyBorder="1" applyNumberFormat="1">
      <alignment horizontal="left" vertical="center" wrapText="1" indent="2"/>
    </xf>
    <xf numFmtId="49" fontId="0" fillId="0" borderId="12" xfId="0" applyFont="1" applyBorder="1" applyNumberFormat="1">
      <alignment horizontal="left" vertical="center" wrapText="1"/>
    </xf>
    <xf numFmtId="49" fontId="22" fillId="35" borderId="0" xfId="0" applyFont="1" applyFill="1" applyNumberFormat="1">
      <alignment vertical="center" wrapText="1"/>
    </xf>
    <xf numFmtId="0" fontId="22" fillId="35" borderId="24" xfId="0" applyFont="1" applyFill="1" applyBorder="1" applyNumberFormat="1">
      <alignment vertical="center" wrapText="1"/>
    </xf>
    <xf numFmtId="0" fontId="22" fillId="37" borderId="14" xfId="0" applyFont="1" applyFill="1" applyBorder="1" applyNumberFormat="1">
      <alignment horizontal="center"/>
    </xf>
    <xf numFmtId="49" fontId="40" fillId="37" borderId="15" xfId="0" applyFont="1" applyFill="1" applyBorder="1" applyNumberFormat="1">
      <alignment horizontal="left" vertical="center" indent="1"/>
    </xf>
    <xf numFmtId="0" fontId="73" fillId="37" borderId="15" xfId="0" applyFont="1" applyFill="1" applyBorder="1" applyNumberFormat="1">
      <alignment horizontal="left" vertical="center"/>
    </xf>
    <xf numFmtId="0" fontId="73" fillId="37" borderId="13" xfId="0" applyFont="1" applyFill="1" applyBorder="1" applyNumberFormat="1">
      <alignment horizontal="left" vertical="center"/>
    </xf>
    <xf numFmtId="49" fontId="48" fillId="35" borderId="12" xfId="0" applyFont="1" applyFill="1" applyBorder="1" applyNumberFormat="1">
      <alignment horizontal="center" vertical="center"/>
    </xf>
    <xf numFmtId="0" fontId="48" fillId="35" borderId="12" xfId="0" applyFont="1" applyFill="1" applyBorder="1" applyNumberFormat="1">
      <alignment vertical="center" wrapText="1"/>
    </xf>
    <xf numFmtId="0" fontId="48" fillId="0" borderId="12" xfId="0" applyFont="1" applyBorder="1" applyNumberFormat="1">
      <alignment horizontal="center" vertical="center" wrapText="1"/>
    </xf>
    <xf numFmtId="0" fontId="48" fillId="35" borderId="12" xfId="0" applyFont="1" applyFill="1" applyBorder="1" applyNumberFormat="1">
      <alignment horizontal="left" vertical="center" wrapText="1" indent="1"/>
    </xf>
    <xf numFmtId="0" fontId="48" fillId="35" borderId="12" xfId="0" applyFont="1" applyFill="1" applyBorder="1" applyNumberFormat="1">
      <alignment horizontal="left" vertical="center" wrapText="1" indent="2"/>
    </xf>
    <xf numFmtId="49" fontId="48" fillId="0" borderId="12" xfId="0" applyFont="1" applyBorder="1" applyNumberFormat="1">
      <alignment horizontal="left" vertical="center" wrapText="1"/>
    </xf>
    <xf numFmtId="49" fontId="48" fillId="0" borderId="12" xfId="0" applyFont="1" applyBorder="1" applyNumberFormat="1">
      <alignment horizontal="left" vertical="center" wrapText="1"/>
    </xf>
    <xf numFmtId="0" fontId="0" fillId="35" borderId="12" xfId="0" applyFont="1" applyFill="1" applyBorder="1" applyNumberFormat="1">
      <alignment horizontal="left" vertical="center" wrapText="1"/>
    </xf>
    <xf numFmtId="49" fontId="0" fillId="36" borderId="12" xfId="0" applyFont="1" applyFill="1" applyBorder="1" applyNumberFormat="1">
      <alignment horizontal="left" vertical="center" wrapText="1"/>
      <protection locked="0"/>
    </xf>
    <xf numFmtId="0" fontId="0" fillId="35" borderId="17" xfId="0" applyFont="1" applyFill="1" applyBorder="1" applyNumberFormat="1">
      <alignment horizontal="left" vertical="center" wrapText="1"/>
    </xf>
    <xf numFmtId="0" fontId="22" fillId="35" borderId="17" xfId="0" applyFont="1" applyFill="1" applyBorder="1" applyNumberFormat="1">
      <alignment horizontal="left" vertical="top" wrapText="1"/>
    </xf>
    <xf numFmtId="49" fontId="0" fillId="0" borderId="12" xfId="0" applyFont="1" applyBorder="1" applyNumberFormat="1">
      <alignment horizontal="left" vertical="center" wrapText="1" indent="1"/>
    </xf>
    <xf numFmtId="0" fontId="22" fillId="35" borderId="36" xfId="0" applyFont="1" applyFill="1" applyBorder="1" applyNumberFormat="1">
      <alignment horizontal="left" vertical="top" wrapText="1"/>
    </xf>
    <xf numFmtId="0" fontId="37" fillId="35" borderId="0" xfId="0" applyFont="1" applyFill="1" applyNumberFormat="1">
      <alignment horizontal="center" vertical="center"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0" fontId="22" fillId="35" borderId="23" xfId="0" applyFont="1" applyFill="1" applyBorder="1" applyNumberFormat="1">
      <alignment horizontal="left" vertical="top" wrapText="1"/>
    </xf>
    <xf numFmtId="0" fontId="52" fillId="35" borderId="0" xfId="0" applyFont="1" applyFill="1" applyNumberFormat="1"/>
    <xf numFmtId="49" fontId="22" fillId="39" borderId="12" xfId="0" applyFont="1" applyFill="1" applyBorder="1" applyNumberFormat="1" quotePrefix="1">
      <alignment horizontal="left" vertical="center" wrapText="1"/>
      <protection locked="0"/>
    </xf>
    <xf numFmtId="49" fontId="22" fillId="36" borderId="12" xfId="0" applyFont="1" applyFill="1" applyBorder="1" applyNumberFormat="1">
      <alignment horizontal="left" vertical="center" wrapText="1"/>
      <protection locked="0"/>
    </xf>
    <xf numFmtId="49" fontId="22" fillId="40" borderId="12"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0" fillId="35" borderId="14" xfId="0" applyFont="1" applyFill="1" applyBorder="1" applyNumberFormat="1">
      <alignment horizontal="left" vertical="center" wrapText="1" indent="1"/>
    </xf>
    <xf numFmtId="49" fontId="22" fillId="40" borderId="14" xfId="0" applyFont="1" applyFill="1" applyBorder="1" applyNumberFormat="1">
      <alignment horizontal="left" vertical="center" wrapText="1"/>
    </xf>
    <xf numFmtId="0" fontId="0" fillId="35" borderId="12" xfId="0" applyFont="1" applyFill="1" applyBorder="1" applyNumberFormat="1">
      <alignment vertical="top" wrapText="1"/>
    </xf>
    <xf numFmtId="49" fontId="22" fillId="35" borderId="0" xfId="0" applyFont="1" applyFill="1" applyNumberFormat="1">
      <alignment horizontal="center" vertical="center" wrapText="1"/>
    </xf>
    <xf numFmtId="0" fontId="0" fillId="35" borderId="14" xfId="0" applyFont="1" applyFill="1" applyBorder="1" applyNumberFormat="1">
      <alignment horizontal="left" vertical="center" wrapText="1"/>
    </xf>
    <xf numFmtId="0" fontId="0" fillId="35" borderId="23" xfId="0" applyFont="1" applyFill="1" applyBorder="1" applyNumberFormat="1">
      <alignment vertical="center" wrapText="1"/>
    </xf>
    <xf numFmtId="0" fontId="76" fillId="35" borderId="0" xfId="0" applyFont="1" applyFill="1" applyNumberFormat="1"/>
    <xf numFmtId="0" fontId="22" fillId="0" borderId="0" xfId="0" applyFont="1" applyNumberFormat="1">
      <alignment vertical="top" wrapText="1"/>
    </xf>
    <xf numFmtId="0" fontId="48" fillId="0" borderId="0" xfId="0" applyFont="1" applyNumberFormat="1">
      <alignment vertical="center" wrapText="1"/>
    </xf>
    <xf numFmtId="0" fontId="45" fillId="0" borderId="0" xfId="0" applyFont="1" applyNumberFormat="1">
      <alignment horizontal="right" vertical="top" wrapText="1"/>
    </xf>
    <xf numFmtId="0" fontId="45" fillId="0" borderId="0" xfId="0" applyFont="1" applyNumberFormat="1">
      <alignment horizontal="left" vertical="top" wrapText="1" indent="1"/>
    </xf>
    <xf numFmtId="0" fontId="45" fillId="0" borderId="0" xfId="0" applyFont="1" applyNumberFormat="1">
      <alignment vertical="center" wrapText="1"/>
    </xf>
    <xf numFmtId="0" fontId="75" fillId="35" borderId="0" xfId="0" applyFont="1" applyFill="1" applyNumberFormat="1">
      <alignment horizontal="center"/>
    </xf>
    <xf numFmtId="0" fontId="75" fillId="35" borderId="0" xfId="0" applyFont="1" applyFill="1" applyNumberFormat="1"/>
    <xf numFmtId="0" fontId="77" fillId="35" borderId="0" xfId="0" applyFont="1" applyFill="1" applyNumberFormat="1">
      <alignment horizontal="right" vertical="center"/>
    </xf>
    <xf numFmtId="0" fontId="78" fillId="35" borderId="0" xfId="0" applyFont="1" applyFill="1" applyNumberFormat="1">
      <alignment vertical="center"/>
    </xf>
    <xf numFmtId="0" fontId="77" fillId="35" borderId="0" xfId="0" applyFont="1" applyFill="1" applyNumberFormat="1">
      <alignment horizontal="right" vertical="top"/>
    </xf>
    <xf numFmtId="0" fontId="78" fillId="35" borderId="0" xfId="0" applyFont="1" applyFill="1" applyNumberFormat="1">
      <alignment vertical="center" wrapText="1"/>
    </xf>
    <xf numFmtId="0" fontId="0" fillId="35" borderId="0" xfId="0" applyFont="1" applyFill="1" applyNumberFormat="1">
      <alignment horizontal="center"/>
    </xf>
    <xf numFmtId="0" fontId="47" fillId="0" borderId="0" xfId="0" applyFont="1" applyNumberFormat="1">
      <alignment horizontal="center" vertical="center" wrapText="1"/>
    </xf>
    <xf numFmtId="0" fontId="22" fillId="0" borderId="0" xfId="0" applyFont="1" applyNumberFormat="1">
      <alignment vertical="center" wrapText="1"/>
    </xf>
    <xf numFmtId="0" fontId="88" fillId="0" borderId="0" xfId="0" applyFont="1" applyNumberFormat="1">
      <alignment vertical="center" wrapText="1"/>
    </xf>
    <xf numFmtId="0" fontId="88" fillId="35" borderId="0" xfId="0" applyFont="1" applyFill="1" applyNumberFormat="1">
      <alignment horizontal="center" vertical="center" wrapText="1"/>
    </xf>
    <xf numFmtId="0" fontId="88" fillId="35" borderId="0" xfId="0" applyFont="1" applyFill="1" applyNumberFormat="1">
      <alignment horizontal="right" vertical="center" wrapText="1"/>
    </xf>
    <xf numFmtId="0" fontId="88" fillId="0" borderId="0" xfId="0" applyFont="1" applyNumberFormat="1">
      <alignment vertical="center" wrapText="1"/>
    </xf>
    <xf numFmtId="0" fontId="37" fillId="35" borderId="0" xfId="0" applyFont="1" applyFill="1" applyNumberFormat="1">
      <alignment horizontal="center" vertical="center" wrapText="1"/>
    </xf>
    <xf numFmtId="0" fontId="46" fillId="0" borderId="0" xfId="0" applyFont="1" applyNumberFormat="1">
      <alignment horizontal="left" vertical="center" wrapText="1" indent="3"/>
    </xf>
    <xf numFmtId="0" fontId="64" fillId="0" borderId="0" xfId="0" applyFont="1" applyNumberFormat="1">
      <alignment horizontal="center" vertical="center" wrapText="1"/>
    </xf>
    <xf numFmtId="0" fontId="64" fillId="0" borderId="0" xfId="0" applyFont="1" applyNumberFormat="1">
      <alignment vertical="center" wrapText="1"/>
    </xf>
    <xf numFmtId="0" fontId="32" fillId="0" borderId="0" xfId="0" applyFont="1" applyNumberFormat="1">
      <alignment vertical="center" wrapText="1"/>
    </xf>
    <xf numFmtId="0" fontId="37" fillId="35" borderId="0" xfId="0" applyFont="1" applyFill="1" applyNumberFormat="1">
      <alignment horizontal="center" vertical="center" wrapText="1"/>
    </xf>
    <xf numFmtId="0" fontId="22" fillId="0" borderId="29" xfId="0" applyFont="1" applyBorder="1" applyNumberFormat="1">
      <alignment horizontal="left" vertical="center" wrapText="1" indent="1"/>
    </xf>
    <xf numFmtId="0" fontId="22" fillId="0" borderId="23" xfId="0" applyFont="1" applyBorder="1" applyNumberFormat="1">
      <alignment horizontal="left" vertical="center" wrapText="1" indent="1"/>
    </xf>
    <xf numFmtId="0" fontId="22" fillId="0" borderId="30" xfId="0" applyFont="1" applyBorder="1" applyNumberFormat="1">
      <alignment horizontal="left" vertical="center" wrapText="1" indent="1"/>
    </xf>
    <xf numFmtId="0" fontId="58" fillId="0" borderId="0" xfId="0" applyFont="1" applyNumberFormat="1">
      <alignment vertical="center" wrapText="1"/>
    </xf>
    <xf numFmtId="0" fontId="79" fillId="35" borderId="0" xfId="0" applyFont="1" applyFill="1" applyNumberFormat="1">
      <alignment horizontal="center" vertical="center" wrapText="1"/>
    </xf>
    <xf numFmtId="0" fontId="60" fillId="0" borderId="0" xfId="0" applyFont="1" applyNumberFormat="1">
      <alignment horizontal="left" vertical="center" wrapText="1" indent="1"/>
    </xf>
    <xf numFmtId="0" fontId="22" fillId="0" borderId="0" xfId="0" applyFont="1" applyNumberFormat="1">
      <alignment horizontal="right" vertical="center"/>
    </xf>
    <xf numFmtId="0" fontId="48" fillId="0" borderId="0" xfId="0" applyFont="1" applyNumberFormat="1">
      <alignment vertical="center" wrapText="1"/>
    </xf>
    <xf numFmtId="0" fontId="60" fillId="0" borderId="0" xfId="0" applyFont="1" applyNumberFormat="1">
      <alignment vertical="center" wrapText="1"/>
    </xf>
    <xf numFmtId="0" fontId="0" fillId="0" borderId="14" xfId="0" applyFont="1" applyBorder="1" applyNumberFormat="1">
      <alignment horizontal="center" vertical="center" wrapText="1"/>
    </xf>
    <xf numFmtId="0" fontId="0" fillId="0" borderId="15" xfId="0" applyFont="1" applyBorder="1" applyNumberFormat="1">
      <alignment horizontal="center" vertical="center" wrapText="1"/>
    </xf>
    <xf numFmtId="0" fontId="0" fillId="0" borderId="13" xfId="0" applyFont="1" applyBorder="1" applyNumberFormat="1">
      <alignment horizontal="center" vertical="center" wrapText="1"/>
    </xf>
    <xf numFmtId="0" fontId="0" fillId="0" borderId="12"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37" xfId="0" applyFont="1" applyBorder="1" applyNumberFormat="1">
      <alignment horizontal="center" vertical="center" wrapText="1"/>
    </xf>
    <xf numFmtId="0" fontId="0" fillId="0" borderId="20" xfId="0" applyFont="1" applyBorder="1" applyNumberFormat="1">
      <alignment horizontal="center" vertical="center" wrapText="1"/>
    </xf>
    <xf numFmtId="0" fontId="0" fillId="0" borderId="20"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30" xfId="0" applyFont="1" applyBorder="1" applyNumberFormat="1">
      <alignment horizontal="center" vertical="center" wrapText="1"/>
    </xf>
    <xf numFmtId="0" fontId="0" fillId="0" borderId="12" xfId="0" applyFont="1" applyBorder="1" applyNumberFormat="1">
      <alignment horizontal="center" vertical="center" wrapText="1"/>
    </xf>
    <xf numFmtId="0" fontId="0" fillId="0" borderId="14" xfId="0" applyFont="1" applyBorder="1" applyNumberFormat="1">
      <alignment horizontal="center" vertical="center" wrapText="1"/>
    </xf>
    <xf numFmtId="0" fontId="0" fillId="0" borderId="29" xfId="0" applyFont="1" applyBorder="1" applyNumberFormat="1">
      <alignment horizontal="center" vertical="center" wrapText="1"/>
    </xf>
    <xf numFmtId="0" fontId="0" fillId="0" borderId="29"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23" xfId="0" applyFont="1" applyBorder="1" applyNumberFormat="1">
      <alignment horizontal="center" vertical="center" wrapText="1"/>
    </xf>
    <xf numFmtId="0" fontId="36" fillId="35" borderId="0" xfId="0" applyFont="1" applyFill="1" applyNumberFormat="1">
      <alignment horizontal="center" vertical="center" wrapText="1"/>
    </xf>
    <xf numFmtId="49" fontId="36" fillId="35" borderId="0" xfId="0" applyFont="1" applyFill="1" applyNumberFormat="1">
      <alignment horizontal="center" vertical="center" wrapText="1"/>
    </xf>
    <xf numFmtId="0" fontId="72" fillId="0" borderId="0" xfId="0" applyFont="1" applyNumberFormat="1">
      <alignment vertical="center" wrapText="1"/>
    </xf>
    <xf numFmtId="0" fontId="80" fillId="35" borderId="0" xfId="0" applyFont="1" applyFill="1" applyNumberFormat="1">
      <alignment horizontal="center" vertical="center" wrapText="1"/>
    </xf>
    <xf numFmtId="49" fontId="72" fillId="0" borderId="17" xfId="0" applyFont="1" applyBorder="1" applyNumberFormat="1">
      <alignment horizontal="left" vertical="center" wrapText="1"/>
    </xf>
    <xf numFmtId="49" fontId="72" fillId="0" borderId="12" xfId="0" applyFont="1" applyBorder="1" applyNumberFormat="1">
      <alignment horizontal="left" vertical="center" wrapText="1"/>
    </xf>
    <xf numFmtId="49" fontId="0" fillId="0" borderId="12" xfId="0" applyFont="1" applyBorder="1" applyNumberFormat="1">
      <alignment vertical="top" wrapText="1"/>
    </xf>
    <xf numFmtId="49" fontId="0" fillId="0" borderId="12" xfId="0" applyFont="1" applyBorder="1" applyNumberFormat="1">
      <alignment horizontal="center" vertical="center" wrapText="1"/>
    </xf>
    <xf numFmtId="49" fontId="0" fillId="36" borderId="12" xfId="0" applyFont="1" applyFill="1" applyBorder="1" applyNumberFormat="1">
      <alignment horizontal="left" vertical="center" wrapText="1"/>
      <protection locked="0"/>
    </xf>
    <xf numFmtId="0" fontId="22" fillId="40" borderId="14" xfId="0" applyFont="1" applyFill="1" applyBorder="1" applyNumberFormat="1">
      <alignment horizontal="left" vertical="center" wrapText="1"/>
    </xf>
    <xf numFmtId="49" fontId="36" fillId="35" borderId="12" xfId="0" applyFont="1" applyFill="1" applyBorder="1" applyNumberFormat="1">
      <alignment horizontal="center" vertical="center" wrapText="1"/>
    </xf>
    <xf numFmtId="4" fontId="0" fillId="39" borderId="12" xfId="0" applyFont="1" applyFill="1" applyBorder="1" applyNumberFormat="1">
      <alignment horizontal="right" vertical="center" wrapText="1"/>
      <protection locked="0"/>
    </xf>
    <xf numFmtId="3" fontId="0" fillId="39" borderId="12" xfId="0" applyFont="1" applyFill="1" applyBorder="1" applyNumberFormat="1">
      <alignment horizontal="right" vertical="center" wrapText="1"/>
      <protection locked="0"/>
    </xf>
    <xf numFmtId="4" fontId="0" fillId="39" borderId="13" xfId="0" applyFont="1" applyFill="1" applyBorder="1" applyNumberFormat="1">
      <alignment horizontal="right" vertical="center" wrapText="1"/>
      <protection locked="0"/>
    </xf>
    <xf numFmtId="0" fontId="0" fillId="36" borderId="12" xfId="0" applyFont="1" applyFill="1" applyBorder="1" applyNumberFormat="1">
      <alignment horizontal="right" vertical="center" wrapText="1"/>
      <protection locked="0"/>
    </xf>
    <xf numFmtId="3" fontId="0" fillId="0" borderId="13" xfId="0" applyFont="1" applyBorder="1" applyNumberFormat="1">
      <alignment horizontal="right" vertical="center" wrapText="1"/>
    </xf>
    <xf numFmtId="0" fontId="0" fillId="0" borderId="17" xfId="0" applyFont="1" applyBorder="1" applyNumberFormat="1">
      <alignment horizontal="left" vertical="top" wrapText="1"/>
    </xf>
    <xf numFmtId="49" fontId="50" fillId="37" borderId="14" xfId="0" applyFont="1" applyFill="1" applyBorder="1" applyNumberFormat="1">
      <alignment horizontal="center" vertical="center"/>
    </xf>
    <xf numFmtId="0" fontId="40" fillId="37" borderId="15" xfId="0" applyFont="1" applyFill="1" applyBorder="1" applyNumberFormat="1">
      <alignment vertical="center"/>
    </xf>
    <xf numFmtId="49" fontId="40" fillId="37" borderId="15" xfId="0" applyFont="1" applyFill="1" applyBorder="1" applyNumberFormat="1">
      <alignment vertical="center"/>
    </xf>
    <xf numFmtId="49" fontId="73" fillId="37" borderId="15" xfId="0" applyFont="1" applyFill="1" applyBorder="1" applyNumberFormat="1">
      <alignment vertical="center"/>
    </xf>
    <xf numFmtId="49" fontId="73" fillId="37" borderId="13" xfId="0" applyFont="1" applyFill="1" applyBorder="1" applyNumberFormat="1">
      <alignment vertical="center"/>
    </xf>
    <xf numFmtId="0" fontId="0" fillId="0" borderId="23" xfId="0" applyFont="1" applyBorder="1" applyNumberFormat="1">
      <alignment horizontal="left" vertical="top" wrapText="1"/>
    </xf>
    <xf numFmtId="0" fontId="32" fillId="0" borderId="0" xfId="0" applyFont="1" applyNumberFormat="1">
      <alignment vertical="center" wrapText="1"/>
    </xf>
    <xf numFmtId="0" fontId="37" fillId="0" borderId="0" xfId="0" applyFont="1" applyNumberFormat="1">
      <alignment horizontal="center" vertical="center" wrapText="1"/>
    </xf>
    <xf numFmtId="0" fontId="22" fillId="0" borderId="0" xfId="0" applyFont="1" applyNumberFormat="1">
      <alignment vertical="center" wrapText="1"/>
    </xf>
    <xf numFmtId="0" fontId="42" fillId="0" borderId="0" xfId="0" applyFont="1" applyNumberFormat="1">
      <alignment vertical="center" wrapText="1"/>
    </xf>
    <xf numFmtId="0" fontId="22" fillId="0" borderId="0" xfId="0" applyFont="1" applyNumberFormat="1">
      <alignment vertical="center" wrapText="1"/>
    </xf>
    <xf numFmtId="0" fontId="37" fillId="35" borderId="0" xfId="0" applyFont="1" applyFill="1" applyNumberFormat="1">
      <alignment horizontal="center" vertical="center" wrapText="1"/>
    </xf>
    <xf numFmtId="49" fontId="0" fillId="0" borderId="37" xfId="0" applyFont="1" applyBorder="1" applyNumberFormat="1">
      <alignment horizontal="center" vertical="center" wrapText="1"/>
    </xf>
    <xf numFmtId="0" fontId="22" fillId="40" borderId="19" xfId="0" applyFont="1" applyFill="1" applyBorder="1" applyNumberFormat="1">
      <alignment horizontal="left" vertical="center" wrapText="1"/>
    </xf>
    <xf numFmtId="0" fontId="37" fillId="35"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49" fontId="22" fillId="39" borderId="12" xfId="0" applyFont="1" applyFill="1" applyBorder="1" applyNumberFormat="1">
      <alignment horizontal="left" vertical="center" wrapText="1"/>
      <protection locked="0"/>
    </xf>
    <xf numFmtId="3" fontId="22" fillId="39" borderId="12" xfId="0" applyFont="1" applyFill="1" applyBorder="1" applyNumberFormat="1">
      <alignment horizontal="right" vertical="center" wrapText="1"/>
      <protection locked="0"/>
    </xf>
    <xf numFmtId="0" fontId="48" fillId="0" borderId="0" xfId="0" applyFont="1" applyNumberFormat="1">
      <alignment vertical="center" wrapText="1"/>
    </xf>
    <xf numFmtId="0" fontId="22" fillId="0" borderId="0" xfId="0" applyFont="1" applyNumberFormat="1">
      <alignment vertical="center" wrapText="1"/>
    </xf>
    <xf numFmtId="49" fontId="0" fillId="0" borderId="30" xfId="0" applyFont="1" applyBorder="1" applyNumberFormat="1">
      <alignment horizontal="center" vertical="center" wrapText="1"/>
    </xf>
    <xf numFmtId="0" fontId="22" fillId="40" borderId="27" xfId="0" applyFont="1" applyFill="1" applyBorder="1" applyNumberFormat="1">
      <alignment horizontal="left" vertical="center" wrapText="1"/>
    </xf>
    <xf numFmtId="0" fontId="48" fillId="0" borderId="0" xfId="0" applyFont="1" applyNumberFormat="1">
      <alignment vertical="center" wrapText="1"/>
    </xf>
    <xf numFmtId="0" fontId="37" fillId="35" borderId="0" xfId="0" applyFont="1" applyFill="1" applyNumberFormat="1">
      <alignment horizontal="center" vertical="center" wrapText="1"/>
    </xf>
    <xf numFmtId="0" fontId="22" fillId="0" borderId="19" xfId="0" applyFont="1" applyBorder="1" applyNumberFormat="1">
      <alignment horizontal="left" vertical="top" wrapText="1" indent="1"/>
    </xf>
    <xf numFmtId="0" fontId="64" fillId="0" borderId="0" xfId="0" applyFont="1" applyNumberFormat="1">
      <alignment vertical="center" wrapText="1"/>
    </xf>
    <xf numFmtId="0" fontId="58" fillId="0" borderId="0" xfId="0" applyFont="1" applyNumberFormat="1">
      <alignment vertical="center" wrapText="1"/>
    </xf>
    <xf numFmtId="0" fontId="22" fillId="0" borderId="23" xfId="0" applyFont="1" applyBorder="1" applyNumberFormat="1">
      <alignment horizontal="center" vertical="center" wrapText="1"/>
    </xf>
    <xf numFmtId="0" fontId="37" fillId="35"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0" fontId="32" fillId="0" borderId="0" xfId="0" applyFont="1" applyNumberFormat="1">
      <alignment vertical="center" wrapText="1"/>
    </xf>
    <xf numFmtId="0" fontId="60" fillId="35" borderId="0" xfId="0" applyFont="1" applyFill="1" applyNumberFormat="1">
      <alignment vertical="center" wrapText="1"/>
    </xf>
    <xf numFmtId="0" fontId="60" fillId="35" borderId="0" xfId="0" applyFont="1" applyFill="1" applyNumberFormat="1">
      <alignment horizontal="right" vertical="center"/>
    </xf>
    <xf numFmtId="0" fontId="60" fillId="35" borderId="0" xfId="0" applyFont="1" applyFill="1" applyNumberFormat="1">
      <alignment horizontal="right" vertical="center" wrapText="1"/>
    </xf>
    <xf numFmtId="0" fontId="22" fillId="0" borderId="20" xfId="0" applyFont="1" applyBorder="1" applyNumberFormat="1">
      <alignment horizontal="left" vertical="center" wrapText="1" indent="1"/>
    </xf>
    <xf numFmtId="0" fontId="22" fillId="0" borderId="17" xfId="0" applyFont="1" applyBorder="1" applyNumberFormat="1">
      <alignment horizontal="left" vertical="center" wrapText="1" indent="1"/>
    </xf>
    <xf numFmtId="0" fontId="22" fillId="0" borderId="37" xfId="0" applyFont="1" applyBorder="1" applyNumberFormat="1">
      <alignment horizontal="left" vertical="center" wrapText="1" indent="1"/>
    </xf>
    <xf numFmtId="0" fontId="46" fillId="0" borderId="0" xfId="0" applyFont="1" applyNumberFormat="1">
      <alignment horizontal="center" vertical="center" wrapText="1"/>
    </xf>
    <xf numFmtId="4" fontId="60" fillId="0" borderId="0" xfId="0" applyFont="1" applyNumberFormat="1">
      <alignment horizontal="right" vertical="center" wrapText="1"/>
    </xf>
    <xf numFmtId="0" fontId="22" fillId="35" borderId="12" xfId="0" applyFont="1" applyFill="1" applyBorder="1" applyNumberFormat="1">
      <alignment horizontal="center" vertical="center" wrapText="1"/>
    </xf>
    <xf numFmtId="0" fontId="22" fillId="35" borderId="12" xfId="0" applyFont="1" applyFill="1" applyBorder="1" applyNumberFormat="1">
      <alignment horizontal="center" vertical="center" wrapText="1"/>
    </xf>
    <xf numFmtId="0" fontId="22" fillId="0" borderId="12" xfId="0" applyFont="1" applyBorder="1" applyNumberFormat="1">
      <alignment horizontal="center" vertical="center" wrapText="1"/>
    </xf>
    <xf numFmtId="0" fontId="0" fillId="0" borderId="12" xfId="0" applyFont="1" applyBorder="1" applyNumberFormat="1">
      <alignment horizontal="center" vertical="center" wrapText="1"/>
    </xf>
    <xf numFmtId="49" fontId="36" fillId="35" borderId="15" xfId="0" applyFont="1" applyFill="1" applyBorder="1" applyNumberFormat="1">
      <alignment horizontal="center" vertical="center" wrapText="1"/>
    </xf>
    <xf numFmtId="49" fontId="36" fillId="35" borderId="15" xfId="0" applyFont="1" applyFill="1" applyBorder="1" applyNumberFormat="1">
      <alignment horizontal="center" vertical="center" wrapText="1"/>
    </xf>
    <xf numFmtId="0" fontId="37" fillId="35" borderId="0" xfId="0" applyFont="1" applyFill="1" applyNumberFormat="1">
      <alignment horizontal="center" vertical="center" wrapText="1"/>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49" fontId="22" fillId="0" borderId="12" xfId="0" applyFont="1" applyBorder="1" applyNumberFormat="1">
      <alignment horizontal="left" vertical="center" wrapText="1"/>
    </xf>
    <xf numFmtId="49" fontId="22" fillId="0" borderId="0" xfId="0" applyFont="1" applyNumberFormat="1">
      <alignment vertical="top"/>
    </xf>
    <xf numFmtId="0" fontId="37" fillId="35" borderId="24" xfId="0" applyFont="1" applyFill="1" applyBorder="1" applyNumberFormat="1">
      <alignment vertical="top"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49" fontId="53" fillId="37" borderId="13" xfId="0" applyFont="1" applyFill="1" applyBorder="1" applyNumberFormat="1">
      <alignment horizontal="left" vertical="center" wrapText="1"/>
    </xf>
    <xf numFmtId="0" fontId="0" fillId="0" borderId="36" xfId="0" applyFont="1" applyBorder="1" applyNumberFormat="1">
      <alignment horizontal="left" vertical="top" wrapText="1"/>
    </xf>
    <xf numFmtId="0" fontId="48" fillId="0" borderId="0" xfId="0" applyFont="1" applyNumberFormat="1">
      <alignment horizontal="left" vertical="center" wrapText="1"/>
    </xf>
    <xf numFmtId="49" fontId="48" fillId="0" borderId="0" xfId="0" applyFont="1" applyNumberFormat="1">
      <alignment horizontal="left" vertical="center" wrapText="1"/>
    </xf>
    <xf numFmtId="0" fontId="37" fillId="35" borderId="0" xfId="0" applyFont="1" applyFill="1" applyNumberFormat="1">
      <alignment vertical="top" wrapText="1"/>
    </xf>
    <xf numFmtId="0" fontId="48" fillId="35" borderId="23" xfId="0" applyFont="1" applyFill="1" applyBorder="1" applyNumberFormat="1">
      <alignment horizontal="center" vertical="center" wrapText="1"/>
    </xf>
    <xf numFmtId="14" fontId="22" fillId="40" borderId="23" xfId="0" applyFont="1" applyFill="1" applyBorder="1" applyNumberFormat="1">
      <alignment horizontal="left" vertical="center" wrapText="1"/>
    </xf>
    <xf numFmtId="14" fontId="22" fillId="40" borderId="12" xfId="0" applyFont="1" applyFill="1" applyBorder="1" applyNumberFormat="1">
      <alignment horizontal="center" vertical="center" wrapText="1"/>
    </xf>
    <xf numFmtId="49" fontId="53" fillId="39" borderId="12" xfId="0" applyFont="1" applyFill="1" applyBorder="1" applyNumberFormat="1">
      <alignment horizontal="left" vertical="center" wrapText="1"/>
      <protection locked="0"/>
    </xf>
    <xf numFmtId="49" fontId="50" fillId="37" borderId="15" xfId="0" applyFont="1" applyFill="1" applyBorder="1" applyNumberFormat="1">
      <alignment horizontal="center" vertical="center"/>
    </xf>
    <xf numFmtId="49" fontId="73" fillId="37" borderId="15" xfId="0" applyFont="1" applyFill="1" applyBorder="1" applyNumberFormat="1">
      <alignment horizontal="left" vertical="center" indent="1"/>
    </xf>
    <xf numFmtId="49" fontId="73" fillId="37" borderId="13" xfId="0" applyFont="1" applyFill="1" applyBorder="1" applyNumberFormat="1">
      <alignment horizontal="left" vertical="center" indent="1"/>
    </xf>
    <xf numFmtId="0" fontId="79" fillId="0" borderId="0" xfId="0" applyFont="1" applyNumberFormat="1">
      <alignment horizontal="center" vertical="center" wrapText="1"/>
    </xf>
    <xf numFmtId="0" fontId="45" fillId="0" borderId="0" xfId="0" applyFont="1" applyNumberFormat="1">
      <alignment vertical="top" wrapText="1"/>
    </xf>
    <xf numFmtId="0" fontId="22" fillId="0" borderId="0" xfId="0" applyFont="1" applyNumberFormat="1">
      <alignment horizontal="right" vertical="top" wrapText="1"/>
    </xf>
    <xf numFmtId="0" fontId="45" fillId="0" borderId="0" xfId="0" applyFont="1" applyNumberFormat="1">
      <alignment vertical="top"/>
    </xf>
    <xf numFmtId="0" fontId="22" fillId="0" borderId="0" xfId="0" applyFont="1" applyNumberFormat="1">
      <alignment vertical="center" wrapText="1"/>
    </xf>
    <xf numFmtId="0" fontId="47" fillId="0" borderId="0" xfId="0" applyFont="1" applyNumberFormat="1">
      <alignment horizontal="left" vertical="center" indent="1"/>
    </xf>
    <xf numFmtId="0" fontId="47" fillId="0" borderId="12" xfId="0" applyFont="1" applyBorder="1" applyNumberFormat="1">
      <alignment horizontal="center" vertical="center"/>
    </xf>
    <xf numFmtId="0" fontId="47" fillId="0" borderId="0" xfId="0" applyFont="1" applyNumberFormat="1">
      <alignment horizontal="center" vertical="center"/>
    </xf>
    <xf numFmtId="0" fontId="47" fillId="0" borderId="0" xfId="0" applyFont="1" applyNumberFormat="1">
      <alignment horizontal="left" vertical="center" wrapText="1"/>
    </xf>
    <xf numFmtId="49" fontId="22" fillId="0" borderId="0" xfId="0" applyFont="1" applyNumberFormat="1">
      <alignment vertical="center" wrapText="1"/>
    </xf>
    <xf numFmtId="49" fontId="22" fillId="0" borderId="0" xfId="0" applyFont="1" applyNumberFormat="1">
      <alignment vertical="top"/>
    </xf>
    <xf numFmtId="49" fontId="22" fillId="0" borderId="24" xfId="0" applyFont="1" applyBorder="1" applyNumberFormat="1">
      <alignment vertical="top"/>
    </xf>
    <xf numFmtId="0" fontId="22" fillId="35" borderId="12" xfId="0" applyFont="1" applyFill="1" applyBorder="1" applyNumberFormat="1">
      <alignment horizontal="left" vertical="center" wrapText="1"/>
    </xf>
    <xf numFmtId="0" fontId="22" fillId="0" borderId="12" xfId="0" applyFont="1" applyBorder="1" applyNumberFormat="1">
      <alignment vertical="center" wrapText="1"/>
    </xf>
    <xf numFmtId="0" fontId="22" fillId="0" borderId="12" xfId="0" applyFont="1" applyBorder="1" applyNumberFormat="1">
      <alignment horizontal="left" vertical="center" wrapText="1" indent="6"/>
    </xf>
    <xf numFmtId="0" fontId="22" fillId="34" borderId="14" xfId="0" applyFont="1" applyFill="1" applyBorder="1" applyNumberFormat="1">
      <alignment horizontal="left" vertical="center" wrapText="1"/>
    </xf>
    <xf numFmtId="0" fontId="22" fillId="34" borderId="15" xfId="0" applyFont="1" applyFill="1" applyBorder="1" applyNumberFormat="1">
      <alignment horizontal="left" vertical="center" wrapText="1"/>
    </xf>
    <xf numFmtId="0" fontId="22" fillId="34" borderId="13" xfId="0" applyFont="1" applyFill="1" applyBorder="1" applyNumberFormat="1">
      <alignment horizontal="left" vertical="center" wrapText="1"/>
    </xf>
    <xf numFmtId="0" fontId="45" fillId="0" borderId="12" xfId="0" applyFont="1" applyBorder="1" applyNumberFormat="1">
      <alignment vertical="top" wrapText="1"/>
    </xf>
    <xf numFmtId="0" fontId="47" fillId="0" borderId="14" xfId="0" applyFont="1" applyBorder="1" applyNumberFormat="1">
      <alignment horizontal="center" vertical="center"/>
    </xf>
    <xf numFmtId="0" fontId="22" fillId="0" borderId="0" xfId="0" applyFont="1" applyNumberFormat="1">
      <alignment horizontal="center" vertical="center" wrapText="1"/>
    </xf>
    <xf numFmtId="0" fontId="42" fillId="35" borderId="0" xfId="0" applyFont="1" applyFill="1" applyNumberFormat="1">
      <alignment horizontal="center" vertical="center" wrapText="1"/>
    </xf>
    <xf numFmtId="0" fontId="22" fillId="0" borderId="24" xfId="0" applyFont="1" applyBorder="1" applyNumberFormat="1">
      <alignment vertical="center" wrapText="1"/>
    </xf>
    <xf numFmtId="0" fontId="22" fillId="35" borderId="12" xfId="0" applyFont="1" applyFill="1" applyBorder="1" applyNumberFormat="1">
      <alignment horizontal="left" vertical="center" wrapText="1" indent="1"/>
    </xf>
    <xf numFmtId="0" fontId="37" fillId="0" borderId="0" xfId="0" applyFont="1" applyNumberFormat="1">
      <alignment vertical="center" wrapText="1"/>
    </xf>
    <xf numFmtId="0" fontId="22" fillId="35" borderId="12" xfId="0" applyFont="1" applyFill="1" applyBorder="1" applyNumberFormat="1">
      <alignment horizontal="left" vertical="center" wrapText="1" indent="2"/>
    </xf>
    <xf numFmtId="0" fontId="22" fillId="35" borderId="12" xfId="0" applyFont="1" applyFill="1" applyBorder="1" applyNumberFormat="1">
      <alignment horizontal="left" vertical="center" wrapText="1" indent="3"/>
    </xf>
    <xf numFmtId="0" fontId="47" fillId="0" borderId="12" xfId="0" applyFont="1" applyBorder="1" applyNumberFormat="1">
      <alignment horizontal="center" vertical="center" wrapText="1"/>
    </xf>
    <xf numFmtId="0" fontId="47" fillId="0" borderId="0" xfId="0" applyFont="1" applyNumberFormat="1">
      <alignment vertical="center" wrapText="1"/>
    </xf>
    <xf numFmtId="0" fontId="48" fillId="0" borderId="0" xfId="0" applyFont="1" applyNumberFormat="1">
      <alignment horizontal="center" vertical="center" wrapText="1"/>
    </xf>
    <xf numFmtId="0" fontId="48" fillId="0" borderId="0" xfId="0" applyFont="1" applyNumberFormat="1">
      <alignment horizontal="center" vertical="center" wrapText="1"/>
    </xf>
    <xf numFmtId="0" fontId="48" fillId="0" borderId="24" xfId="0" applyFont="1" applyBorder="1" applyNumberFormat="1">
      <alignment horizontal="center" vertical="center" wrapText="1"/>
    </xf>
    <xf numFmtId="0" fontId="22" fillId="35" borderId="12" xfId="0" applyFont="1" applyFill="1" applyBorder="1" applyNumberFormat="1">
      <alignment horizontal="left" vertical="center" wrapText="1" indent="4"/>
    </xf>
    <xf numFmtId="0" fontId="22" fillId="40" borderId="14" xfId="0" applyFont="1" applyFill="1" applyBorder="1" applyNumberFormat="1">
      <alignment horizontal="left" vertical="center" wrapText="1"/>
    </xf>
    <xf numFmtId="0" fontId="22" fillId="40" borderId="15" xfId="0" applyFont="1" applyFill="1" applyBorder="1" applyNumberFormat="1">
      <alignment horizontal="left" vertical="center" wrapText="1"/>
    </xf>
    <xf numFmtId="0" fontId="22" fillId="40" borderId="13" xfId="0" applyFont="1" applyFill="1" applyBorder="1" applyNumberFormat="1">
      <alignment horizontal="left" vertical="center" wrapText="1"/>
    </xf>
    <xf numFmtId="0" fontId="47" fillId="0" borderId="14" xfId="0" applyFont="1" applyBorder="1" applyNumberFormat="1">
      <alignment horizontal="center" vertical="center" wrapText="1"/>
    </xf>
    <xf numFmtId="0" fontId="48" fillId="0" borderId="24" xfId="0" applyFont="1" applyBorder="1" applyNumberFormat="1">
      <alignment vertical="center" wrapText="1"/>
    </xf>
    <xf numFmtId="0" fontId="22" fillId="35" borderId="12" xfId="0" applyFont="1" applyFill="1" applyBorder="1" applyNumberFormat="1">
      <alignment horizontal="left" vertical="center" wrapText="1" indent="5"/>
    </xf>
    <xf numFmtId="0" fontId="22" fillId="40" borderId="12" xfId="0" applyFont="1" applyFill="1" applyBorder="1" applyNumberFormat="1">
      <alignment horizontal="left" vertical="center" wrapText="1" indent="6"/>
    </xf>
    <xf numFmtId="4" fontId="22" fillId="36" borderId="12" xfId="0" applyFont="1" applyFill="1" applyBorder="1" applyNumberFormat="1">
      <alignment horizontal="right" vertical="center" wrapText="1"/>
      <protection locked="0"/>
    </xf>
    <xf numFmtId="4" fontId="22" fillId="0" borderId="12" xfId="0" applyFont="1" applyBorder="1" applyNumberFormat="1">
      <alignment horizontal="right" vertical="center" wrapText="1"/>
    </xf>
    <xf numFmtId="502" fontId="22" fillId="36" borderId="12" xfId="0" applyFont="1" applyFill="1" applyBorder="1" applyNumberFormat="1">
      <alignment horizontal="right" vertical="center" wrapText="1"/>
      <protection locked="0"/>
    </xf>
    <xf numFmtId="504" fontId="0" fillId="39" borderId="12" xfId="0" applyFont="1" applyFill="1" applyBorder="1" applyNumberFormat="1">
      <alignment horizontal="center" vertical="center" wrapText="1"/>
      <protection locked="0"/>
    </xf>
    <xf numFmtId="0" fontId="45" fillId="0" borderId="17" xfId="0" applyFont="1" applyBorder="1" applyNumberFormat="1">
      <alignment horizontal="left" vertical="top" wrapText="1"/>
    </xf>
    <xf numFmtId="49" fontId="22" fillId="0" borderId="12" xfId="0" applyFont="1" applyBorder="1" applyNumberFormat="1">
      <alignment horizontal="left" vertical="center" wrapText="1"/>
    </xf>
    <xf numFmtId="4" fontId="48" fillId="0" borderId="12" xfId="0" applyFont="1" applyBorder="1" applyNumberFormat="1">
      <alignment horizontal="center" vertical="center" wrapText="1"/>
    </xf>
    <xf numFmtId="49" fontId="0" fillId="39" borderId="12" xfId="0" applyFont="1" applyFill="1" applyBorder="1" applyNumberFormat="1">
      <alignment horizontal="center" vertical="center" wrapText="1"/>
      <protection locked="0"/>
    </xf>
    <xf numFmtId="0" fontId="45" fillId="0" borderId="36" xfId="0" applyFont="1" applyBorder="1" applyNumberFormat="1">
      <alignment horizontal="left" vertical="top" wrapText="1"/>
    </xf>
    <xf numFmtId="49" fontId="73" fillId="37" borderId="14" xfId="0" applyFont="1" applyFill="1" applyBorder="1" applyNumberFormat="1">
      <alignment horizontal="left" vertical="center"/>
    </xf>
    <xf numFmtId="49" fontId="40" fillId="37" borderId="15" xfId="0" applyFont="1" applyFill="1" applyBorder="1" applyNumberFormat="1">
      <alignment horizontal="left" vertical="center" indent="6"/>
    </xf>
    <xf numFmtId="49" fontId="22" fillId="37" borderId="13" xfId="0" applyFont="1" applyFill="1" applyBorder="1" applyNumberFormat="1">
      <alignment horizontal="center" vertical="center" wrapText="1"/>
    </xf>
    <xf numFmtId="0" fontId="45" fillId="0" borderId="23" xfId="0" applyFont="1" applyBorder="1" applyNumberFormat="1">
      <alignment horizontal="left" vertical="top" wrapText="1"/>
    </xf>
    <xf numFmtId="49" fontId="40" fillId="37" borderId="15" xfId="0" applyFont="1" applyFill="1" applyBorder="1" applyNumberFormat="1">
      <alignment horizontal="left" vertical="center" indent="5"/>
    </xf>
    <xf numFmtId="49" fontId="0" fillId="37" borderId="15" xfId="0" applyFont="1" applyFill="1" applyBorder="1" applyNumberFormat="1">
      <alignment horizontal="center" vertical="center" wrapText="1"/>
    </xf>
    <xf numFmtId="49" fontId="0" fillId="37" borderId="13" xfId="0" applyFont="1" applyFill="1" applyBorder="1" applyNumberFormat="1">
      <alignment horizontal="center" vertical="center" wrapText="1"/>
    </xf>
    <xf numFmtId="49" fontId="39" fillId="0" borderId="0" xfId="0" applyFont="1" applyNumberFormat="1">
      <alignment vertical="top"/>
    </xf>
    <xf numFmtId="49" fontId="40" fillId="37" borderId="15" xfId="0" applyFont="1" applyFill="1" applyBorder="1" applyNumberFormat="1">
      <alignment horizontal="left" vertical="center" indent="4"/>
    </xf>
    <xf numFmtId="0" fontId="48" fillId="0" borderId="0" xfId="0" applyFont="1" applyNumberFormat="1">
      <alignment horizontal="left" vertical="center" indent="1"/>
    </xf>
    <xf numFmtId="0" fontId="48" fillId="0" borderId="0" xfId="0" applyFont="1" applyNumberFormat="1">
      <alignment horizontal="center" vertical="center"/>
    </xf>
    <xf numFmtId="0" fontId="48" fillId="0" borderId="0" xfId="0" applyFont="1" applyNumberFormat="1">
      <alignment horizontal="left" vertical="center" wrapText="1"/>
    </xf>
    <xf numFmtId="49" fontId="107" fillId="0" borderId="0" xfId="0" applyFont="1" applyNumberFormat="1">
      <alignment vertical="top"/>
    </xf>
    <xf numFmtId="49" fontId="97" fillId="0" borderId="19" xfId="0" applyFont="1" applyBorder="1" applyNumberFormat="1">
      <alignment horizontal="left" vertical="center"/>
    </xf>
    <xf numFmtId="49" fontId="48" fillId="0" borderId="19" xfId="0" applyFont="1" applyBorder="1" applyNumberFormat="1">
      <alignment horizontal="left" vertical="center" indent="3"/>
    </xf>
    <xf numFmtId="49" fontId="48" fillId="0" borderId="19" xfId="0" applyFont="1" applyBorder="1" applyNumberFormat="1">
      <alignment horizontal="center" vertical="center" wrapText="1"/>
    </xf>
    <xf numFmtId="0" fontId="48" fillId="0" borderId="0" xfId="0" applyFont="1" applyNumberFormat="1">
      <alignment vertical="center" wrapText="1"/>
    </xf>
    <xf numFmtId="49" fontId="48" fillId="0" borderId="0" xfId="0" applyFont="1" applyNumberFormat="1">
      <alignment horizontal="left" vertical="center"/>
    </xf>
    <xf numFmtId="49" fontId="97" fillId="0" borderId="0" xfId="0" applyFont="1" applyNumberFormat="1">
      <alignment horizontal="left" vertical="center"/>
    </xf>
    <xf numFmtId="49" fontId="48" fillId="0" borderId="0" xfId="0" applyFont="1" applyNumberFormat="1">
      <alignment horizontal="left" vertical="center" indent="2"/>
    </xf>
    <xf numFmtId="49" fontId="48" fillId="0" borderId="0" xfId="0" applyFont="1" applyNumberFormat="1">
      <alignment horizontal="center" vertical="center" wrapText="1"/>
    </xf>
    <xf numFmtId="49" fontId="48" fillId="0" borderId="0" xfId="0" applyFont="1" applyNumberFormat="1">
      <alignment horizontal="left" vertical="center" indent="1"/>
    </xf>
    <xf numFmtId="49" fontId="22" fillId="0" borderId="0" xfId="0" applyFont="1" applyNumberFormat="1">
      <alignment vertical="center" wrapText="1"/>
    </xf>
    <xf numFmtId="4" fontId="47" fillId="0" borderId="12" xfId="0" applyFont="1" applyBorder="1" applyNumberFormat="1">
      <alignment horizontal="right" vertical="center" wrapText="1"/>
    </xf>
    <xf numFmtId="502" fontId="47" fillId="0" borderId="12" xfId="0" applyFont="1" applyBorder="1" applyNumberFormat="1">
      <alignment horizontal="right" vertical="center" wrapText="1"/>
    </xf>
    <xf numFmtId="504" fontId="47" fillId="0" borderId="12" xfId="0" applyFont="1" applyBorder="1" applyNumberFormat="1">
      <alignment horizontal="center" vertical="center" wrapText="1"/>
    </xf>
    <xf numFmtId="49" fontId="47" fillId="0" borderId="12" xfId="0" applyFont="1" applyBorder="1" applyNumberFormat="1">
      <alignment horizontal="center" vertical="center" wrapText="1"/>
    </xf>
    <xf numFmtId="0" fontId="47" fillId="0" borderId="0" xfId="0" applyFont="1" applyNumberFormat="1">
      <alignment horizontal="center" vertical="center" wrapText="1"/>
    </xf>
    <xf numFmtId="49" fontId="47" fillId="0" borderId="0" xfId="0" applyFont="1" applyNumberFormat="1">
      <alignment vertical="center" wrapText="1"/>
    </xf>
    <xf numFmtId="49" fontId="47" fillId="0" borderId="12" xfId="0" applyFont="1" applyBorder="1" applyNumberFormat="1">
      <alignment vertical="center" wrapText="1"/>
    </xf>
    <xf numFmtId="0" fontId="69" fillId="0" borderId="0" xfId="0" applyFont="1" applyNumberFormat="1">
      <alignment vertical="center" wrapText="1"/>
    </xf>
    <xf numFmtId="0" fontId="47" fillId="0" borderId="0" xfId="0" applyFont="1" applyNumberFormat="1">
      <alignment horizontal="left" vertical="center" wrapText="1"/>
    </xf>
    <xf numFmtId="0" fontId="47" fillId="0" borderId="0" xfId="0" applyFont="1" applyNumberFormat="1">
      <alignment vertical="center" wrapText="1"/>
    </xf>
    <xf numFmtId="0" fontId="39" fillId="35" borderId="0" xfId="0" applyFont="1" applyFill="1" applyNumberFormat="1">
      <alignment vertical="center" wrapText="1"/>
    </xf>
    <xf numFmtId="0" fontId="22" fillId="35" borderId="0" xfId="0" applyFont="1" applyFill="1" applyNumberFormat="1">
      <alignment horizontal="left" vertical="center" wrapText="1"/>
    </xf>
    <xf numFmtId="0" fontId="22" fillId="35" borderId="0" xfId="0" applyFont="1" applyFill="1" applyNumberFormat="1">
      <alignment vertical="center" wrapText="1"/>
    </xf>
    <xf numFmtId="0" fontId="22" fillId="0" borderId="19" xfId="0" applyFont="1" applyBorder="1" applyNumberFormat="1">
      <alignment horizontal="left" vertical="top" wrapText="1" indent="1"/>
    </xf>
    <xf numFmtId="0" fontId="46" fillId="0" borderId="0" xfId="0" applyFont="1" applyNumberFormat="1">
      <alignment vertical="center" wrapText="1"/>
    </xf>
    <xf numFmtId="0" fontId="22" fillId="0" borderId="27" xfId="0" applyFont="1" applyBorder="1" applyNumberFormat="1">
      <alignment horizontal="left" vertical="center" wrapText="1" indent="1"/>
    </xf>
    <xf numFmtId="0" fontId="50" fillId="35" borderId="0" xfId="0" applyFont="1" applyFill="1" applyNumberFormat="1">
      <alignment horizontal="center" vertical="center" wrapText="1"/>
    </xf>
    <xf numFmtId="0" fontId="47" fillId="0" borderId="0" xfId="0" applyFont="1" applyNumberFormat="1">
      <alignment vertical="center"/>
    </xf>
    <xf numFmtId="0" fontId="47" fillId="0" borderId="0" xfId="0" applyFont="1" applyNumberFormat="1">
      <alignment horizontal="center" vertical="center"/>
    </xf>
    <xf numFmtId="0" fontId="0" fillId="35" borderId="12" xfId="0" applyFont="1" applyFill="1" applyBorder="1" applyNumberFormat="1">
      <alignment horizontal="right" vertical="center" wrapText="1" indent="1"/>
    </xf>
    <xf numFmtId="0" fontId="0" fillId="0" borderId="15" xfId="0" applyFont="1" applyBorder="1" applyNumberFormat="1">
      <alignment vertical="center"/>
    </xf>
    <xf numFmtId="0" fontId="22" fillId="34" borderId="12" xfId="0" applyFont="1" applyFill="1" applyBorder="1" applyNumberFormat="1">
      <alignment horizontal="left" vertical="center" wrapText="1" indent="1"/>
    </xf>
    <xf numFmtId="0" fontId="22" fillId="0" borderId="0" xfId="0" applyFont="1" applyNumberFormat="1">
      <alignment vertical="center" wrapText="1"/>
    </xf>
    <xf numFmtId="0" fontId="68" fillId="0" borderId="0" xfId="0" applyFont="1" applyNumberFormat="1">
      <alignment vertical="center"/>
    </xf>
    <xf numFmtId="0" fontId="48" fillId="0" borderId="0" xfId="0" applyFont="1" applyNumberFormat="1">
      <alignment vertical="center"/>
    </xf>
    <xf numFmtId="0" fontId="0" fillId="0" borderId="0" xfId="0" applyFont="1" applyNumberFormat="1">
      <alignment vertical="center"/>
    </xf>
    <xf numFmtId="504" fontId="22" fillId="34" borderId="12" xfId="0" applyFont="1" applyFill="1" applyBorder="1" applyNumberFormat="1">
      <alignment horizontal="left" vertical="center" wrapText="1" indent="1"/>
    </xf>
    <xf numFmtId="49" fontId="22" fillId="0" borderId="0" xfId="0" applyFont="1" applyNumberFormat="1">
      <alignment vertical="center" wrapText="1"/>
    </xf>
    <xf numFmtId="0" fontId="22" fillId="0" borderId="0" xfId="0" applyFont="1" applyNumberFormat="1">
      <alignment horizontal="right" vertical="center" wrapText="1"/>
    </xf>
    <xf numFmtId="0" fontId="48" fillId="0" borderId="0" xfId="0" applyFont="1" applyNumberFormat="1">
      <alignment vertical="center" wrapText="1"/>
    </xf>
    <xf numFmtId="0" fontId="22" fillId="35" borderId="27" xfId="0" applyFont="1" applyFill="1" applyBorder="1" applyNumberFormat="1">
      <alignment vertical="center" wrapText="1"/>
    </xf>
    <xf numFmtId="0" fontId="37" fillId="0" borderId="27" xfId="0" applyFont="1" applyBorder="1" applyNumberFormat="1">
      <alignment horizontal="center" vertical="center" wrapText="1"/>
    </xf>
    <xf numFmtId="0" fontId="22" fillId="35" borderId="12" xfId="0" applyFont="1" applyFill="1" applyBorder="1" applyNumberFormat="1">
      <alignment horizontal="left" vertical="center" wrapText="1"/>
    </xf>
    <xf numFmtId="0" fontId="22" fillId="0" borderId="17" xfId="0" applyFont="1" applyBorder="1" applyNumberFormat="1">
      <alignment vertical="center" wrapText="1"/>
    </xf>
    <xf numFmtId="0" fontId="0" fillId="35" borderId="14" xfId="0" applyFont="1" applyFill="1" applyBorder="1" applyNumberFormat="1">
      <alignment horizontal="center" vertical="center" wrapText="1"/>
    </xf>
    <xf numFmtId="0" fontId="0" fillId="35" borderId="15" xfId="0" applyFont="1" applyFill="1" applyBorder="1" applyNumberFormat="1">
      <alignment horizontal="center" vertical="center" wrapText="1"/>
    </xf>
    <xf numFmtId="0" fontId="0" fillId="35" borderId="13" xfId="0" applyFont="1" applyFill="1" applyBorder="1" applyNumberFormat="1">
      <alignment horizontal="center" vertical="center" wrapText="1"/>
    </xf>
    <xf numFmtId="0" fontId="22" fillId="35" borderId="17" xfId="0" applyFont="1" applyFill="1" applyBorder="1" applyNumberFormat="1">
      <alignment horizontal="center" vertical="center" wrapText="1"/>
    </xf>
    <xf numFmtId="49" fontId="40" fillId="37" borderId="17" xfId="0" applyFont="1" applyFill="1" applyBorder="1" applyNumberFormat="1">
      <alignment horizontal="center" vertical="center" textRotation="90" wrapText="1"/>
    </xf>
    <xf numFmtId="0" fontId="22" fillId="0" borderId="36" xfId="0" applyFont="1" applyBorder="1" applyNumberFormat="1">
      <alignment vertical="center" wrapText="1"/>
    </xf>
    <xf numFmtId="0" fontId="22" fillId="0" borderId="17" xfId="0" applyFont="1" applyBorder="1" applyNumberFormat="1">
      <alignment horizontal="center" vertical="center" wrapText="1"/>
    </xf>
    <xf numFmtId="0" fontId="47" fillId="0" borderId="17" xfId="0" applyFont="1" applyBorder="1" applyNumberFormat="1">
      <alignment horizontal="center" vertical="center" wrapText="1"/>
    </xf>
    <xf numFmtId="0" fontId="22" fillId="0" borderId="14" xfId="0" applyFont="1" applyBorder="1" applyNumberFormat="1">
      <alignment horizontal="center" vertical="center" wrapText="1"/>
    </xf>
    <xf numFmtId="0" fontId="22" fillId="0" borderId="13" xfId="0" applyFont="1" applyBorder="1" applyNumberFormat="1">
      <alignment horizontal="center" vertical="center" wrapText="1"/>
    </xf>
    <xf numFmtId="0" fontId="22" fillId="0" borderId="15" xfId="0" applyFont="1" applyBorder="1" applyNumberFormat="1">
      <alignment horizontal="center" vertical="center" wrapText="1"/>
    </xf>
    <xf numFmtId="0" fontId="22" fillId="35" borderId="36" xfId="0" applyFont="1" applyFill="1" applyBorder="1" applyNumberFormat="1">
      <alignment horizontal="center" vertical="center" wrapText="1"/>
    </xf>
    <xf numFmtId="0" fontId="47" fillId="0" borderId="17" xfId="0" applyFont="1" applyBorder="1" applyNumberFormat="1">
      <alignment horizontal="center" vertical="center" wrapText="1"/>
    </xf>
    <xf numFmtId="49" fontId="40" fillId="37" borderId="36" xfId="0" applyFont="1" applyFill="1" applyBorder="1" applyNumberFormat="1">
      <alignment horizontal="center" vertical="center" textRotation="90" wrapText="1"/>
    </xf>
    <xf numFmtId="0" fontId="22" fillId="0" borderId="23" xfId="0" applyFont="1" applyBorder="1" applyNumberFormat="1">
      <alignment vertical="center" wrapText="1"/>
    </xf>
    <xf numFmtId="0" fontId="22" fillId="0" borderId="23" xfId="0" applyFont="1" applyBorder="1" applyNumberFormat="1">
      <alignment horizontal="center" vertical="center" wrapText="1"/>
    </xf>
    <xf numFmtId="0" fontId="47" fillId="0" borderId="23" xfId="0" applyFont="1" applyBorder="1" applyNumberFormat="1">
      <alignment horizontal="center" vertical="center" wrapText="1"/>
    </xf>
    <xf numFmtId="0" fontId="0" fillId="0" borderId="12" xfId="0" applyFont="1" applyBorder="1" applyNumberFormat="1">
      <alignment horizontal="center" vertical="center" wrapText="1"/>
    </xf>
    <xf numFmtId="0" fontId="0" fillId="0" borderId="12" xfId="0" applyFont="1" applyBorder="1" applyNumberFormat="1">
      <alignment horizontal="center" vertical="center" wrapText="1"/>
    </xf>
    <xf numFmtId="0" fontId="0" fillId="0" borderId="14" xfId="0" applyFont="1" applyBorder="1" applyNumberFormat="1">
      <alignment horizontal="center" vertical="center" wrapText="1"/>
    </xf>
    <xf numFmtId="0" fontId="0" fillId="0" borderId="13" xfId="0" applyFont="1" applyBorder="1" applyNumberFormat="1">
      <alignment horizontal="center" vertical="center" wrapText="1"/>
    </xf>
    <xf numFmtId="0" fontId="22" fillId="35" borderId="23" xfId="0" applyFont="1" applyFill="1" applyBorder="1" applyNumberFormat="1">
      <alignment horizontal="center" vertical="center" wrapText="1"/>
    </xf>
    <xf numFmtId="0" fontId="0" fillId="0" borderId="12" xfId="0" applyFont="1" applyBorder="1" applyNumberFormat="1">
      <alignment horizontal="center" vertical="center" wrapText="1"/>
    </xf>
    <xf numFmtId="49" fontId="40" fillId="37" borderId="23" xfId="0" applyFont="1" applyFill="1" applyBorder="1" applyNumberFormat="1">
      <alignment horizontal="center" vertical="center" textRotation="90" wrapText="1"/>
    </xf>
    <xf numFmtId="49" fontId="72" fillId="0" borderId="0" xfId="0" applyFont="1" applyNumberFormat="1">
      <alignment vertical="center" wrapText="1"/>
    </xf>
    <xf numFmtId="0" fontId="106" fillId="35" borderId="0" xfId="0" applyFont="1" applyFill="1" applyNumberFormat="1">
      <alignment vertical="center" wrapText="1"/>
    </xf>
    <xf numFmtId="0" fontId="107" fillId="35" borderId="0" xfId="0" applyFont="1" applyFill="1" applyNumberFormat="1">
      <alignment vertical="center" wrapText="1"/>
    </xf>
    <xf numFmtId="49" fontId="80" fillId="35" borderId="19" xfId="0" applyFont="1" applyFill="1" applyBorder="1" applyNumberFormat="1">
      <alignment horizontal="left" vertical="center" wrapText="1"/>
    </xf>
    <xf numFmtId="49" fontId="80" fillId="35" borderId="19" xfId="0" applyFont="1" applyFill="1" applyBorder="1" applyNumberFormat="1">
      <alignment horizontal="center" vertical="center" wrapText="1"/>
    </xf>
    <xf numFmtId="0" fontId="48" fillId="35" borderId="19" xfId="0" applyFont="1" applyFill="1" applyBorder="1" applyNumberFormat="1">
      <alignment horizontal="center" vertical="center" wrapText="1"/>
    </xf>
    <xf numFmtId="0" fontId="80" fillId="35" borderId="19" xfId="0" applyFont="1" applyFill="1" applyBorder="1" applyNumberFormat="1">
      <alignment horizontal="center" vertical="center" wrapText="1"/>
    </xf>
    <xf numFmtId="0" fontId="80" fillId="35" borderId="19" xfId="0" applyFont="1" applyFill="1" applyBorder="1" applyNumberFormat="1">
      <alignment horizontal="center" vertical="center" wrapText="1"/>
    </xf>
    <xf numFmtId="0" fontId="80" fillId="35" borderId="19" xfId="0" applyFont="1" applyFill="1" applyBorder="1" applyNumberFormat="1">
      <alignment horizontal="center" vertical="center" wrapText="1"/>
    </xf>
    <xf numFmtId="0" fontId="22" fillId="35" borderId="12" xfId="0" applyFont="1" applyFill="1" applyBorder="1" applyNumberFormat="1">
      <alignment horizontal="left" vertical="center" wrapText="1"/>
    </xf>
    <xf numFmtId="0" fontId="22" fillId="0" borderId="0" xfId="0" applyFont="1" applyNumberFormat="1">
      <alignment horizontal="center" vertical="center" wrapText="1"/>
    </xf>
    <xf numFmtId="0" fontId="48" fillId="0" borderId="0" xfId="0" applyFont="1" applyNumberFormat="1">
      <alignment horizontal="center" vertical="center" wrapText="1"/>
    </xf>
    <xf numFmtId="504" fontId="0" fillId="39" borderId="17" xfId="0" applyFont="1" applyFill="1" applyBorder="1" applyNumberFormat="1">
      <alignment horizontal="center" vertical="center" wrapText="1"/>
      <protection locked="0"/>
    </xf>
    <xf numFmtId="4" fontId="22" fillId="0" borderId="17" xfId="0" applyFont="1" applyBorder="1" applyNumberFormat="1">
      <alignment horizontal="right" vertical="center" wrapText="1"/>
    </xf>
    <xf numFmtId="49" fontId="22" fillId="0" borderId="12" xfId="0" applyFont="1" applyBorder="1" applyNumberFormat="1">
      <alignment horizontal="left" vertical="center" wrapText="1"/>
    </xf>
    <xf numFmtId="49" fontId="0" fillId="39" borderId="23" xfId="0" applyFont="1" applyFill="1" applyBorder="1" applyNumberFormat="1">
      <alignment horizontal="center" vertical="center" wrapText="1"/>
      <protection locked="0"/>
    </xf>
    <xf numFmtId="4" fontId="22" fillId="0" borderId="23" xfId="0" applyFont="1" applyBorder="1" applyNumberFormat="1">
      <alignment horizontal="right" vertical="center" wrapText="1"/>
    </xf>
    <xf numFmtId="0" fontId="48" fillId="0" borderId="0" xfId="0" applyFont="1" applyNumberFormat="1">
      <alignment horizontal="left" vertical="center" indent="1"/>
    </xf>
    <xf numFmtId="0" fontId="48" fillId="0" borderId="0" xfId="0" applyFont="1" applyNumberFormat="1">
      <alignment horizontal="center" vertical="center"/>
    </xf>
    <xf numFmtId="49" fontId="48" fillId="0" borderId="0" xfId="0" applyFont="1" applyNumberFormat="1">
      <alignment vertical="top"/>
    </xf>
    <xf numFmtId="49" fontId="107" fillId="0" borderId="0" xfId="0" applyFont="1" applyNumberFormat="1">
      <alignment vertical="top"/>
    </xf>
    <xf numFmtId="0" fontId="22" fillId="0" borderId="0" xfId="0" applyFont="1" applyNumberFormat="1">
      <alignment horizontal="right" vertical="top" wrapText="1"/>
    </xf>
    <xf numFmtId="0" fontId="22" fillId="0" borderId="0" xfId="0" applyFont="1" applyNumberFormat="1">
      <alignment horizontal="left" vertical="top" wrapText="1"/>
    </xf>
    <xf numFmtId="49" fontId="22" fillId="0" borderId="0" xfId="0" applyFont="1" applyNumberFormat="1">
      <alignment vertical="center" wrapText="1"/>
    </xf>
    <xf numFmtId="49" fontId="22" fillId="0" borderId="0" xfId="0" applyFont="1" applyNumberFormat="1">
      <alignment vertical="center" wrapText="1"/>
    </xf>
    <xf numFmtId="0" fontId="39" fillId="0" borderId="0" xfId="0" applyFont="1" applyNumberFormat="1">
      <alignment vertical="center" wrapText="1"/>
    </xf>
    <xf numFmtId="0" fontId="22" fillId="0" borderId="0" xfId="0" applyFont="1" applyNumberFormat="1">
      <alignment horizontal="left" vertical="center" wrapText="1"/>
    </xf>
    <xf numFmtId="0" fontId="47" fillId="0" borderId="0" xfId="0" applyFont="1" applyNumberFormat="1">
      <alignment horizontal="center" vertical="center" wrapText="1"/>
    </xf>
    <xf numFmtId="49" fontId="22" fillId="0" borderId="0" xfId="0" applyFont="1" applyNumberFormat="1">
      <alignment vertical="center" wrapText="1"/>
    </xf>
    <xf numFmtId="0" fontId="22" fillId="0" borderId="0" xfId="0" applyFont="1" applyNumberFormat="1">
      <alignment horizontal="left" vertical="center" wrapText="1"/>
    </xf>
    <xf numFmtId="0" fontId="22" fillId="35" borderId="12" xfId="0" applyFont="1" applyFill="1" applyBorder="1" applyNumberFormat="1">
      <alignment horizontal="left" vertical="center" wrapText="1"/>
    </xf>
    <xf numFmtId="0" fontId="22" fillId="0" borderId="0" xfId="0" applyFont="1" applyNumberFormat="1">
      <alignment horizontal="center" vertical="center" wrapText="1"/>
    </xf>
    <xf numFmtId="0" fontId="48" fillId="0" borderId="0" xfId="0" applyFont="1" applyNumberFormat="1">
      <alignment horizontal="center" vertical="center" wrapText="1"/>
    </xf>
    <xf numFmtId="49" fontId="22" fillId="0" borderId="12" xfId="0" applyFont="1" applyBorder="1" applyNumberFormat="1">
      <alignment horizontal="left" vertical="center" wrapText="1"/>
    </xf>
    <xf numFmtId="0" fontId="22" fillId="0" borderId="0" xfId="0" applyFont="1" applyNumberFormat="1">
      <alignment horizontal="right" vertical="center" wrapText="1"/>
    </xf>
    <xf numFmtId="0" fontId="0" fillId="0" borderId="12" xfId="0" applyFont="1" applyBorder="1" applyNumberFormat="1">
      <alignment horizontal="center" vertical="center" wrapText="1"/>
    </xf>
    <xf numFmtId="0" fontId="80" fillId="35" borderId="19" xfId="0" applyFont="1" applyFill="1" applyBorder="1" applyNumberFormat="1">
      <alignment horizontal="center" vertical="center" wrapText="1"/>
    </xf>
    <xf numFmtId="504" fontId="0" fillId="39" borderId="12" xfId="0" applyFont="1" applyFill="1" applyBorder="1" applyNumberFormat="1">
      <alignment horizontal="center" vertical="center" wrapText="1"/>
      <protection locked="0"/>
    </xf>
    <xf numFmtId="504" fontId="0" fillId="39" borderId="17" xfId="0" applyFont="1" applyFill="1" applyBorder="1" applyNumberFormat="1">
      <alignment horizontal="center" vertical="center" wrapText="1"/>
      <protection locked="0"/>
    </xf>
    <xf numFmtId="49" fontId="0" fillId="0" borderId="0" xfId="0" applyFont="1" applyNumberFormat="1">
      <alignment vertical="top"/>
    </xf>
    <xf numFmtId="0" fontId="47" fillId="0" borderId="0" xfId="0" applyFont="1" applyNumberFormat="1">
      <alignment horizontal="left" vertical="center" indent="1"/>
    </xf>
    <xf numFmtId="0" fontId="47" fillId="0" borderId="14" xfId="0" applyFont="1" applyBorder="1" applyNumberFormat="1">
      <alignment horizontal="center" vertical="center"/>
    </xf>
    <xf numFmtId="0" fontId="47" fillId="0" borderId="14" xfId="0" applyFont="1" applyBorder="1" applyNumberFormat="1">
      <alignment horizontal="center" vertical="center" wrapText="1"/>
    </xf>
    <xf numFmtId="0" fontId="47" fillId="0" borderId="12" xfId="0" applyFont="1" applyBorder="1" applyNumberFormat="1">
      <alignment horizontal="center" vertical="center" wrapText="1"/>
    </xf>
    <xf numFmtId="0" fontId="47" fillId="0" borderId="0" xfId="0" applyFont="1" applyNumberFormat="1">
      <alignment horizontal="center" vertical="center"/>
    </xf>
    <xf numFmtId="0" fontId="47" fillId="0" borderId="0" xfId="0" applyFont="1" applyNumberFormat="1">
      <alignment vertical="center" wrapText="1"/>
    </xf>
    <xf numFmtId="49" fontId="47" fillId="0" borderId="0" xfId="0" applyFont="1" applyNumberFormat="1">
      <alignment vertical="center" wrapText="1"/>
    </xf>
    <xf numFmtId="0" fontId="48" fillId="0" borderId="0" xfId="0" applyFont="1" applyNumberFormat="1">
      <alignment horizontal="center" vertical="center" wrapText="1"/>
    </xf>
    <xf numFmtId="0" fontId="36" fillId="0" borderId="0" xfId="0" applyFont="1" applyNumberFormat="1">
      <alignment horizontal="center" vertical="center" wrapText="1"/>
    </xf>
    <xf numFmtId="0" fontId="48" fillId="0" borderId="24" xfId="0" applyFont="1" applyBorder="1" applyNumberFormat="1">
      <alignment vertical="center" wrapText="1"/>
    </xf>
    <xf numFmtId="0" fontId="22" fillId="35" borderId="12" xfId="0" applyFont="1" applyFill="1" applyBorder="1" applyNumberFormat="1">
      <alignment horizontal="left" vertical="center" wrapText="1"/>
    </xf>
    <xf numFmtId="0" fontId="22" fillId="35" borderId="12" xfId="0" applyFont="1" applyFill="1" applyBorder="1" applyNumberFormat="1">
      <alignment horizontal="left" vertical="center" wrapText="1" indent="5"/>
    </xf>
    <xf numFmtId="0" fontId="22" fillId="0" borderId="12" xfId="0" applyFont="1" applyBorder="1" applyNumberFormat="1">
      <alignment horizontal="left" vertical="center" wrapText="1" indent="6"/>
    </xf>
    <xf numFmtId="0" fontId="22" fillId="40" borderId="14" xfId="0" applyFont="1" applyFill="1" applyBorder="1" applyNumberFormat="1">
      <alignment horizontal="left" vertical="center" wrapText="1"/>
    </xf>
    <xf numFmtId="0" fontId="22" fillId="40" borderId="15" xfId="0" applyFont="1" applyFill="1" applyBorder="1" applyNumberFormat="1">
      <alignment horizontal="left" vertical="center" wrapText="1"/>
    </xf>
    <xf numFmtId="0" fontId="22" fillId="40" borderId="13" xfId="0" applyFont="1" applyFill="1" applyBorder="1" applyNumberFormat="1">
      <alignment horizontal="left" vertical="center" wrapText="1"/>
    </xf>
    <xf numFmtId="0" fontId="45" fillId="0" borderId="12" xfId="0" applyFont="1" applyBorder="1" applyNumberFormat="1">
      <alignment vertical="top" wrapText="1"/>
    </xf>
    <xf numFmtId="0" fontId="48" fillId="0" borderId="0" xfId="0" applyFont="1" applyNumberFormat="1">
      <alignment vertical="center" wrapText="1"/>
    </xf>
    <xf numFmtId="0" fontId="48" fillId="0" borderId="0" xfId="0" applyFont="1" applyNumberFormat="1">
      <alignment vertical="center"/>
    </xf>
    <xf numFmtId="0" fontId="22" fillId="0" borderId="0" xfId="0" applyFont="1" applyNumberFormat="1">
      <alignment vertical="center" wrapText="1"/>
    </xf>
    <xf numFmtId="49" fontId="0" fillId="0" borderId="0" xfId="0" applyFont="1" applyNumberFormat="1">
      <alignment vertical="top"/>
    </xf>
    <xf numFmtId="0" fontId="22" fillId="40" borderId="12" xfId="0" applyFont="1" applyFill="1" applyBorder="1" applyNumberFormat="1">
      <alignment horizontal="left" vertical="center" wrapText="1" indent="6"/>
    </xf>
    <xf numFmtId="4" fontId="22" fillId="36" borderId="12" xfId="0" applyFont="1" applyFill="1" applyBorder="1" applyNumberFormat="1">
      <alignment horizontal="right" vertical="center" wrapText="1"/>
      <protection locked="0"/>
    </xf>
    <xf numFmtId="4" fontId="22" fillId="0" borderId="12" xfId="0" applyFont="1" applyBorder="1" applyNumberFormat="1">
      <alignment horizontal="right" vertical="center" wrapText="1"/>
    </xf>
    <xf numFmtId="502" fontId="22" fillId="36" borderId="12" xfId="0" applyFont="1" applyFill="1" applyBorder="1" applyNumberFormat="1">
      <alignment horizontal="right" vertical="center" wrapText="1"/>
      <protection locked="0"/>
    </xf>
    <xf numFmtId="0" fontId="45" fillId="0" borderId="17" xfId="0" applyFont="1" applyBorder="1" applyNumberFormat="1">
      <alignment horizontal="left" vertical="top" wrapText="1"/>
    </xf>
    <xf numFmtId="49" fontId="0" fillId="0" borderId="0" xfId="0" applyFont="1" applyNumberFormat="1">
      <alignment vertical="top"/>
    </xf>
    <xf numFmtId="49" fontId="22" fillId="0" borderId="12" xfId="0" applyFont="1" applyBorder="1" applyNumberFormat="1">
      <alignment horizontal="left" vertical="center" wrapText="1"/>
    </xf>
    <xf numFmtId="4" fontId="48" fillId="0" borderId="12" xfId="0" applyFont="1" applyBorder="1" applyNumberFormat="1">
      <alignment horizontal="center" vertical="center" wrapText="1"/>
    </xf>
    <xf numFmtId="49" fontId="0" fillId="39" borderId="12" xfId="0" applyFont="1" applyFill="1" applyBorder="1" applyNumberFormat="1">
      <alignment horizontal="center" vertical="center" wrapText="1"/>
      <protection locked="0"/>
    </xf>
    <xf numFmtId="0" fontId="45" fillId="0" borderId="36" xfId="0" applyFont="1" applyBorder="1" applyNumberFormat="1">
      <alignment horizontal="left" vertical="top" wrapText="1"/>
    </xf>
    <xf numFmtId="49" fontId="0" fillId="0" borderId="0" xfId="0" applyFont="1" applyNumberFormat="1">
      <alignment vertical="top"/>
    </xf>
    <xf numFmtId="0" fontId="48" fillId="0" borderId="24" xfId="0" applyFont="1" applyBorder="1" applyNumberFormat="1">
      <alignment horizontal="center" vertical="center" wrapText="1"/>
    </xf>
    <xf numFmtId="49" fontId="73" fillId="37" borderId="14" xfId="0" applyFont="1" applyFill="1" applyBorder="1" applyNumberFormat="1">
      <alignment horizontal="left" vertical="center"/>
    </xf>
    <xf numFmtId="49" fontId="40" fillId="37" borderId="15" xfId="0" applyFont="1" applyFill="1" applyBorder="1" applyNumberFormat="1">
      <alignment horizontal="left" vertical="center" indent="6"/>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3" xfId="0" applyFont="1" applyFill="1" applyBorder="1" applyNumberFormat="1">
      <alignment horizontal="center" vertical="center" wrapText="1"/>
    </xf>
    <xf numFmtId="0" fontId="45" fillId="0" borderId="23" xfId="0" applyFont="1" applyBorder="1" applyNumberFormat="1">
      <alignment horizontal="left" vertical="top" wrapText="1"/>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73" fillId="37" borderId="14" xfId="0" applyFont="1" applyFill="1" applyBorder="1" applyNumberFormat="1">
      <alignment horizontal="left" vertical="center"/>
    </xf>
    <xf numFmtId="49" fontId="40" fillId="37" borderId="15" xfId="0" applyFont="1" applyFill="1" applyBorder="1" applyNumberFormat="1">
      <alignment horizontal="left" vertical="center" indent="6"/>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3" xfId="0" applyFont="1" applyFill="1" applyBorder="1" applyNumberFormat="1">
      <alignment horizontal="center" vertical="center" wrapText="1"/>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73" fillId="37" borderId="14" xfId="0" applyFont="1" applyFill="1" applyBorder="1" applyNumberFormat="1">
      <alignment horizontal="left" vertical="center"/>
    </xf>
    <xf numFmtId="49" fontId="40" fillId="37" borderId="15" xfId="0" applyFont="1" applyFill="1" applyBorder="1" applyNumberFormat="1">
      <alignment horizontal="left" vertical="center" indent="6"/>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3" xfId="0" applyFont="1" applyFill="1" applyBorder="1" applyNumberFormat="1">
      <alignment horizontal="center" vertical="center" wrapText="1"/>
    </xf>
    <xf numFmtId="0" fontId="22" fillId="0" borderId="12" xfId="0" applyFont="1" applyBorder="1" applyNumberFormat="1">
      <alignment horizontal="center" vertical="center"/>
    </xf>
    <xf numFmtId="0" fontId="22" fillId="0" borderId="0" xfId="0" applyFont="1" applyNumberFormat="1">
      <alignment horizontal="center" vertical="center"/>
    </xf>
    <xf numFmtId="0" fontId="22" fillId="35" borderId="12" xfId="0" applyFont="1" applyFill="1" applyBorder="1" applyNumberFormat="1">
      <alignment horizontal="left" vertical="center" wrapText="1"/>
    </xf>
    <xf numFmtId="0" fontId="22" fillId="0" borderId="12" xfId="0" applyFont="1" applyBorder="1" applyNumberFormat="1">
      <alignment vertical="center" wrapText="1"/>
    </xf>
    <xf numFmtId="0" fontId="22" fillId="0" borderId="14" xfId="0" applyFont="1" applyBorder="1" applyNumberFormat="1">
      <alignment horizontal="center" vertical="center"/>
    </xf>
    <xf numFmtId="0" fontId="22" fillId="0" borderId="0" xfId="0" applyFont="1" applyNumberFormat="1">
      <alignment horizontal="center" vertical="center" wrapText="1"/>
    </xf>
    <xf numFmtId="0" fontId="22" fillId="35" borderId="12" xfId="0" applyFont="1" applyFill="1" applyBorder="1" applyNumberFormat="1">
      <alignment horizontal="left" vertical="center" wrapText="1" indent="1"/>
    </xf>
    <xf numFmtId="0" fontId="48" fillId="0" borderId="0" xfId="0" applyFont="1" applyNumberFormat="1">
      <alignment horizontal="center" vertical="center" wrapText="1"/>
    </xf>
    <xf numFmtId="0" fontId="48" fillId="0" borderId="0" xfId="0" applyFont="1" applyNumberFormat="1">
      <alignment vertical="center" wrapText="1"/>
    </xf>
    <xf numFmtId="49" fontId="22" fillId="0" borderId="12" xfId="0" applyFont="1" applyBorder="1" applyNumberFormat="1">
      <alignment horizontal="left" vertical="center" wrapText="1"/>
    </xf>
    <xf numFmtId="0" fontId="72" fillId="0" borderId="0" xfId="0" applyFont="1" applyNumberFormat="1">
      <alignment horizontal="left" vertical="center" indent="1"/>
    </xf>
    <xf numFmtId="0" fontId="72" fillId="0" borderId="0" xfId="0" applyFont="1" applyNumberFormat="1">
      <alignment horizontal="center" vertical="center"/>
    </xf>
    <xf numFmtId="0" fontId="72" fillId="0" borderId="0" xfId="0" applyFont="1" applyNumberFormat="1">
      <alignment horizontal="left" vertical="center" wrapText="1"/>
    </xf>
    <xf numFmtId="0" fontId="72" fillId="0" borderId="0" xfId="0" applyFont="1" applyNumberFormat="1">
      <alignment vertical="center" wrapText="1"/>
    </xf>
    <xf numFmtId="0" fontId="48" fillId="0" borderId="0" xfId="0" applyFont="1" applyNumberFormat="1">
      <alignment vertical="center"/>
    </xf>
    <xf numFmtId="49" fontId="72" fillId="0" borderId="0" xfId="0" applyFont="1" applyNumberFormat="1">
      <alignment horizontal="left" vertical="center"/>
    </xf>
    <xf numFmtId="0" fontId="22" fillId="0" borderId="0" xfId="0" applyFont="1" applyNumberFormat="1">
      <alignment horizontal="center" vertical="center" wrapText="1"/>
    </xf>
    <xf numFmtId="49" fontId="22" fillId="0" borderId="0" xfId="0" applyFont="1" applyNumberFormat="1">
      <alignment vertical="center" wrapText="1"/>
    </xf>
    <xf numFmtId="49" fontId="22" fillId="0" borderId="12" xfId="0" applyFont="1" applyBorder="1" applyNumberFormat="1">
      <alignment vertical="center" wrapText="1"/>
    </xf>
    <xf numFmtId="0" fontId="22" fillId="0" borderId="0" xfId="0" applyFont="1" applyNumberFormat="1">
      <alignment vertical="center"/>
    </xf>
    <xf numFmtId="0" fontId="22" fillId="0" borderId="0" xfId="0" applyFont="1" applyNumberFormat="1">
      <alignment horizontal="center" vertical="center"/>
    </xf>
    <xf numFmtId="0" fontId="22" fillId="0" borderId="0" xfId="0" applyFont="1" applyNumberFormat="1">
      <alignment horizontal="right" vertical="center" wrapText="1"/>
    </xf>
    <xf numFmtId="0" fontId="22" fillId="0" borderId="17" xfId="0" applyFont="1" applyBorder="1" applyNumberFormat="1">
      <alignment vertical="center" wrapText="1"/>
    </xf>
    <xf numFmtId="0" fontId="0" fillId="0" borderId="12" xfId="0" applyFont="1" applyBorder="1" applyNumberFormat="1">
      <alignment horizontal="center" vertical="center" wrapText="1"/>
    </xf>
    <xf numFmtId="0" fontId="80" fillId="35" borderId="19" xfId="0" applyFont="1" applyFill="1" applyBorder="1" applyNumberFormat="1">
      <alignment horizontal="center" vertical="center" wrapText="1"/>
    </xf>
    <xf numFmtId="0" fontId="72" fillId="0" borderId="0" xfId="0" applyFont="1" applyNumberFormat="1">
      <alignment horizontal="left" vertical="center" indent="1"/>
    </xf>
    <xf numFmtId="0" fontId="72" fillId="0" borderId="0" xfId="0" applyFont="1" applyNumberFormat="1">
      <alignment horizontal="center" vertical="center"/>
    </xf>
    <xf numFmtId="0" fontId="22" fillId="0" borderId="0" xfId="0" applyFont="1" applyNumberFormat="1">
      <alignment horizontal="left" vertical="center" indent="1"/>
    </xf>
    <xf numFmtId="49" fontId="22" fillId="0" borderId="0" xfId="0" applyFont="1" applyNumberFormat="1">
      <alignment horizontal="left" vertical="center"/>
    </xf>
    <xf numFmtId="502" fontId="22" fillId="0" borderId="12" xfId="0" applyFont="1" applyBorder="1" applyNumberFormat="1">
      <alignment horizontal="right" vertical="center" wrapText="1"/>
    </xf>
    <xf numFmtId="0" fontId="0" fillId="35" borderId="19" xfId="0" applyFont="1" applyFill="1" applyBorder="1" applyNumberFormat="1">
      <alignment horizontal="center" vertical="center" wrapText="1"/>
    </xf>
    <xf numFmtId="0" fontId="48" fillId="0" borderId="17" xfId="0" applyFont="1" applyBorder="1" applyNumberFormat="1">
      <alignment horizontal="center" vertical="center" wrapText="1"/>
    </xf>
    <xf numFmtId="0" fontId="22" fillId="0" borderId="37" xfId="0" applyFont="1" applyBorder="1" applyNumberFormat="1">
      <alignment horizontal="center" vertical="center" wrapText="1"/>
    </xf>
    <xf numFmtId="0" fontId="48" fillId="0" borderId="12" xfId="0" applyFont="1" applyBorder="1" applyNumberFormat="1">
      <alignment vertical="center" wrapText="1"/>
    </xf>
    <xf numFmtId="0" fontId="48" fillId="0" borderId="23" xfId="0" applyFont="1" applyBorder="1" applyNumberFormat="1">
      <alignment horizontal="center" vertical="center" wrapText="1"/>
    </xf>
    <xf numFmtId="0" fontId="22" fillId="0" borderId="30" xfId="0" applyFont="1" applyBorder="1" applyNumberFormat="1">
      <alignment horizontal="center" vertical="center" wrapText="1"/>
    </xf>
    <xf numFmtId="0" fontId="48" fillId="0" borderId="12" xfId="0" applyFont="1" applyBorder="1" applyNumberFormat="1">
      <alignment horizontal="center" vertical="center" wrapText="1"/>
    </xf>
    <xf numFmtId="0" fontId="0" fillId="0" borderId="13" xfId="0" applyFont="1" applyBorder="1" applyNumberFormat="1">
      <alignment horizontal="center" vertical="center" wrapText="1"/>
    </xf>
    <xf numFmtId="0" fontId="22" fillId="0" borderId="0" xfId="0" applyFont="1" applyNumberFormat="1">
      <alignment vertical="center"/>
    </xf>
    <xf numFmtId="0" fontId="80" fillId="35" borderId="0" xfId="0" applyFont="1" applyFill="1" applyNumberFormat="1">
      <alignment horizontal="center" vertical="center" wrapText="1"/>
    </xf>
    <xf numFmtId="0" fontId="48" fillId="0" borderId="12" xfId="0" applyFont="1" applyBorder="1" applyNumberFormat="1">
      <alignment horizontal="left" vertical="center" wrapText="1"/>
    </xf>
    <xf numFmtId="0" fontId="48" fillId="0" borderId="12" xfId="0" applyFont="1" applyBorder="1" applyNumberFormat="1">
      <alignment horizontal="left" vertical="center" wrapText="1" indent="4"/>
    </xf>
    <xf numFmtId="0" fontId="48" fillId="0" borderId="12" xfId="0" applyFont="1" applyBorder="1" applyNumberFormat="1">
      <alignment horizontal="left" vertical="center" wrapText="1" indent="6"/>
    </xf>
    <xf numFmtId="0" fontId="48" fillId="0" borderId="14" xfId="0" applyFont="1" applyBorder="1" applyNumberFormat="1">
      <alignment horizontal="left" vertical="center" wrapText="1"/>
    </xf>
    <xf numFmtId="0" fontId="48" fillId="0" borderId="15" xfId="0" applyFont="1" applyBorder="1" applyNumberFormat="1">
      <alignment horizontal="left" vertical="center" wrapText="1"/>
    </xf>
    <xf numFmtId="0" fontId="48" fillId="0" borderId="13" xfId="0" applyFont="1" applyBorder="1" applyNumberFormat="1">
      <alignment horizontal="left" vertical="center" wrapText="1"/>
    </xf>
    <xf numFmtId="0" fontId="48" fillId="0" borderId="12" xfId="0" applyFont="1" applyBorder="1" applyNumberFormat="1">
      <alignment vertical="top" wrapText="1"/>
    </xf>
    <xf numFmtId="49" fontId="97" fillId="0" borderId="14" xfId="0" applyFont="1" applyBorder="1" applyNumberFormat="1">
      <alignment horizontal="left" vertical="center"/>
    </xf>
    <xf numFmtId="49" fontId="48" fillId="0" borderId="15" xfId="0" applyFont="1" applyBorder="1" applyNumberFormat="1">
      <alignment horizontal="left" vertical="center" indent="4"/>
    </xf>
    <xf numFmtId="49" fontId="48" fillId="0" borderId="15" xfId="0" applyFont="1" applyBorder="1" applyNumberFormat="1">
      <alignment horizontal="center" vertical="center" wrapText="1"/>
    </xf>
    <xf numFmtId="49" fontId="48" fillId="0" borderId="13" xfId="0" applyFont="1" applyBorder="1" applyNumberFormat="1">
      <alignment horizontal="center" vertical="center" wrapText="1"/>
    </xf>
    <xf numFmtId="49" fontId="48" fillId="0" borderId="0" xfId="0" applyFont="1" applyNumberFormat="1">
      <alignment vertical="center" wrapText="1"/>
    </xf>
    <xf numFmtId="0" fontId="0" fillId="0" borderId="0" xfId="0" applyFont="1" applyNumberFormat="1">
      <alignment horizontal="left" vertical="top" wrapText="1"/>
    </xf>
    <xf numFmtId="0" fontId="47" fillId="0" borderId="0" xfId="0" applyFont="1" applyNumberFormat="1">
      <alignment vertical="top" wrapText="1"/>
    </xf>
    <xf numFmtId="0" fontId="22" fillId="35" borderId="17" xfId="0" applyFont="1" applyFill="1" applyBorder="1" applyNumberFormat="1">
      <alignment horizontal="left" vertical="center" wrapText="1"/>
    </xf>
    <xf numFmtId="0" fontId="22" fillId="35" borderId="17" xfId="0" applyFont="1" applyFill="1" applyBorder="1" applyNumberFormat="1">
      <alignment horizontal="left" vertical="center" wrapText="1" indent="2"/>
    </xf>
    <xf numFmtId="0" fontId="22" fillId="0" borderId="17" xfId="0" applyFont="1" applyBorder="1" applyNumberFormat="1">
      <alignment horizontal="left" vertical="center" wrapText="1" indent="6"/>
    </xf>
    <xf numFmtId="0" fontId="22" fillId="34" borderId="37" xfId="0" applyFont="1" applyFill="1" applyBorder="1" applyNumberFormat="1">
      <alignment horizontal="left" vertical="center" wrapText="1"/>
    </xf>
    <xf numFmtId="0" fontId="22" fillId="34" borderId="19" xfId="0" applyFont="1" applyFill="1" applyBorder="1" applyNumberFormat="1">
      <alignment horizontal="left" vertical="center" wrapText="1"/>
    </xf>
    <xf numFmtId="0" fontId="22" fillId="34" borderId="20" xfId="0" applyFont="1" applyFill="1" applyBorder="1" applyNumberFormat="1">
      <alignment horizontal="left" vertical="center" wrapText="1"/>
    </xf>
    <xf numFmtId="0" fontId="22" fillId="35" borderId="12" xfId="0" applyFont="1" applyFill="1" applyBorder="1" applyNumberFormat="1">
      <alignment horizontal="left" vertical="center" wrapText="1"/>
    </xf>
    <xf numFmtId="0" fontId="22" fillId="34" borderId="12" xfId="0" applyFont="1" applyFill="1" applyBorder="1" applyNumberFormat="1">
      <alignment horizontal="left" vertical="center" wrapText="1"/>
    </xf>
    <xf numFmtId="0" fontId="45" fillId="0" borderId="13" xfId="0" applyFont="1" applyBorder="1" applyNumberFormat="1">
      <alignment vertical="top" wrapText="1"/>
    </xf>
    <xf numFmtId="0" fontId="48" fillId="0" borderId="0" xfId="0" applyFont="1" applyNumberFormat="1">
      <alignment horizontal="center" vertical="center" wrapText="1"/>
    </xf>
    <xf numFmtId="0" fontId="48" fillId="0" borderId="12" xfId="0" applyFont="1" applyBorder="1" applyNumberFormat="1">
      <alignment horizontal="left" vertical="center" wrapText="1"/>
    </xf>
    <xf numFmtId="0" fontId="48" fillId="0" borderId="13" xfId="0" applyFont="1" applyBorder="1" applyNumberFormat="1">
      <alignment vertical="top" wrapText="1"/>
    </xf>
    <xf numFmtId="0" fontId="22" fillId="40" borderId="12" xfId="0" applyFont="1" applyFill="1" applyBorder="1" applyNumberFormat="1">
      <alignment horizontal="left" vertical="center" wrapText="1"/>
    </xf>
    <xf numFmtId="0" fontId="22" fillId="35" borderId="23" xfId="0" applyFont="1" applyFill="1" applyBorder="1" applyNumberFormat="1">
      <alignment horizontal="left" vertical="center" wrapText="1"/>
    </xf>
    <xf numFmtId="0" fontId="22" fillId="40" borderId="23" xfId="0" applyFont="1" applyFill="1" applyBorder="1" applyNumberFormat="1">
      <alignment horizontal="left" vertical="center" wrapText="1" indent="6"/>
    </xf>
    <xf numFmtId="0" fontId="22" fillId="0" borderId="23" xfId="0" applyFont="1" applyBorder="1" applyNumberFormat="1">
      <alignment horizontal="left" vertical="center" wrapText="1" indent="6"/>
    </xf>
    <xf numFmtId="4" fontId="22" fillId="36" borderId="23" xfId="0" applyFont="1" applyFill="1" applyBorder="1" applyNumberFormat="1">
      <alignment horizontal="right" vertical="center" wrapText="1"/>
      <protection locked="0"/>
    </xf>
    <xf numFmtId="502" fontId="22" fillId="36" borderId="23" xfId="0" applyFont="1" applyFill="1" applyBorder="1" applyNumberFormat="1">
      <alignment horizontal="right" vertical="center" wrapText="1"/>
      <protection locked="0"/>
    </xf>
    <xf numFmtId="504" fontId="0" fillId="39" borderId="23" xfId="0" applyFont="1" applyFill="1" applyBorder="1" applyNumberFormat="1">
      <alignment horizontal="center" vertical="center" wrapText="1"/>
      <protection locked="0"/>
    </xf>
    <xf numFmtId="0" fontId="22" fillId="0" borderId="19" xfId="0" applyFont="1" applyBorder="1" applyNumberFormat="1">
      <alignment horizontal="left" vertical="center" wrapText="1" indent="1"/>
    </xf>
    <xf numFmtId="0" fontId="22" fillId="0" borderId="0" xfId="0" applyFont="1" applyNumberFormat="1">
      <alignment horizontal="left" vertical="center" wrapText="1"/>
    </xf>
    <xf numFmtId="0" fontId="22" fillId="40" borderId="20" xfId="0" applyFont="1" applyFill="1" applyBorder="1" applyNumberFormat="1">
      <alignment horizontal="left" vertical="center" wrapText="1"/>
    </xf>
    <xf numFmtId="0" fontId="22" fillId="0" borderId="0" xfId="0" applyFont="1" applyNumberFormat="1">
      <alignment horizontal="center" vertical="center" wrapText="1"/>
    </xf>
    <xf numFmtId="502" fontId="22" fillId="36" borderId="14" xfId="0" applyFont="1" applyFill="1" applyBorder="1" applyNumberFormat="1">
      <alignment horizontal="right" vertical="center" wrapText="1"/>
      <protection locked="0"/>
    </xf>
    <xf numFmtId="4" fontId="22" fillId="36" borderId="13" xfId="0" applyFont="1" applyFill="1" applyBorder="1" applyNumberFormat="1">
      <alignment horizontal="right" vertical="center" wrapText="1"/>
      <protection locked="0"/>
    </xf>
    <xf numFmtId="0" fontId="45" fillId="0" borderId="17" xfId="0" applyFont="1" applyBorder="1" applyNumberFormat="1">
      <alignment vertical="top" wrapText="1"/>
    </xf>
    <xf numFmtId="0" fontId="22" fillId="36" borderId="12" xfId="0" applyFont="1" applyFill="1" applyBorder="1" applyNumberFormat="1">
      <alignment horizontal="left" vertical="center" wrapText="1" indent="7"/>
      <protection locked="0"/>
    </xf>
    <xf numFmtId="49" fontId="0" fillId="39" borderId="12" xfId="0" applyFont="1" applyFill="1" applyBorder="1" applyNumberFormat="1">
      <alignment horizontal="center" vertical="center" wrapText="1"/>
      <protection locked="0"/>
    </xf>
    <xf numFmtId="4" fontId="48" fillId="0" borderId="14" xfId="0" applyFont="1" applyBorder="1" applyNumberFormat="1">
      <alignment horizontal="center" vertical="center" wrapText="1"/>
    </xf>
    <xf numFmtId="4" fontId="22" fillId="0" borderId="13" xfId="0" applyFont="1" applyBorder="1" applyNumberFormat="1">
      <alignment horizontal="right" vertical="center" wrapText="1"/>
    </xf>
    <xf numFmtId="0" fontId="22" fillId="37" borderId="15" xfId="0" applyFont="1" applyFill="1" applyBorder="1" applyNumberFormat="1">
      <alignment horizontal="left" vertical="center" wrapText="1" indent="6"/>
    </xf>
    <xf numFmtId="4" fontId="22" fillId="37" borderId="15" xfId="0" applyFont="1" applyFill="1" applyBorder="1" applyNumberFormat="1">
      <alignment horizontal="right" vertical="center" wrapText="1"/>
    </xf>
    <xf numFmtId="4" fontId="48"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9" fontId="22" fillId="37" borderId="27" xfId="0" applyFont="1" applyFill="1" applyBorder="1" applyNumberFormat="1">
      <alignment horizontal="center" vertical="center" wrapText="1"/>
    </xf>
    <xf numFmtId="0" fontId="22" fillId="0" borderId="0" xfId="0" applyFont="1" applyNumberFormat="1">
      <alignment horizontal="center" vertical="center" wrapText="1"/>
    </xf>
    <xf numFmtId="0" fontId="22" fillId="0" borderId="12" xfId="0" applyFont="1" applyBorder="1" applyNumberFormat="1">
      <alignment horizontal="center" vertical="center" wrapText="1"/>
    </xf>
    <xf numFmtId="0" fontId="22" fillId="0" borderId="19" xfId="0" applyFont="1" applyBorder="1" applyNumberFormat="1">
      <alignment horizontal="center" vertical="center" wrapText="1"/>
    </xf>
    <xf numFmtId="0" fontId="22" fillId="0" borderId="20" xfId="0" applyFont="1" applyBorder="1" applyNumberFormat="1">
      <alignment horizontal="center" vertical="center" wrapText="1"/>
    </xf>
    <xf numFmtId="0" fontId="22" fillId="0" borderId="22"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15" xfId="0" applyFont="1" applyBorder="1" applyNumberFormat="1">
      <alignment horizontal="center" vertical="center" wrapText="1"/>
    </xf>
    <xf numFmtId="0" fontId="22" fillId="0" borderId="27" xfId="0" applyFont="1" applyBorder="1" applyNumberFormat="1">
      <alignment horizontal="center" vertical="center" wrapText="1"/>
    </xf>
    <xf numFmtId="0" fontId="22" fillId="0" borderId="29" xfId="0" applyFont="1" applyBorder="1" applyNumberFormat="1">
      <alignment horizontal="center" vertical="center" wrapText="1"/>
    </xf>
    <xf numFmtId="0" fontId="0" fillId="0" borderId="36" xfId="0" applyFont="1" applyBorder="1" applyNumberFormat="1">
      <alignment horizontal="center" vertical="center" wrapText="1"/>
    </xf>
    <xf numFmtId="0" fontId="0" fillId="0" borderId="37" xfId="0" applyFont="1" applyBorder="1" applyNumberFormat="1">
      <alignment horizontal="center" vertical="center" wrapText="1"/>
    </xf>
    <xf numFmtId="0" fontId="0" fillId="0" borderId="20"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30" xfId="0" applyFont="1" applyBorder="1" applyNumberFormat="1">
      <alignment horizontal="center" vertical="center" wrapText="1"/>
    </xf>
    <xf numFmtId="0" fontId="0" fillId="0" borderId="29" xfId="0" applyFont="1" applyBorder="1" applyNumberFormat="1">
      <alignment horizontal="center" vertical="center" wrapText="1"/>
    </xf>
    <xf numFmtId="0" fontId="22" fillId="0" borderId="12" xfId="0" applyFont="1" applyBorder="1" applyNumberFormat="1">
      <alignment horizontal="center" vertical="center"/>
    </xf>
    <xf numFmtId="0" fontId="22" fillId="0" borderId="14" xfId="0" applyFont="1" applyBorder="1" applyNumberFormat="1">
      <alignment horizontal="center" vertical="center"/>
    </xf>
    <xf numFmtId="49" fontId="47" fillId="0" borderId="0" xfId="0" applyFont="1" applyNumberFormat="1">
      <alignment vertical="center" wrapText="1"/>
    </xf>
    <xf numFmtId="0" fontId="47" fillId="0" borderId="0" xfId="0" applyFont="1" applyNumberFormat="1">
      <alignment horizontal="center" vertical="center" wrapText="1"/>
    </xf>
    <xf numFmtId="0" fontId="56" fillId="35" borderId="0" xfId="0" applyFont="1" applyFill="1" applyNumberFormat="1">
      <alignment horizontal="center" vertical="center" wrapText="1"/>
    </xf>
    <xf numFmtId="0" fontId="48" fillId="0" borderId="12" xfId="0" applyFont="1" applyBorder="1" applyNumberFormat="1">
      <alignment horizontal="left" vertical="center" wrapText="1" indent="5"/>
    </xf>
    <xf numFmtId="0" fontId="48" fillId="0" borderId="24" xfId="0" applyFont="1" applyBorder="1" applyNumberFormat="1">
      <alignment horizontal="center" vertical="top" wrapText="1"/>
    </xf>
    <xf numFmtId="0" fontId="22" fillId="35" borderId="17" xfId="0" applyFont="1" applyFill="1" applyBorder="1" applyNumberFormat="1">
      <alignment horizontal="left" vertical="center" wrapText="1"/>
    </xf>
    <xf numFmtId="49" fontId="22" fillId="39" borderId="17" xfId="0" applyFont="1" applyFill="1" applyBorder="1" applyNumberFormat="1">
      <alignment horizontal="left" vertical="center" wrapText="1" indent="6"/>
      <protection locked="0"/>
    </xf>
    <xf numFmtId="0" fontId="37" fillId="0" borderId="12" xfId="0" applyFont="1" applyBorder="1" applyNumberFormat="1">
      <alignment horizontal="center" vertical="center" wrapText="1"/>
    </xf>
    <xf numFmtId="49" fontId="22" fillId="40" borderId="12" xfId="0" applyFont="1" applyFill="1" applyBorder="1" applyNumberFormat="1">
      <alignment horizontal="left" vertical="center" wrapText="1" indent="1"/>
    </xf>
    <xf numFmtId="0" fontId="22" fillId="0" borderId="12" xfId="0" applyFont="1" applyBorder="1" applyNumberFormat="1">
      <alignment horizontal="left" vertical="center" wrapText="1" indent="4"/>
    </xf>
    <xf numFmtId="49" fontId="22" fillId="35" borderId="12" xfId="0" applyFont="1" applyFill="1" applyBorder="1" applyNumberFormat="1">
      <alignment horizontal="center" vertical="center" wrapText="1"/>
    </xf>
    <xf numFmtId="0" fontId="22" fillId="40" borderId="12" xfId="0" applyFont="1" applyFill="1" applyBorder="1" applyNumberFormat="1">
      <alignment horizontal="left" vertical="center" wrapText="1" indent="1"/>
    </xf>
    <xf numFmtId="504" fontId="0" fillId="39" borderId="12" xfId="0" applyFont="1" applyFill="1" applyBorder="1" applyNumberFormat="1">
      <alignment horizontal="center" vertical="center" wrapText="1"/>
      <protection locked="0"/>
    </xf>
    <xf numFmtId="49" fontId="22" fillId="40" borderId="12" xfId="0" applyFont="1" applyFill="1" applyBorder="1" applyNumberFormat="1">
      <alignment horizontal="center" vertical="center" wrapText="1"/>
    </xf>
    <xf numFmtId="0" fontId="22" fillId="35" borderId="36" xfId="0" applyFont="1" applyFill="1" applyBorder="1" applyNumberFormat="1">
      <alignment horizontal="left" vertical="center" wrapText="1"/>
    </xf>
    <xf numFmtId="49" fontId="22" fillId="39" borderId="36" xfId="0" applyFont="1" applyFill="1" applyBorder="1" applyNumberFormat="1">
      <alignment horizontal="left" vertical="center" wrapText="1" indent="6"/>
      <protection locked="0"/>
    </xf>
    <xf numFmtId="502" fontId="22" fillId="37" borderId="13" xfId="0" applyFont="1" applyFill="1" applyBorder="1" applyNumberFormat="1">
      <alignment horizontal="right" vertical="center" wrapText="1"/>
    </xf>
    <xf numFmtId="49" fontId="40" fillId="37" borderId="14" xfId="0" applyFont="1" applyFill="1" applyBorder="1" applyNumberFormat="1">
      <alignment horizontal="left" vertical="center"/>
    </xf>
    <xf numFmtId="502" fontId="22" fillId="37" borderId="15" xfId="0" applyFont="1" applyFill="1" applyBorder="1" applyNumberFormat="1">
      <alignment horizontal="right" vertical="center" wrapText="1"/>
    </xf>
    <xf numFmtId="4" fontId="22" fillId="0" borderId="36" xfId="0" applyFont="1" applyBorder="1" applyNumberFormat="1">
      <alignment horizontal="right" vertical="center" wrapText="1"/>
    </xf>
    <xf numFmtId="49" fontId="40" fillId="37" borderId="14" xfId="0" applyFont="1" applyFill="1" applyBorder="1" applyNumberFormat="1">
      <alignment horizontal="left" vertical="center" indent="1"/>
    </xf>
    <xf numFmtId="0" fontId="22" fillId="35" borderId="23" xfId="0" applyFont="1" applyFill="1" applyBorder="1" applyNumberFormat="1">
      <alignment horizontal="left" vertical="center" wrapText="1"/>
    </xf>
    <xf numFmtId="49" fontId="22" fillId="39" borderId="23" xfId="0" applyFont="1" applyFill="1" applyBorder="1" applyNumberFormat="1">
      <alignment horizontal="left" vertical="center" wrapText="1" indent="6"/>
      <protection locked="0"/>
    </xf>
    <xf numFmtId="4" fontId="48" fillId="37" borderId="13" xfId="0" applyFont="1" applyFill="1" applyBorder="1" applyNumberFormat="1">
      <alignment horizontal="center" vertical="center" wrapText="1"/>
    </xf>
    <xf numFmtId="49" fontId="40" fillId="37" borderId="14" xfId="0" applyFont="1" applyFill="1" applyBorder="1" applyNumberFormat="1">
      <alignment vertical="center" wrapText="1"/>
    </xf>
    <xf numFmtId="49" fontId="40" fillId="37" borderId="15" xfId="0" applyFont="1" applyFill="1" applyBorder="1" applyNumberFormat="1">
      <alignment vertical="center" wrapText="1"/>
    </xf>
    <xf numFmtId="49" fontId="48" fillId="0" borderId="24" xfId="0" applyFont="1" applyBorder="1" applyNumberFormat="1">
      <alignment vertical="top"/>
    </xf>
    <xf numFmtId="0" fontId="111" fillId="0" borderId="0" xfId="0" applyFont="1" applyNumberFormat="1">
      <alignment horizontal="center" vertical="center" wrapText="1"/>
    </xf>
    <xf numFmtId="49" fontId="48" fillId="0" borderId="0" xfId="0" applyFont="1" applyNumberFormat="1">
      <alignment horizontal="center" vertical="center" wrapText="1"/>
    </xf>
    <xf numFmtId="49" fontId="48" fillId="0" borderId="0" xfId="0" applyFont="1" applyNumberFormat="1">
      <alignment horizontal="left" vertical="center" wrapText="1" indent="1"/>
    </xf>
    <xf numFmtId="0" fontId="48" fillId="0" borderId="0" xfId="0" applyFont="1" applyNumberFormat="1">
      <alignment horizontal="left" vertical="center" wrapText="1" indent="4"/>
    </xf>
    <xf numFmtId="0" fontId="48" fillId="0" borderId="24" xfId="0" applyFont="1" applyBorder="1" applyNumberFormat="1">
      <alignment horizontal="left" vertical="center" wrapText="1" indent="1"/>
    </xf>
    <xf numFmtId="4" fontId="48" fillId="0" borderId="12" xfId="0" applyFont="1" applyBorder="1" applyNumberFormat="1">
      <alignment horizontal="right" vertical="center" wrapText="1"/>
    </xf>
    <xf numFmtId="502" fontId="48" fillId="0" borderId="12" xfId="0" applyFont="1" applyBorder="1" applyNumberFormat="1">
      <alignment horizontal="right" vertical="center" wrapText="1"/>
    </xf>
    <xf numFmtId="504" fontId="48" fillId="0" borderId="12" xfId="0" applyFont="1" applyBorder="1" applyNumberFormat="1">
      <alignment horizontal="center" vertical="center" wrapText="1"/>
    </xf>
    <xf numFmtId="49" fontId="48" fillId="0" borderId="12" xfId="0" applyFont="1" applyBorder="1" applyNumberFormat="1">
      <alignment horizontal="center" vertical="center" wrapText="1"/>
    </xf>
    <xf numFmtId="0" fontId="47" fillId="0" borderId="0" xfId="0" applyFont="1" applyNumberFormat="1">
      <alignment horizontal="left" vertical="center"/>
    </xf>
    <xf numFmtId="49" fontId="47" fillId="0" borderId="0" xfId="0" applyFont="1" applyNumberFormat="1">
      <alignment horizontal="left" vertical="center"/>
    </xf>
    <xf numFmtId="0" fontId="69" fillId="0" borderId="0" xfId="0" applyFont="1" applyNumberFormat="1">
      <alignment horizontal="left" vertical="center"/>
    </xf>
    <xf numFmtId="0" fontId="47" fillId="0" borderId="0" xfId="0" applyFont="1" applyNumberFormat="1">
      <alignment horizontal="left" vertical="center"/>
    </xf>
    <xf numFmtId="0" fontId="48" fillId="0" borderId="0" xfId="0" applyFont="1" applyNumberFormat="1">
      <alignment horizontal="left" vertical="center"/>
    </xf>
    <xf numFmtId="0" fontId="69" fillId="35" borderId="0" xfId="0" applyFont="1" applyFill="1" applyNumberFormat="1">
      <alignment vertical="center" wrapText="1"/>
    </xf>
    <xf numFmtId="0" fontId="22" fillId="35" borderId="37" xfId="0" applyFont="1" applyFill="1" applyBorder="1" applyNumberFormat="1">
      <alignment horizontal="center" vertical="center" wrapText="1"/>
    </xf>
    <xf numFmtId="0" fontId="0" fillId="35" borderId="37" xfId="0" applyFont="1" applyFill="1" applyBorder="1" applyNumberFormat="1">
      <alignment horizontal="center" vertical="center" wrapText="1"/>
    </xf>
    <xf numFmtId="0" fontId="0" fillId="35" borderId="20" xfId="0" applyFont="1" applyFill="1" applyBorder="1" applyNumberFormat="1">
      <alignment horizontal="center" vertical="center" wrapText="1"/>
    </xf>
    <xf numFmtId="0" fontId="22" fillId="0" borderId="19" xfId="0" applyFont="1" applyBorder="1" applyNumberFormat="1">
      <alignment horizontal="center" vertical="center" wrapText="1"/>
    </xf>
    <xf numFmtId="0" fontId="22" fillId="35" borderId="22" xfId="0" applyFont="1" applyFill="1" applyBorder="1" applyNumberFormat="1">
      <alignment horizontal="center" vertical="center" wrapText="1"/>
    </xf>
    <xf numFmtId="0" fontId="0" fillId="35" borderId="22" xfId="0" applyFont="1" applyFill="1" applyBorder="1" applyNumberFormat="1">
      <alignment horizontal="center" vertical="center" wrapText="1"/>
    </xf>
    <xf numFmtId="0" fontId="0" fillId="35" borderId="0" xfId="0" applyFont="1" applyFill="1" applyNumberFormat="1">
      <alignment horizontal="center" vertical="center" wrapText="1"/>
    </xf>
    <xf numFmtId="0" fontId="0" fillId="35" borderId="24" xfId="0" applyFont="1" applyFill="1" applyBorder="1" applyNumberFormat="1">
      <alignment horizontal="center" vertical="center" wrapText="1"/>
    </xf>
    <xf numFmtId="0" fontId="22" fillId="34" borderId="12" xfId="0" applyFont="1" applyFill="1" applyBorder="1" applyNumberFormat="1">
      <alignment horizontal="center" vertical="center" wrapText="1"/>
    </xf>
    <xf numFmtId="0" fontId="22" fillId="0" borderId="27" xfId="0" applyFont="1" applyBorder="1" applyNumberFormat="1">
      <alignment horizontal="center" vertical="center" wrapText="1"/>
    </xf>
    <xf numFmtId="0" fontId="22" fillId="39" borderId="12" xfId="0" applyFont="1" applyFill="1" applyBorder="1" applyNumberFormat="1">
      <alignment horizontal="center" vertical="center" wrapText="1"/>
      <protection locked="0"/>
    </xf>
    <xf numFmtId="0" fontId="22" fillId="35" borderId="12" xfId="0" applyFont="1" applyFill="1" applyBorder="1" applyNumberFormat="1">
      <alignment horizontal="center" vertical="center" wrapText="1"/>
    </xf>
    <xf numFmtId="0" fontId="22" fillId="35" borderId="30" xfId="0" applyFont="1" applyFill="1" applyBorder="1" applyNumberFormat="1">
      <alignment horizontal="center" vertical="center" wrapText="1"/>
    </xf>
    <xf numFmtId="0" fontId="0" fillId="35" borderId="30" xfId="0" applyFont="1" applyFill="1" applyBorder="1" applyNumberFormat="1">
      <alignment horizontal="center" vertical="center" wrapText="1"/>
    </xf>
    <xf numFmtId="0" fontId="0" fillId="35" borderId="27" xfId="0" applyFont="1" applyFill="1" applyBorder="1" applyNumberFormat="1">
      <alignment horizontal="center" vertical="center" wrapText="1"/>
    </xf>
    <xf numFmtId="0" fontId="0" fillId="35" borderId="29" xfId="0" applyFont="1" applyFill="1" applyBorder="1" applyNumberFormat="1">
      <alignment horizontal="center" vertical="center" wrapText="1"/>
    </xf>
    <xf numFmtId="0" fontId="22" fillId="35" borderId="23" xfId="0" applyFont="1" applyFill="1" applyBorder="1" applyNumberFormat="1">
      <alignment horizontal="center" vertical="center" wrapText="1"/>
    </xf>
    <xf numFmtId="49" fontId="22" fillId="0" borderId="12" xfId="0" applyFont="1" applyBorder="1" applyNumberFormat="1">
      <alignment horizontal="left" vertical="center" wrapText="1" indent="1"/>
    </xf>
    <xf numFmtId="0" fontId="22" fillId="0" borderId="12" xfId="0" applyFont="1" applyBorder="1" applyNumberFormat="1">
      <alignment horizontal="left" vertical="center" wrapText="1" indent="1"/>
    </xf>
    <xf numFmtId="49" fontId="22" fillId="37" borderId="14" xfId="0" applyFont="1" applyFill="1" applyBorder="1" applyNumberFormat="1">
      <alignment horizontal="center" vertical="center" wrapText="1"/>
    </xf>
    <xf numFmtId="49" fontId="72" fillId="0" borderId="24" xfId="0" applyFont="1" applyBorder="1" applyNumberFormat="1">
      <alignment vertical="top"/>
    </xf>
    <xf numFmtId="0" fontId="22" fillId="0" borderId="0" xfId="0" applyFont="1" applyNumberFormat="1">
      <alignment horizontal="left" vertical="top" wrapText="1"/>
    </xf>
    <xf numFmtId="0" fontId="22" fillId="35" borderId="12" xfId="0" applyFont="1" applyFill="1" applyBorder="1" applyNumberFormat="1">
      <alignment horizontal="left" vertical="center" wrapText="1"/>
    </xf>
    <xf numFmtId="0" fontId="22" fillId="0" borderId="0" xfId="0" applyFont="1" applyNumberFormat="1">
      <alignment horizontal="center" vertical="center" wrapText="1"/>
    </xf>
    <xf numFmtId="0" fontId="48" fillId="0" borderId="0" xfId="0" applyFont="1" applyNumberFormat="1">
      <alignment horizontal="center" vertical="center" wrapText="1"/>
    </xf>
    <xf numFmtId="0" fontId="22" fillId="36" borderId="14" xfId="0" applyFont="1" applyFill="1" applyBorder="1" applyNumberFormat="1">
      <alignment horizontal="left" vertical="center" wrapText="1"/>
      <protection locked="0"/>
    </xf>
    <xf numFmtId="0" fontId="22" fillId="36" borderId="15" xfId="0" applyFont="1" applyFill="1" applyBorder="1" applyNumberFormat="1">
      <alignment horizontal="left" vertical="center" wrapText="1"/>
      <protection locked="0"/>
    </xf>
    <xf numFmtId="0" fontId="22" fillId="36" borderId="13" xfId="0" applyFont="1" applyFill="1" applyBorder="1" applyNumberFormat="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indent="6"/>
      <protection locked="0"/>
    </xf>
    <xf numFmtId="4" fontId="22" fillId="0" borderId="37" xfId="0" applyFont="1" applyBorder="1" applyNumberFormat="1">
      <alignment horizontal="right" vertical="center" wrapText="1"/>
    </xf>
    <xf numFmtId="0" fontId="45" fillId="0" borderId="12" xfId="0" applyFont="1" applyBorder="1" applyNumberFormat="1">
      <alignment horizontal="left" vertical="top" wrapText="1"/>
    </xf>
    <xf numFmtId="49" fontId="22" fillId="0" borderId="12" xfId="0" applyFont="1" applyBorder="1" applyNumberFormat="1">
      <alignment horizontal="left" vertical="center" wrapText="1"/>
    </xf>
    <xf numFmtId="4" fontId="22" fillId="0" borderId="30" xfId="0" applyFont="1" applyBorder="1" applyNumberFormat="1">
      <alignment horizontal="right" vertical="center" wrapText="1"/>
    </xf>
    <xf numFmtId="49" fontId="0" fillId="37" borderId="29" xfId="0" applyFont="1" applyFill="1" applyBorder="1" applyNumberFormat="1">
      <alignment horizontal="center" vertical="center" wrapText="1"/>
    </xf>
    <xf numFmtId="49" fontId="40" fillId="37" borderId="15" xfId="0" applyFont="1" applyFill="1" applyBorder="1" applyNumberFormat="1">
      <alignment horizontal="left" vertical="center" indent="3"/>
    </xf>
    <xf numFmtId="0" fontId="48" fillId="0" borderId="0" xfId="0" applyFont="1" applyNumberFormat="1">
      <alignment horizontal="center" vertical="center"/>
    </xf>
    <xf numFmtId="0" fontId="47" fillId="0" borderId="0" xfId="0" applyFont="1" applyNumberFormat="1">
      <alignment horizontal="center" vertical="center" wrapText="1"/>
    </xf>
    <xf numFmtId="0" fontId="110" fillId="0" borderId="0" xfId="0" applyFont="1" applyNumberFormat="1">
      <alignment vertical="center" wrapText="1"/>
    </xf>
    <xf numFmtId="0" fontId="22" fillId="0" borderId="0" xfId="0" applyFont="1" applyNumberFormat="1">
      <alignment horizontal="right" vertical="center" wrapText="1"/>
    </xf>
    <xf numFmtId="0" fontId="22" fillId="0" borderId="17" xfId="0" applyFont="1" applyBorder="1" applyNumberFormat="1">
      <alignment horizontal="center" vertical="center" wrapText="1"/>
    </xf>
    <xf numFmtId="0" fontId="0" fillId="0" borderId="12" xfId="0" applyFont="1" applyBorder="1" applyNumberFormat="1">
      <alignment horizontal="center" vertical="center" wrapText="1"/>
    </xf>
    <xf numFmtId="0" fontId="80" fillId="35" borderId="19" xfId="0" applyFont="1" applyFill="1" applyBorder="1" applyNumberFormat="1">
      <alignment horizontal="center" vertical="center" wrapText="1"/>
    </xf>
    <xf numFmtId="0" fontId="22" fillId="35" borderId="12" xfId="0" applyFont="1" applyFill="1" applyBorder="1" applyNumberFormat="1">
      <alignment horizontal="left" vertical="center" wrapText="1"/>
    </xf>
    <xf numFmtId="0" fontId="22" fillId="0" borderId="0" xfId="0" applyFont="1" applyNumberFormat="1">
      <alignment horizontal="center" vertical="center" wrapText="1"/>
    </xf>
    <xf numFmtId="0" fontId="48" fillId="0" borderId="0" xfId="0" applyFont="1" applyNumberFormat="1">
      <alignment horizontal="center" vertical="center" wrapText="1"/>
    </xf>
    <xf numFmtId="49" fontId="22" fillId="0" borderId="12" xfId="0" applyFont="1" applyBorder="1" applyNumberFormat="1">
      <alignment horizontal="left" vertical="center" wrapText="1"/>
    </xf>
    <xf numFmtId="49" fontId="22" fillId="0" borderId="0" xfId="0" applyFont="1" applyNumberFormat="1">
      <alignment vertical="center" wrapText="1"/>
    </xf>
    <xf numFmtId="0" fontId="22" fillId="35" borderId="12" xfId="0" applyFont="1" applyFill="1" applyBorder="1" applyNumberFormat="1">
      <alignment horizontal="left" vertical="center" wrapText="1"/>
    </xf>
    <xf numFmtId="0" fontId="22" fillId="0" borderId="0" xfId="0" applyFont="1" applyNumberFormat="1">
      <alignment horizontal="center" vertical="center" wrapText="1"/>
    </xf>
    <xf numFmtId="0" fontId="48" fillId="0" borderId="0" xfId="0" applyFont="1" applyNumberFormat="1">
      <alignment horizontal="center" vertical="center" wrapText="1"/>
    </xf>
    <xf numFmtId="49" fontId="22" fillId="0" borderId="12" xfId="0" applyFont="1" applyBorder="1" applyNumberFormat="1">
      <alignment horizontal="left" vertical="center" wrapText="1"/>
    </xf>
    <xf numFmtId="0" fontId="48" fillId="0" borderId="0" xfId="0" applyFont="1" applyNumberFormat="1">
      <alignment horizontal="center" vertical="center"/>
    </xf>
    <xf numFmtId="0" fontId="47" fillId="0" borderId="0" xfId="0" applyFont="1" applyNumberFormat="1">
      <alignment horizontal="center" vertical="center" wrapText="1"/>
    </xf>
    <xf numFmtId="0" fontId="22" fillId="0" borderId="0" xfId="0" applyFont="1" applyNumberFormat="1">
      <alignment horizontal="right" vertical="center" wrapText="1"/>
    </xf>
    <xf numFmtId="0" fontId="22" fillId="0" borderId="17" xfId="0" applyFont="1" applyBorder="1" applyNumberFormat="1">
      <alignment horizontal="center" vertical="center" wrapText="1"/>
    </xf>
    <xf numFmtId="0" fontId="0" fillId="0" borderId="12" xfId="0" applyFont="1" applyBorder="1" applyNumberFormat="1">
      <alignment horizontal="center" vertical="center" wrapText="1"/>
    </xf>
    <xf numFmtId="0" fontId="80" fillId="35" borderId="19" xfId="0" applyFont="1" applyFill="1" applyBorder="1" applyNumberFormat="1">
      <alignment horizontal="center" vertical="center" wrapText="1"/>
    </xf>
    <xf numFmtId="49" fontId="22" fillId="0" borderId="0" xfId="0" applyFont="1" applyNumberFormat="1">
      <alignment vertical="center" wrapText="1"/>
    </xf>
    <xf numFmtId="0" fontId="22" fillId="34" borderId="15" xfId="0" applyFont="1" applyFill="1" applyBorder="1" applyNumberFormat="1">
      <alignment horizontal="left" vertical="center" wrapText="1"/>
    </xf>
    <xf numFmtId="0" fontId="47" fillId="0" borderId="0" xfId="0" applyFont="1" applyNumberFormat="1">
      <alignment horizontal="center" vertical="center" wrapText="1"/>
    </xf>
    <xf numFmtId="0" fontId="48" fillId="0" borderId="15" xfId="0" applyFont="1" applyBorder="1" applyNumberFormat="1">
      <alignment horizontal="left" vertical="center" wrapText="1"/>
    </xf>
    <xf numFmtId="0" fontId="22" fillId="0" borderId="12" xfId="0" applyFont="1" applyBorder="1" applyNumberFormat="1">
      <alignment horizontal="center" vertical="center" wrapText="1"/>
    </xf>
    <xf numFmtId="0" fontId="48" fillId="0" borderId="24" xfId="0" applyFont="1" applyBorder="1" applyNumberFormat="1">
      <alignment horizontal="center" vertical="top" wrapText="1"/>
    </xf>
    <xf numFmtId="0" fontId="22" fillId="35" borderId="17" xfId="0" applyFont="1" applyFill="1" applyBorder="1" applyNumberFormat="1">
      <alignment horizontal="left" vertical="center" wrapText="1"/>
    </xf>
    <xf numFmtId="49" fontId="22" fillId="39" borderId="17" xfId="0" applyFont="1" applyFill="1" applyBorder="1" applyNumberFormat="1">
      <alignment horizontal="left" vertical="center" wrapText="1" indent="6"/>
      <protection locked="0"/>
    </xf>
    <xf numFmtId="504" fontId="0" fillId="39" borderId="12" xfId="0" applyFont="1" applyFill="1" applyBorder="1" applyNumberFormat="1">
      <alignment horizontal="center" vertical="center" wrapText="1"/>
      <protection locked="0"/>
    </xf>
    <xf numFmtId="49" fontId="22" fillId="40" borderId="12" xfId="0" applyFont="1" applyFill="1" applyBorder="1" applyNumberFormat="1">
      <alignment horizontal="center" vertical="center"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504" fontId="0" fillId="39" borderId="12" xfId="0" applyFont="1" applyFill="1" applyBorder="1" applyNumberFormat="1">
      <alignment horizontal="center" vertical="center" wrapText="1"/>
      <protection locked="0"/>
    </xf>
    <xf numFmtId="49" fontId="22" fillId="40" borderId="12" xfId="0" applyFont="1" applyFill="1" applyBorder="1" applyNumberFormat="1">
      <alignment horizontal="center" vertical="center" wrapText="1"/>
    </xf>
    <xf numFmtId="49" fontId="48" fillId="0" borderId="12" xfId="0" applyFont="1" applyBorder="1" applyNumberFormat="1">
      <alignment horizontal="center" vertical="center" wrapText="1"/>
    </xf>
    <xf numFmtId="0" fontId="22" fillId="0" borderId="0" xfId="0" applyFont="1" applyNumberFormat="1">
      <alignment horizontal="left" vertical="center"/>
    </xf>
    <xf numFmtId="49" fontId="22" fillId="0" borderId="0" xfId="0" applyFont="1" applyNumberFormat="1">
      <alignment horizontal="left" vertical="center"/>
    </xf>
    <xf numFmtId="0" fontId="22" fillId="0" borderId="0" xfId="0" applyFont="1" applyNumberFormat="1">
      <alignment horizontal="left" vertical="center"/>
    </xf>
    <xf numFmtId="0" fontId="37" fillId="0" borderId="27" xfId="0" applyFont="1" applyBorder="1" applyNumberFormat="1">
      <alignment horizontal="center" vertical="center" wrapText="1"/>
    </xf>
    <xf numFmtId="0" fontId="22" fillId="39" borderId="13" xfId="0" applyFont="1" applyFill="1" applyBorder="1" applyNumberFormat="1">
      <alignment horizontal="center" vertical="center" wrapText="1"/>
      <protection locked="0"/>
    </xf>
    <xf numFmtId="0" fontId="22" fillId="35" borderId="12" xfId="0" applyFont="1" applyFill="1" applyBorder="1" applyNumberFormat="1">
      <alignment horizontal="center" vertical="center" wrapText="1"/>
    </xf>
    <xf numFmtId="0" fontId="22" fillId="35" borderId="29" xfId="0" applyFont="1" applyFill="1" applyBorder="1" applyNumberFormat="1">
      <alignment horizontal="center" vertical="center" wrapText="1"/>
    </xf>
    <xf numFmtId="0" fontId="22" fillId="35" borderId="23" xfId="0" applyFont="1" applyFill="1" applyBorder="1" applyNumberFormat="1">
      <alignment horizontal="center" vertical="center" wrapText="1"/>
    </xf>
    <xf numFmtId="0" fontId="22" fillId="0" borderId="12" xfId="0" applyFont="1" applyBorder="1" applyNumberFormat="1">
      <alignment horizontal="center" vertical="center" wrapText="1"/>
    </xf>
    <xf numFmtId="0" fontId="22" fillId="35" borderId="17" xfId="0" applyFont="1" applyFill="1" applyBorder="1" applyNumberFormat="1">
      <alignment horizontal="left" vertical="center" wrapText="1"/>
    </xf>
    <xf numFmtId="49" fontId="22" fillId="39" borderId="17" xfId="0" applyFont="1" applyFill="1" applyBorder="1" applyNumberFormat="1">
      <alignment horizontal="left" vertical="center" wrapText="1" indent="6"/>
      <protection locked="0"/>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0" fontId="22" fillId="0" borderId="0" xfId="0" applyFont="1" applyNumberFormat="1">
      <alignment horizontal="left" vertical="top" wrapText="1"/>
    </xf>
    <xf numFmtId="0" fontId="22" fillId="35" borderId="12" xfId="0" applyFont="1" applyFill="1" applyBorder="1" applyNumberFormat="1">
      <alignment horizontal="left" vertical="center" wrapText="1"/>
    </xf>
    <xf numFmtId="0" fontId="111" fillId="0" borderId="0" xfId="0" applyFont="1" applyNumberFormat="1">
      <alignment vertical="center" wrapText="1"/>
    </xf>
    <xf numFmtId="0" fontId="111" fillId="35" borderId="0" xfId="0" applyFont="1" applyFill="1" applyNumberFormat="1">
      <alignment horizontal="center" vertical="center" wrapText="1"/>
    </xf>
    <xf numFmtId="0" fontId="48" fillId="35" borderId="12" xfId="0" applyFont="1" applyFill="1" applyBorder="1" applyNumberFormat="1">
      <alignment horizontal="left" vertical="center" wrapText="1" indent="3"/>
    </xf>
    <xf numFmtId="0" fontId="48" fillId="0" borderId="0" xfId="0" applyFont="1" applyNumberFormat="1">
      <alignment horizontal="center" vertical="center"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49" fontId="22" fillId="36" borderId="36" xfId="0" applyFont="1" applyFill="1" applyBorder="1" applyNumberFormat="1">
      <alignment horizontal="left" vertical="center" wrapText="1" indent="6"/>
      <protection locked="0"/>
    </xf>
    <xf numFmtId="49" fontId="22" fillId="40" borderId="29" xfId="0" applyFont="1" applyFill="1" applyBorder="1" applyNumberFormat="1">
      <alignment horizontal="center" vertical="center" wrapText="1"/>
    </xf>
    <xf numFmtId="49" fontId="40" fillId="37" borderId="27" xfId="0" applyFont="1" applyFill="1" applyBorder="1" applyNumberFormat="1">
      <alignment horizontal="left" vertical="center"/>
    </xf>
    <xf numFmtId="49" fontId="22" fillId="36" borderId="23" xfId="0" applyFont="1" applyFill="1" applyBorder="1" applyNumberFormat="1">
      <alignment horizontal="left" vertical="center" wrapText="1" indent="6"/>
      <protection locked="0"/>
    </xf>
    <xf numFmtId="0" fontId="48" fillId="0" borderId="0" xfId="0" applyFont="1" applyNumberFormat="1">
      <alignment horizontal="center" vertical="center"/>
    </xf>
    <xf numFmtId="0" fontId="48" fillId="0" borderId="0" xfId="0" applyFont="1" applyNumberFormat="1">
      <alignment horizontal="left" vertical="center" wrapText="1" indent="1"/>
    </xf>
    <xf numFmtId="0" fontId="22" fillId="35" borderId="12" xfId="0" applyFont="1" applyFill="1" applyBorder="1" applyNumberFormat="1">
      <alignment horizontal="center" vertical="center" wrapText="1"/>
    </xf>
    <xf numFmtId="0" fontId="48" fillId="0" borderId="19" xfId="0" applyFont="1" applyBorder="1" applyNumberFormat="1">
      <alignment horizontal="left" vertical="center" wrapText="1"/>
    </xf>
    <xf numFmtId="0" fontId="22" fillId="0" borderId="0" xfId="0" applyFont="1" applyNumberFormat="1">
      <alignment horizontal="left" vertical="top" wrapText="1"/>
    </xf>
    <xf numFmtId="0" fontId="47" fillId="0" borderId="0" xfId="0" applyFont="1" applyNumberFormat="1">
      <alignment horizontal="center" vertical="center" wrapText="1"/>
    </xf>
    <xf numFmtId="0" fontId="22" fillId="35" borderId="12" xfId="0" applyFont="1" applyFill="1" applyBorder="1" applyNumberFormat="1">
      <alignment horizontal="left" vertical="center" wrapText="1"/>
    </xf>
    <xf numFmtId="0" fontId="22" fillId="0" borderId="0" xfId="0" applyFont="1" applyNumberFormat="1">
      <alignment horizontal="center" vertical="center" wrapText="1"/>
    </xf>
    <xf numFmtId="0" fontId="48" fillId="0" borderId="0" xfId="0" applyFont="1" applyNumberFormat="1">
      <alignment horizontal="center" vertical="center" wrapText="1"/>
    </xf>
    <xf numFmtId="49" fontId="22" fillId="0" borderId="12" xfId="0" applyFont="1" applyBorder="1" applyNumberFormat="1">
      <alignment horizontal="left" vertical="center" wrapText="1"/>
    </xf>
    <xf numFmtId="0" fontId="48" fillId="0" borderId="0" xfId="0" applyFont="1" applyNumberFormat="1">
      <alignment horizontal="center" vertical="center"/>
    </xf>
    <xf numFmtId="0" fontId="47" fillId="0" borderId="0" xfId="0" applyFont="1" applyNumberFormat="1">
      <alignment horizontal="center" vertical="center" wrapText="1"/>
    </xf>
    <xf numFmtId="0" fontId="22" fillId="0" borderId="0" xfId="0" applyFont="1" applyNumberFormat="1">
      <alignment horizontal="right" vertical="center" wrapText="1"/>
    </xf>
    <xf numFmtId="0" fontId="22" fillId="0" borderId="17" xfId="0" applyFont="1" applyBorder="1" applyNumberFormat="1">
      <alignment horizontal="center" vertical="center" wrapText="1"/>
    </xf>
    <xf numFmtId="0" fontId="0" fillId="0" borderId="12" xfId="0" applyFont="1" applyBorder="1" applyNumberFormat="1">
      <alignment horizontal="center" vertical="center" wrapText="1"/>
    </xf>
    <xf numFmtId="0" fontId="80" fillId="35" borderId="19" xfId="0" applyFont="1" applyFill="1" applyBorder="1" applyNumberFormat="1">
      <alignment horizontal="center" vertical="center" wrapText="1"/>
    </xf>
    <xf numFmtId="49" fontId="22" fillId="0" borderId="0" xfId="0" applyFont="1" applyNumberFormat="1">
      <alignment vertical="center" wrapText="1"/>
    </xf>
    <xf numFmtId="49" fontId="22" fillId="40"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49" fontId="48" fillId="0" borderId="12" xfId="0" applyFont="1" applyBorder="1" applyNumberFormat="1">
      <alignment horizontal="center" vertical="center" wrapText="1"/>
    </xf>
    <xf numFmtId="0" fontId="22" fillId="35" borderId="12" xfId="0" applyFont="1" applyFill="1" applyBorder="1" applyNumberFormat="1">
      <alignment horizontal="center" vertical="center" wrapText="1"/>
    </xf>
    <xf numFmtId="0" fontId="22" fillId="0" borderId="0" xfId="0" applyFont="1" applyNumberFormat="1">
      <alignment horizontal="left" vertical="top" wrapText="1"/>
    </xf>
    <xf numFmtId="0" fontId="22" fillId="0" borderId="12" xfId="0" applyFont="1" applyBorder="1" applyNumberFormat="1">
      <alignment horizontal="center" vertical="center" wrapText="1"/>
    </xf>
    <xf numFmtId="49" fontId="22" fillId="35" borderId="12" xfId="0" applyFont="1" applyFill="1" applyBorder="1" applyNumberFormat="1">
      <alignment horizontal="center" vertical="center" wrapText="1"/>
    </xf>
    <xf numFmtId="0" fontId="47" fillId="0" borderId="0" xfId="0" applyFont="1" applyNumberFormat="1">
      <alignment horizontal="center" vertical="center" wrapText="1"/>
    </xf>
    <xf numFmtId="49" fontId="22" fillId="35" borderId="12" xfId="0" applyFont="1" applyFill="1" applyBorder="1" applyNumberFormat="1">
      <alignment horizontal="center" vertical="center" wrapText="1"/>
    </xf>
    <xf numFmtId="0" fontId="47" fillId="0" borderId="0" xfId="0" applyFont="1" applyNumberFormat="1">
      <alignment horizontal="center" vertical="center" wrapText="1"/>
    </xf>
    <xf numFmtId="49" fontId="22" fillId="0" borderId="0" xfId="0" applyFont="1" applyNumberFormat="1">
      <alignment vertical="center" wrapText="1"/>
    </xf>
    <xf numFmtId="0" fontId="80" fillId="35" borderId="19" xfId="0" applyFont="1" applyFill="1" applyBorder="1" applyNumberFormat="1">
      <alignment horizontal="center" vertical="center" wrapText="1"/>
    </xf>
    <xf numFmtId="49" fontId="48" fillId="0" borderId="0" xfId="0" applyFont="1" applyNumberFormat="1">
      <alignment horizontal="center" vertical="center" wrapText="1"/>
    </xf>
    <xf numFmtId="49" fontId="22" fillId="0" borderId="0" xfId="0" applyFont="1" applyNumberFormat="1">
      <alignment horizontal="center" vertical="center" wrapText="1"/>
    </xf>
    <xf numFmtId="0" fontId="22" fillId="0" borderId="28" xfId="0" applyFont="1" applyBorder="1" applyNumberFormat="1">
      <alignment horizontal="center" vertical="center" wrapText="1"/>
    </xf>
    <xf numFmtId="0" fontId="22" fillId="39" borderId="12" xfId="0" applyFont="1" applyFill="1" applyBorder="1" applyNumberFormat="1">
      <alignment horizontal="left" vertical="center" wrapText="1" indent="2"/>
      <protection locked="0"/>
    </xf>
    <xf numFmtId="0" fontId="22" fillId="0" borderId="12" xfId="0" applyFont="1" applyBorder="1" applyNumberFormat="1">
      <alignment horizontal="center" vertical="center" wrapText="1"/>
    </xf>
    <xf numFmtId="0" fontId="22" fillId="0" borderId="12" xfId="0" applyFont="1" applyBorder="1" applyNumberFormat="1">
      <alignment vertical="center" wrapText="1"/>
    </xf>
    <xf numFmtId="0" fontId="84" fillId="0" borderId="0" xfId="0" applyFont="1" applyNumberFormat="1">
      <alignment vertical="center" wrapText="1"/>
    </xf>
    <xf numFmtId="0" fontId="48" fillId="0" borderId="28" xfId="0" applyFont="1" applyBorder="1" applyNumberFormat="1">
      <alignment horizontal="center" vertical="center" wrapText="1"/>
    </xf>
    <xf numFmtId="0" fontId="48" fillId="0" borderId="12" xfId="0" applyFont="1" applyBorder="1" applyNumberFormat="1">
      <alignment horizontal="left" vertical="center" wrapText="1" indent="2"/>
    </xf>
    <xf numFmtId="0" fontId="48" fillId="0" borderId="12" xfId="0" applyFont="1" applyBorder="1" applyNumberFormat="1">
      <alignment horizontal="center" vertical="center" wrapText="1"/>
    </xf>
    <xf numFmtId="0" fontId="48" fillId="0" borderId="12" xfId="0" applyFont="1" applyBorder="1" applyNumberFormat="1">
      <alignment vertical="center" wrapText="1"/>
    </xf>
    <xf numFmtId="0" fontId="22" fillId="0" borderId="12" xfId="0" applyFont="1" applyBorder="1" applyNumberFormat="1">
      <alignment horizontal="left" vertical="center" wrapText="1" indent="3"/>
    </xf>
    <xf numFmtId="49" fontId="22" fillId="39" borderId="12" xfId="0" applyFont="1" applyFill="1" applyBorder="1" applyNumberFormat="1">
      <alignment horizontal="center" vertical="center" wrapText="1"/>
      <protection locked="0"/>
    </xf>
    <xf numFmtId="4" fontId="22" fillId="36" borderId="12" xfId="0" applyFont="1" applyFill="1" applyBorder="1" applyNumberFormat="1">
      <alignment horizontal="right" vertical="center" wrapText="1"/>
      <protection locked="0"/>
    </xf>
    <xf numFmtId="0" fontId="22" fillId="36" borderId="12" xfId="0" applyFont="1" applyFill="1" applyBorder="1" applyNumberFormat="1">
      <alignment horizontal="left" vertical="center" wrapText="1"/>
      <protection locked="0"/>
    </xf>
    <xf numFmtId="49" fontId="91" fillId="0" borderId="0" xfId="0" applyFont="1" applyNumberFormat="1">
      <alignment horizontal="center" vertical="center" wrapText="1"/>
    </xf>
    <xf numFmtId="49" fontId="22" fillId="0" borderId="0" xfId="0" applyFont="1" applyNumberFormat="1">
      <alignment horizontal="center" vertical="top" wrapText="1"/>
    </xf>
    <xf numFmtId="0" fontId="22" fillId="0" borderId="12" xfId="0" applyFont="1" applyBorder="1" applyNumberFormat="1">
      <alignment horizontal="center" vertical="center" wrapText="1"/>
    </xf>
    <xf numFmtId="0" fontId="22" fillId="0" borderId="13" xfId="0" applyFont="1" applyBorder="1" applyNumberFormat="1">
      <alignment vertical="top" wrapText="1"/>
    </xf>
    <xf numFmtId="0" fontId="54" fillId="0" borderId="0" xfId="0" applyFont="1" applyNumberFormat="1">
      <alignment vertical="center" wrapText="1"/>
    </xf>
    <xf numFmtId="0" fontId="22" fillId="0" borderId="13" xfId="0" applyFont="1" applyBorder="1" applyNumberFormat="1">
      <alignment horizontal="center" vertical="center" wrapText="1"/>
    </xf>
    <xf numFmtId="503" fontId="22" fillId="36" borderId="12" xfId="0" applyFont="1" applyFill="1" applyBorder="1" applyNumberFormat="1">
      <alignment horizontal="right" vertical="center" wrapText="1"/>
      <protection locked="0"/>
    </xf>
    <xf numFmtId="0" fontId="22" fillId="0" borderId="20" xfId="0" applyFont="1" applyBorder="1" applyNumberFormat="1">
      <alignment vertical="center" wrapText="1"/>
    </xf>
    <xf numFmtId="0" fontId="32" fillId="0" borderId="0" xfId="0" applyFont="1" applyNumberFormat="1">
      <alignment vertical="center" wrapText="1"/>
    </xf>
    <xf numFmtId="0" fontId="46" fillId="0" borderId="0" xfId="0" applyFont="1" applyNumberFormat="1">
      <alignment vertical="center" wrapText="1"/>
    </xf>
    <xf numFmtId="0" fontId="22" fillId="0" borderId="0" xfId="0" applyFont="1" applyNumberFormat="1">
      <alignment horizontal="left" vertical="center" wrapText="1" indent="3"/>
    </xf>
    <xf numFmtId="0" fontId="97" fillId="35" borderId="0" xfId="0" applyFont="1" applyFill="1" applyNumberFormat="1">
      <alignment horizontal="right" vertical="center"/>
    </xf>
    <xf numFmtId="0" fontId="22" fillId="0" borderId="14" xfId="0" applyFont="1" applyBorder="1" applyNumberFormat="1">
      <alignment vertical="center" wrapText="1"/>
    </xf>
    <xf numFmtId="0" fontId="22" fillId="0" borderId="15" xfId="0" applyFont="1" applyBorder="1" applyNumberFormat="1">
      <alignment horizontal="right" vertical="center" wrapText="1" indent="1"/>
    </xf>
    <xf numFmtId="0" fontId="22" fillId="0" borderId="13" xfId="0" applyFont="1" applyBorder="1" applyNumberFormat="1">
      <alignment horizontal="right" vertical="center" wrapText="1" indent="1"/>
    </xf>
    <xf numFmtId="0" fontId="22" fillId="34" borderId="14" xfId="0" applyFont="1" applyFill="1" applyBorder="1" applyNumberFormat="1">
      <alignment horizontal="left" vertical="top" wrapText="1"/>
    </xf>
    <xf numFmtId="0" fontId="22" fillId="0" borderId="14" xfId="0" applyFont="1" applyBorder="1" applyNumberFormat="1">
      <alignment horizontal="right" vertical="center" wrapText="1"/>
    </xf>
    <xf numFmtId="0" fontId="22" fillId="0" borderId="15" xfId="0" applyFont="1" applyBorder="1" applyNumberFormat="1">
      <alignment horizontal="right" vertical="center" wrapText="1"/>
    </xf>
    <xf numFmtId="0" fontId="22" fillId="0" borderId="15" xfId="0" applyFont="1" applyBorder="1" applyNumberFormat="1">
      <alignment horizontal="right" vertical="center" wrapText="1" indent="1"/>
    </xf>
    <xf numFmtId="0" fontId="22" fillId="0" borderId="12" xfId="0" applyFont="1" applyBorder="1" applyNumberFormat="1">
      <alignment horizontal="center" vertical="center" wrapText="1"/>
    </xf>
    <xf numFmtId="0" fontId="22" fillId="0" borderId="12" xfId="0" applyFont="1" applyBorder="1" applyNumberFormat="1">
      <alignment horizontal="left" vertical="center" wrapText="1"/>
    </xf>
    <xf numFmtId="0" fontId="22" fillId="0" borderId="12" xfId="0" applyFont="1" applyBorder="1" applyNumberFormat="1">
      <alignment horizontal="center" vertical="center" wrapText="1"/>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0" fontId="22" fillId="0" borderId="12" xfId="0" applyFont="1" applyBorder="1" applyNumberFormat="1">
      <alignment horizontal="left" vertical="center" wrapText="1" indent="1"/>
    </xf>
    <xf numFmtId="49" fontId="91" fillId="46" borderId="0" xfId="0" applyFont="1" applyFill="1" applyNumberFormat="1">
      <alignment horizontal="center" vertical="center" textRotation="90" wrapText="1"/>
    </xf>
    <xf numFmtId="0" fontId="72" fillId="0" borderId="0" xfId="0" applyFont="1" applyNumberFormat="1">
      <alignment horizontal="center" vertical="center" wrapTex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pplyNumberFormat="1">
      <alignment horizontal="left" vertical="center" wrapText="1" indent="2"/>
    </xf>
    <xf numFmtId="0" fontId="72" fillId="0" borderId="12" xfId="0" applyFont="1" applyBorder="1" applyNumberFormat="1">
      <alignment horizontal="center" vertical="center" wrapText="1"/>
    </xf>
    <xf numFmtId="0" fontId="72" fillId="0" borderId="12" xfId="0" applyFont="1" applyBorder="1" applyNumberFormat="1">
      <alignment vertical="center" wrapText="1"/>
    </xf>
    <xf numFmtId="0" fontId="85" fillId="0" borderId="0" xfId="0" applyFont="1" applyNumberFormat="1">
      <alignment vertical="center" wrapText="1"/>
    </xf>
    <xf numFmtId="0" fontId="63" fillId="0" borderId="0" xfId="0" applyFont="1" applyNumberFormat="1">
      <alignment vertical="center" wrapText="1"/>
    </xf>
    <xf numFmtId="0" fontId="72" fillId="0" borderId="28" xfId="0" applyFont="1" applyBorder="1" applyNumberFormat="1">
      <alignment horizontal="center" vertical="center" wrapText="1"/>
    </xf>
    <xf numFmtId="0" fontId="72" fillId="0" borderId="12" xfId="0" applyFont="1" applyBorder="1" applyNumberFormat="1">
      <alignment horizontal="left" vertical="center" wrapText="1" indent="3"/>
    </xf>
    <xf numFmtId="4" fontId="72" fillId="0" borderId="12" xfId="0" applyFont="1" applyBorder="1" applyNumberFormat="1">
      <alignment horizontal="right" vertical="center" wrapText="1"/>
    </xf>
    <xf numFmtId="0" fontId="37" fillId="0" borderId="0" xfId="0" applyFont="1" applyNumberFormat="1">
      <alignment horizontal="center" vertical="center" wrapText="1"/>
    </xf>
    <xf numFmtId="49" fontId="22" fillId="37" borderId="14" xfId="0" applyFont="1" applyFill="1" applyBorder="1" applyNumberFormat="1">
      <alignment vertical="center" wrapText="1"/>
    </xf>
    <xf numFmtId="0" fontId="22" fillId="37" borderId="15" xfId="0" applyFont="1" applyFill="1" applyBorder="1" applyNumberFormat="1">
      <alignment vertical="center" wrapText="1"/>
    </xf>
    <xf numFmtId="0" fontId="47" fillId="37" borderId="13" xfId="0" applyFont="1" applyFill="1" applyBorder="1" applyNumberFormat="1">
      <alignment vertical="center" wrapText="1"/>
    </xf>
    <xf numFmtId="0" fontId="22" fillId="0" borderId="12" xfId="0" applyFont="1" applyBorder="1" applyNumberFormat="1">
      <alignment horizontal="left" vertical="center" wrapText="1" indent="2"/>
    </xf>
    <xf numFmtId="14" fontId="22" fillId="0" borderId="0" xfId="0" applyFont="1" applyNumberFormat="1">
      <alignment horizontal="center" vertical="center" wrapText="1"/>
    </xf>
    <xf numFmtId="49" fontId="91" fillId="46" borderId="0" xfId="0" applyFont="1" applyFill="1" applyNumberFormat="1">
      <alignment horizontal="center" vertical="center" wrapText="1"/>
    </xf>
    <xf numFmtId="49" fontId="50" fillId="0" borderId="0" xfId="0" applyFont="1" applyNumberFormat="1">
      <alignment horizontal="center" vertical="center"/>
    </xf>
    <xf numFmtId="503" fontId="22" fillId="39" borderId="12" xfId="0" applyFont="1" applyFill="1" applyBorder="1" applyNumberFormat="1">
      <alignment horizontal="right" vertical="center" wrapText="1"/>
      <protection locked="0"/>
    </xf>
    <xf numFmtId="49" fontId="91" fillId="0" borderId="0" xfId="0" applyFont="1" applyNumberFormat="1">
      <alignment horizontal="left" vertical="center" wrapText="1"/>
    </xf>
    <xf numFmtId="0" fontId="48" fillId="0" borderId="0" xfId="0" applyFont="1" applyNumberFormat="1">
      <alignment horizontal="left" vertical="center" wrapText="1"/>
    </xf>
    <xf numFmtId="49" fontId="22" fillId="0" borderId="0" xfId="0" applyFont="1" applyNumberFormat="1">
      <alignment horizontal="left" vertical="center" wrapText="1"/>
    </xf>
    <xf numFmtId="0" fontId="54" fillId="0" borderId="0" xfId="0" applyFont="1" applyNumberFormat="1">
      <alignment horizontal="left" vertical="center" wrapText="1"/>
    </xf>
    <xf numFmtId="49" fontId="22" fillId="40" borderId="12" xfId="0" applyFont="1" applyFill="1" applyBorder="1" applyNumberFormat="1">
      <alignment horizontal="left" vertical="center" wrapText="1"/>
    </xf>
    <xf numFmtId="0" fontId="22" fillId="0" borderId="17" xfId="0" applyFont="1" applyBorder="1" applyNumberFormat="1">
      <alignment horizontal="center" vertical="center" wrapText="1"/>
    </xf>
    <xf numFmtId="4" fontId="22" fillId="34" borderId="17" xfId="0" applyFont="1" applyFill="1" applyBorder="1" applyNumberFormat="1">
      <alignment horizontal="right" vertical="center" wrapText="1"/>
    </xf>
    <xf numFmtId="0" fontId="48" fillId="0" borderId="12" xfId="0" applyFont="1" applyBorder="1" applyNumberFormat="1">
      <alignment horizontal="left" vertical="center" wrapText="1" indent="3"/>
    </xf>
    <xf numFmtId="49" fontId="48" fillId="0" borderId="12" xfId="0" applyFont="1" applyBorder="1" applyNumberFormat="1">
      <alignment vertical="center" wrapText="1"/>
    </xf>
    <xf numFmtId="0" fontId="48" fillId="0" borderId="17" xfId="0" applyFont="1" applyBorder="1" applyNumberFormat="1">
      <alignment vertical="top" wrapText="1"/>
    </xf>
    <xf numFmtId="0" fontId="22" fillId="0" borderId="17" xfId="0" applyFont="1" applyBorder="1" applyNumberFormat="1">
      <alignment horizontal="center" vertical="center" wrapText="1"/>
    </xf>
    <xf numFmtId="0" fontId="22" fillId="0" borderId="14" xfId="0" applyFont="1" applyBorder="1" applyNumberFormat="1">
      <alignment horizontal="left" vertical="center" wrapText="1" indent="2"/>
    </xf>
    <xf numFmtId="0" fontId="22" fillId="0" borderId="12" xfId="0" applyFont="1" applyBorder="1" applyNumberFormat="1">
      <alignment horizontal="center" vertical="center" wrapText="1"/>
    </xf>
    <xf numFmtId="4" fontId="22" fillId="39" borderId="13" xfId="0" applyFont="1" applyFill="1" applyBorder="1" applyNumberFormat="1">
      <alignment horizontal="right" vertical="center" wrapText="1"/>
      <protection locked="0"/>
    </xf>
    <xf numFmtId="0" fontId="22" fillId="0" borderId="14" xfId="0" applyFont="1" applyBorder="1" applyNumberFormat="1">
      <alignment horizontal="left" vertical="center" wrapText="1" indent="1"/>
    </xf>
    <xf numFmtId="0" fontId="22" fillId="0" borderId="14" xfId="0" applyFont="1" applyBorder="1" applyNumberFormat="1">
      <alignment horizontal="left" vertical="center" wrapText="1"/>
    </xf>
    <xf numFmtId="0" fontId="22" fillId="0" borderId="23" xfId="0" applyFont="1" applyBorder="1" applyNumberFormat="1">
      <alignment horizontal="center" vertical="center" wrapText="1"/>
    </xf>
    <xf numFmtId="49" fontId="53" fillId="36" borderId="13" xfId="0" applyFont="1" applyFill="1" applyBorder="1" applyNumberFormat="1">
      <alignment horizontal="left" vertical="center" wrapText="1"/>
      <protection locked="0"/>
    </xf>
    <xf numFmtId="49" fontId="53" fillId="36" borderId="12" xfId="0" applyFont="1" applyFill="1" applyBorder="1" applyNumberFormat="1">
      <alignment horizontal="left" vertical="center" wrapText="1"/>
      <protection locked="0"/>
    </xf>
    <xf numFmtId="0" fontId="48" fillId="0" borderId="0" xfId="0" applyFont="1" applyNumberFormat="1">
      <alignment vertical="center" wrapText="1"/>
    </xf>
    <xf numFmtId="49" fontId="22" fillId="0" borderId="0" xfId="0" applyFont="1" applyNumberFormat="1">
      <alignment horizontal="center" vertical="center" wrapText="1"/>
    </xf>
    <xf numFmtId="0" fontId="22" fillId="0" borderId="12" xfId="0" applyFont="1" applyBorder="1" applyNumberFormat="1">
      <alignment horizontal="center" vertical="center" wrapText="1"/>
    </xf>
    <xf numFmtId="503" fontId="22" fillId="39" borderId="13" xfId="0" applyFont="1" applyFill="1" applyBorder="1" applyNumberFormat="1">
      <alignment horizontal="right" vertical="center" wrapText="1"/>
      <protection locked="0"/>
    </xf>
    <xf numFmtId="0" fontId="84" fillId="0" borderId="0" xfId="0" applyFont="1" applyNumberFormat="1">
      <alignment vertical="center" wrapText="1"/>
    </xf>
    <xf numFmtId="0" fontId="54" fillId="0" borderId="0" xfId="0" applyFont="1" applyNumberFormat="1">
      <alignment vertical="center" wrapText="1"/>
    </xf>
    <xf numFmtId="0" fontId="32" fillId="0" borderId="0" xfId="0" applyFont="1" applyNumberFormat="1">
      <alignment vertical="center" wrapText="1"/>
    </xf>
    <xf numFmtId="0" fontId="47" fillId="0" borderId="0" xfId="0" applyFont="1" applyNumberFormat="1">
      <alignment vertical="center" wrapText="1"/>
    </xf>
    <xf numFmtId="49" fontId="50" fillId="0" borderId="0" xfId="0" applyFont="1" applyNumberFormat="1">
      <alignment horizontal="center" vertical="center"/>
    </xf>
    <xf numFmtId="0" fontId="22" fillId="0" borderId="0" xfId="0" applyFont="1" applyNumberFormat="1">
      <alignment vertical="center" wrapText="1"/>
    </xf>
    <xf numFmtId="503" fontId="22" fillId="34" borderId="13" xfId="0" applyFont="1" applyFill="1" applyBorder="1" applyNumberFormat="1">
      <alignment horizontal="right" vertical="center" wrapText="1"/>
    </xf>
    <xf numFmtId="503" fontId="22" fillId="34" borderId="12" xfId="0" applyFont="1" applyFill="1" applyBorder="1" applyNumberFormat="1">
      <alignment horizontal="right" vertical="center" wrapText="1"/>
    </xf>
    <xf numFmtId="49" fontId="91" fillId="46" borderId="0" xfId="0" applyFont="1" applyFill="1" applyNumberFormat="1">
      <alignment horizontal="center" vertical="center" textRotation="90" wrapText="1"/>
    </xf>
    <xf numFmtId="0" fontId="22" fillId="39" borderId="12" xfId="0" applyFont="1" applyFill="1" applyBorder="1" applyNumberFormat="1">
      <alignment horizontal="center" vertical="center" wrapText="1"/>
      <protection locked="0"/>
    </xf>
    <xf numFmtId="4" fontId="22" fillId="39" borderId="29"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0" fontId="48" fillId="0" borderId="36" xfId="0" applyFont="1" applyBorder="1" applyNumberFormat="1">
      <alignment horizontal="left" vertical="center" wrapText="1" indent="1"/>
    </xf>
    <xf numFmtId="0" fontId="48" fillId="0" borderId="36" xfId="0" applyFont="1" applyBorder="1" applyNumberFormat="1">
      <alignment horizontal="center" vertical="center" wrapText="1"/>
    </xf>
    <xf numFmtId="0" fontId="48" fillId="0" borderId="17" xfId="0" applyFont="1" applyBorder="1" applyNumberFormat="1">
      <alignment vertical="center" wrapText="1"/>
    </xf>
    <xf numFmtId="49" fontId="22" fillId="37" borderId="37" xfId="0" applyFont="1" applyFill="1" applyBorder="1" applyNumberFormat="1">
      <alignment vertical="center" wrapText="1"/>
    </xf>
    <xf numFmtId="49" fontId="40" fillId="37" borderId="19" xfId="0" applyFont="1" applyFill="1" applyBorder="1" applyNumberFormat="1">
      <alignment horizontal="left" vertical="center" indent="1"/>
    </xf>
    <xf numFmtId="0" fontId="22" fillId="0" borderId="23" xfId="0" applyFont="1" applyBorder="1" applyNumberFormat="1">
      <alignment vertical="top" wrapText="1"/>
    </xf>
    <xf numFmtId="0" fontId="22" fillId="0" borderId="13" xfId="0" applyFont="1" applyBorder="1" applyNumberFormat="1">
      <alignment horizontal="center" vertical="center" wrapText="1"/>
    </xf>
    <xf numFmtId="0" fontId="22" fillId="0" borderId="13" xfId="0" applyFont="1" applyBorder="1" applyNumberFormat="1">
      <alignment horizontal="center" vertical="center" wrapText="1"/>
    </xf>
    <xf numFmtId="0" fontId="22" fillId="0" borderId="20" xfId="0" applyFont="1" applyBorder="1" applyNumberFormat="1">
      <alignment horizontal="center" vertical="center" wrapText="1"/>
    </xf>
    <xf numFmtId="503" fontId="22" fillId="39" borderId="17" xfId="0" applyFont="1" applyFill="1" applyBorder="1" applyNumberFormat="1">
      <alignment horizontal="right" vertical="center" wrapText="1"/>
      <protection locked="0"/>
    </xf>
    <xf numFmtId="0" fontId="48" fillId="0" borderId="23" xfId="0" applyFont="1" applyBorder="1" applyNumberFormat="1">
      <alignment horizontal="left" vertical="center" wrapText="1" indent="1"/>
    </xf>
    <xf numFmtId="0" fontId="48" fillId="0" borderId="17" xfId="0" applyFont="1" applyBorder="1" applyNumberFormat="1">
      <alignment horizontal="center" vertical="center" wrapText="1"/>
    </xf>
    <xf numFmtId="0" fontId="37" fillId="0" borderId="0" xfId="0" applyFont="1" applyNumberFormat="1">
      <alignment horizontal="center" vertical="center" wrapText="1"/>
    </xf>
    <xf numFmtId="49" fontId="22" fillId="37" borderId="37" xfId="0" applyFont="1" applyFill="1" applyBorder="1" applyNumberFormat="1">
      <alignment vertical="center" wrapText="1"/>
    </xf>
    <xf numFmtId="49" fontId="40" fillId="37" borderId="19" xfId="0" applyFont="1" applyFill="1" applyBorder="1" applyNumberFormat="1">
      <alignment horizontal="left" vertical="center" indent="1"/>
    </xf>
    <xf numFmtId="0" fontId="22" fillId="37" borderId="15" xfId="0" applyFont="1" applyFill="1" applyBorder="1" applyNumberFormat="1">
      <alignment vertical="center" wrapText="1"/>
    </xf>
    <xf numFmtId="0" fontId="47" fillId="37" borderId="13" xfId="0" applyFont="1" applyFill="1" applyBorder="1" applyNumberFormat="1">
      <alignment vertical="center" wrapText="1"/>
    </xf>
    <xf numFmtId="0" fontId="22" fillId="0" borderId="23" xfId="0" applyFont="1" applyBorder="1" applyNumberFormat="1">
      <alignment vertical="top" wrapText="1"/>
    </xf>
    <xf numFmtId="0" fontId="48" fillId="0" borderId="17" xfId="0" applyFont="1" applyBorder="1" applyNumberFormat="1">
      <alignment horizontal="left" vertical="center" wrapText="1" indent="1"/>
    </xf>
    <xf numFmtId="49" fontId="53" fillId="36" borderId="12" xfId="0" applyFont="1" applyFill="1" applyBorder="1" applyNumberFormat="1">
      <alignment horizontal="left" vertical="center" wrapText="1"/>
      <protection locked="0"/>
    </xf>
    <xf numFmtId="0" fontId="22" fillId="0" borderId="0" xfId="0" applyFont="1" applyNumberFormat="1">
      <alignment vertical="top" wrapText="1"/>
    </xf>
    <xf numFmtId="0" fontId="22" fillId="0" borderId="0" xfId="0" applyFont="1" applyNumberFormat="1">
      <alignment horizontal="left" vertical="top" wrapText="1"/>
    </xf>
    <xf numFmtId="0" fontId="54" fillId="0" borderId="0" xfId="0" applyFont="1" applyNumberFormat="1">
      <alignment vertical="center"/>
    </xf>
    <xf numFmtId="0" fontId="91" fillId="0" borderId="0" xfId="0" applyFont="1" applyNumberFormat="1">
      <alignment vertical="center" wrapText="1"/>
    </xf>
    <xf numFmtId="0" fontId="22" fillId="0" borderId="19" xfId="0" applyFont="1" applyBorder="1" applyNumberFormat="1">
      <alignment vertical="center" wrapText="1"/>
    </xf>
    <xf numFmtId="0" fontId="22" fillId="0" borderId="0" xfId="0" applyFont="1" applyNumberFormat="1">
      <alignment horizontal="center" vertical="center" wrapText="1"/>
    </xf>
    <xf numFmtId="49" fontId="32" fillId="0" borderId="0" xfId="0" applyFont="1" applyNumberFormat="1">
      <alignment horizontal="center" vertical="center" wrapText="1"/>
    </xf>
    <xf numFmtId="0" fontId="22" fillId="0" borderId="27" xfId="0" applyFont="1" applyBorder="1" applyNumberFormat="1">
      <alignment vertical="center" wrapText="1"/>
    </xf>
    <xf numFmtId="0" fontId="48" fillId="0" borderId="0" xfId="0" applyFont="1" applyNumberFormat="1">
      <alignment vertical="center" wrapText="1"/>
    </xf>
    <xf numFmtId="0" fontId="32" fillId="0" borderId="0" xfId="0" applyFont="1" applyNumberFormat="1">
      <alignment vertical="center" wrapText="1"/>
    </xf>
    <xf numFmtId="0" fontId="50" fillId="0" borderId="0" xfId="0" applyFont="1" applyNumberFormat="1">
      <alignment horizontal="center" vertical="center" wrapText="1"/>
    </xf>
    <xf numFmtId="49" fontId="63" fillId="0" borderId="0" xfId="0" applyFont="1" applyNumberFormat="1">
      <alignment horizontal="center" vertical="center" wrapText="1"/>
    </xf>
    <xf numFmtId="0" fontId="72" fillId="0" borderId="0" xfId="0" applyFont="1" applyNumberFormat="1">
      <alignment horizontal="center" vertical="center" wrapText="1"/>
    </xf>
    <xf numFmtId="0" fontId="100" fillId="0" borderId="0" xfId="0" applyFont="1" applyNumberFormat="1">
      <alignment horizontal="center" vertical="center" wrapText="1"/>
    </xf>
    <xf numFmtId="0" fontId="101" fillId="35" borderId="0" xfId="0" applyFont="1" applyFill="1" applyNumberFormat="1">
      <alignment horizontal="right" vertical="center"/>
    </xf>
    <xf numFmtId="0" fontId="71" fillId="0" borderId="0" xfId="0" applyFont="1" applyNumberFormat="1">
      <alignment vertical="center" wrapText="1"/>
    </xf>
    <xf numFmtId="0" fontId="22" fillId="0" borderId="12" xfId="0" applyFont="1" applyBorder="1" applyNumberFormat="1">
      <alignment horizontal="center" vertical="center" wrapText="1"/>
    </xf>
    <xf numFmtId="49" fontId="48" fillId="0" borderId="0" xfId="0" applyFont="1" applyNumberFormat="1">
      <alignment horizontal="center" vertical="center" wrapText="1"/>
    </xf>
    <xf numFmtId="49" fontId="48" fillId="0" borderId="0" xfId="0" applyFont="1" applyNumberFormat="1">
      <alignment horizontal="center" vertical="center" wrapText="1"/>
    </xf>
    <xf numFmtId="49" fontId="32" fillId="0" borderId="0" xfId="0" applyFont="1" applyNumberFormat="1">
      <alignment horizontal="center" vertical="center" wrapText="1"/>
    </xf>
    <xf numFmtId="49" fontId="22" fillId="0" borderId="0" xfId="0" applyFont="1" applyNumberFormat="1">
      <alignment horizontal="center" vertical="center" wrapText="1"/>
    </xf>
    <xf numFmtId="4" fontId="22" fillId="0" borderId="0" xfId="0" applyFont="1" applyNumberFormat="1">
      <alignment horizontal="right" vertical="center" wrapText="1"/>
    </xf>
    <xf numFmtId="9" fontId="50" fillId="0" borderId="0" xfId="0" applyFont="1" applyNumberFormat="1">
      <alignment horizontal="center" vertical="center" wrapText="1"/>
    </xf>
    <xf numFmtId="0" fontId="71" fillId="0" borderId="0" xfId="0" applyFont="1" applyNumberFormat="1">
      <alignment vertical="center" wrapText="1"/>
    </xf>
    <xf numFmtId="0" fontId="48" fillId="0" borderId="0" xfId="0" applyFont="1" applyNumberFormat="1">
      <alignment vertical="center" wrapText="1"/>
    </xf>
    <xf numFmtId="0" fontId="32" fillId="0" borderId="0" xfId="0" applyFont="1" applyNumberFormat="1">
      <alignment vertical="center" wrapText="1"/>
    </xf>
    <xf numFmtId="0" fontId="0" fillId="0" borderId="0" xfId="0" applyFont="1" applyNumberFormat="1">
      <alignment vertical="top"/>
    </xf>
    <xf numFmtId="49" fontId="0" fillId="0" borderId="0" xfId="0" applyFont="1" applyNumberFormat="1">
      <alignment vertical="top"/>
    </xf>
    <xf numFmtId="49" fontId="48" fillId="0" borderId="17" xfId="0" applyFont="1" applyBorder="1" applyNumberFormat="1">
      <alignment horizontal="center" vertical="center" wrapText="1"/>
    </xf>
    <xf numFmtId="0" fontId="0" fillId="0" borderId="14" xfId="0" applyFont="1" applyBorder="1" applyNumberFormat="1">
      <alignment horizontal="right" vertical="center" wrapText="1" indent="1"/>
    </xf>
    <xf numFmtId="0" fontId="0" fillId="0" borderId="15" xfId="0" applyFont="1" applyBorder="1" applyNumberFormat="1">
      <alignment horizontal="right" vertical="center" wrapText="1" indent="1"/>
    </xf>
    <xf numFmtId="0" fontId="0" fillId="0" borderId="13" xfId="0" applyFont="1" applyBorder="1" applyNumberFormat="1">
      <alignment horizontal="right" vertical="center" wrapText="1" indent="1"/>
    </xf>
    <xf numFmtId="0" fontId="0" fillId="34" borderId="12" xfId="0" applyFont="1" applyFill="1" applyBorder="1" applyNumberFormat="1">
      <alignment horizontal="left" vertical="center" wrapText="1" indent="1"/>
    </xf>
    <xf numFmtId="0" fontId="22" fillId="0" borderId="13" xfId="0" applyFont="1" applyBorder="1" applyNumberFormat="1">
      <alignment horizontal="left" vertical="center" wrapText="1" indent="1"/>
    </xf>
    <xf numFmtId="49" fontId="48" fillId="0" borderId="22" xfId="0" applyFont="1" applyBorder="1" applyNumberFormat="1">
      <alignment vertical="top"/>
    </xf>
    <xf numFmtId="49" fontId="48" fillId="0" borderId="0" xfId="0" applyFont="1" applyNumberFormat="1">
      <alignment vertical="top"/>
    </xf>
    <xf numFmtId="49" fontId="47" fillId="0" borderId="0" xfId="0" applyFont="1" applyNumberFormat="1">
      <alignment vertical="top"/>
    </xf>
    <xf numFmtId="49" fontId="48" fillId="0" borderId="0" xfId="0" applyFont="1" applyNumberFormat="1">
      <alignment vertical="top"/>
    </xf>
    <xf numFmtId="49" fontId="47" fillId="0" borderId="0" xfId="0" applyFont="1" applyNumberFormat="1">
      <alignment vertical="top"/>
    </xf>
    <xf numFmtId="0" fontId="47" fillId="0" borderId="0" xfId="0" applyFont="1" applyNumberFormat="1">
      <alignment horizontal="center" vertical="top"/>
    </xf>
    <xf numFmtId="49" fontId="47" fillId="0" borderId="0" xfId="0" applyFont="1" applyNumberFormat="1">
      <alignment vertical="top"/>
    </xf>
    <xf numFmtId="0" fontId="47" fillId="0" borderId="0" xfId="0" applyFont="1" applyNumberFormat="1">
      <alignment vertical="top"/>
    </xf>
    <xf numFmtId="0" fontId="74" fillId="0" borderId="0" xfId="0" applyFont="1" applyNumberFormat="1">
      <alignment vertical="top"/>
    </xf>
    <xf numFmtId="0" fontId="87" fillId="0" borderId="0" xfId="0" applyFont="1" applyNumberFormat="1">
      <alignment vertical="top"/>
    </xf>
    <xf numFmtId="49" fontId="48" fillId="0" borderId="36" xfId="0" applyFont="1" applyBorder="1" applyNumberFormat="1">
      <alignment horizontal="center" vertical="center" wrapText="1"/>
    </xf>
    <xf numFmtId="0" fontId="47" fillId="0" borderId="0" xfId="0" applyFont="1" applyNumberFormat="1">
      <alignment horizontal="center" vertical="center" wrapText="1"/>
    </xf>
    <xf numFmtId="0" fontId="22" fillId="0" borderId="23" xfId="0" applyFont="1" applyBorder="1" applyNumberFormat="1">
      <alignment horizontal="left" vertical="center" wrapText="1"/>
    </xf>
    <xf numFmtId="2" fontId="22" fillId="0" borderId="23" xfId="0" applyFont="1" applyBorder="1" applyNumberFormat="1">
      <alignment horizontal="center" vertical="center" wrapText="1"/>
    </xf>
    <xf numFmtId="0" fontId="22" fillId="0" borderId="12" xfId="0" applyFont="1" applyBorder="1" applyNumberFormat="1">
      <alignment horizontal="left" vertical="center" wrapText="1"/>
    </xf>
    <xf numFmtId="49" fontId="48" fillId="0" borderId="22" xfId="0" applyFont="1" applyBorder="1" applyNumberFormat="1">
      <alignment vertical="top"/>
    </xf>
    <xf numFmtId="0" fontId="48" fillId="0" borderId="0" xfId="0" applyFont="1" applyNumberFormat="1">
      <alignment horizontal="center" vertical="center" wrapText="1"/>
    </xf>
    <xf numFmtId="0" fontId="48" fillId="0" borderId="0" xfId="0" applyFont="1" applyNumberFormat="1">
      <alignment horizontal="center" vertical="center" wrapText="1"/>
    </xf>
    <xf numFmtId="0" fontId="48" fillId="0" borderId="12" xfId="0" applyFont="1" applyBorder="1" applyNumberFormat="1">
      <alignment horizontal="left" vertical="center" wrapText="1"/>
    </xf>
    <xf numFmtId="0" fontId="48" fillId="0" borderId="12" xfId="0" applyFont="1" applyBorder="1" applyNumberFormat="1">
      <alignment vertical="center" wrapText="1"/>
    </xf>
    <xf numFmtId="0" fontId="48" fillId="0" borderId="22" xfId="0" applyFont="1" applyBorder="1" applyNumberFormat="1">
      <alignment vertical="center" wrapText="1"/>
    </xf>
    <xf numFmtId="49" fontId="40" fillId="37" borderId="14" xfId="0" applyFont="1" applyFill="1" applyBorder="1" applyNumberFormat="1">
      <alignment horizontal="left" vertical="center"/>
    </xf>
    <xf numFmtId="49" fontId="40" fillId="37" borderId="15" xfId="0" applyFont="1" applyFill="1" applyBorder="1" applyNumberFormat="1">
      <alignment horizontal="left" vertical="center" indent="1"/>
    </xf>
    <xf numFmtId="49" fontId="40" fillId="37" borderId="15" xfId="0" applyFont="1" applyFill="1" applyBorder="1" applyNumberFormat="1">
      <alignment horizontal="left" vertical="center"/>
    </xf>
    <xf numFmtId="49" fontId="40" fillId="37" borderId="13" xfId="0" applyFont="1" applyFill="1" applyBorder="1" applyNumberFormat="1">
      <alignment horizontal="left" vertical="center" indent="1"/>
    </xf>
    <xf numFmtId="0" fontId="22" fillId="0" borderId="23" xfId="0" applyFont="1" applyBorder="1" applyNumberFormat="1">
      <alignment horizontal="left" vertical="center" wrapText="1"/>
    </xf>
    <xf numFmtId="0" fontId="22" fillId="0" borderId="12" xfId="0" applyFont="1" applyBorder="1" applyNumberFormat="1">
      <alignment horizontal="left" vertical="center" wrapText="1"/>
    </xf>
    <xf numFmtId="0" fontId="47" fillId="0" borderId="0" xfId="0" applyFont="1" applyNumberFormat="1">
      <alignment horizontal="center" vertical="top"/>
    </xf>
    <xf numFmtId="0" fontId="48" fillId="0" borderId="0" xfId="0" applyFont="1" applyNumberFormat="1">
      <alignment horizontal="center" vertical="center" wrapText="1"/>
    </xf>
    <xf numFmtId="49" fontId="48" fillId="0" borderId="23" xfId="0" applyFont="1" applyBorder="1" applyNumberFormat="1">
      <alignment horizontal="center" vertical="center" wrapText="1"/>
    </xf>
    <xf numFmtId="49" fontId="40" fillId="0" borderId="19" xfId="0" applyFont="1" applyBorder="1" applyNumberFormat="1">
      <alignment horizontal="right" vertical="center"/>
    </xf>
    <xf numFmtId="0" fontId="22" fillId="0" borderId="0" xfId="0" applyFont="1" applyNumberFormat="1">
      <alignment horizontal="right" vertical="center" wrapText="1"/>
    </xf>
    <xf numFmtId="0" fontId="0" fillId="0" borderId="0" xfId="0" applyFont="1" applyNumberFormat="1">
      <alignment vertical="center"/>
    </xf>
    <xf numFmtId="0" fontId="45" fillId="0" borderId="0" xfId="0" applyFont="1" applyNumberFormat="1">
      <alignment horizontal="right" vertical="top" wrapText="1"/>
    </xf>
    <xf numFmtId="0" fontId="45" fillId="0" borderId="0" xfId="0" applyFont="1" applyNumberFormat="1">
      <alignment horizontal="left" vertical="top" wrapText="1"/>
    </xf>
    <xf numFmtId="49" fontId="32" fillId="0" borderId="0" xfId="0" applyFont="1" applyNumberFormat="1">
      <alignment horizontal="center" vertical="center" wrapText="1"/>
    </xf>
    <xf numFmtId="0" fontId="47" fillId="55" borderId="12" xfId="0" applyFont="1" applyFill="1" applyBorder="1" applyNumberFormat="1">
      <alignment horizontal="left" vertical="center" wrapText="1"/>
    </xf>
    <xf numFmtId="0" fontId="22" fillId="54" borderId="12" xfId="0" applyFont="1" applyFill="1" applyBorder="1" applyNumberFormat="1">
      <alignment vertical="center"/>
    </xf>
    <xf numFmtId="49" fontId="0" fillId="7" borderId="12" xfId="0" applyFont="1" applyFill="1" applyBorder="1" applyNumberFormat="1">
      <alignment horizontal="center" vertical="center" wrapText="1"/>
    </xf>
    <xf numFmtId="49" fontId="0" fillId="7" borderId="12" xfId="0" applyFont="1" applyFill="1" applyBorder="1" applyNumberFormat="1">
      <alignment horizontal="center" vertical="center" wrapText="1"/>
    </xf>
    <xf numFmtId="49" fontId="36"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3" xfId="0" applyFont="1" applyBorder="1" applyNumberFormat="1">
      <alignment horizontal="center" vertical="center" wrapText="1"/>
    </xf>
    <xf numFmtId="49" fontId="126" fillId="0" borderId="17" xfId="0" applyFont="1" applyBorder="1" applyNumberFormat="1">
      <alignment horizontal="center" vertical="center" wrapText="1"/>
    </xf>
    <xf numFmtId="49" fontId="126" fillId="0" borderId="12" xfId="0" applyFont="1" applyBorder="1" applyNumberFormat="1">
      <alignment horizontal="center" vertical="center" wrapText="1"/>
    </xf>
    <xf numFmtId="0" fontId="22" fillId="34" borderId="14" xfId="0" applyFont="1" applyFill="1" applyBorder="1" applyNumberFormat="1">
      <alignment horizontal="left" vertical="top" wrapText="1"/>
    </xf>
    <xf numFmtId="0" fontId="48" fillId="0" borderId="14" xfId="0" applyFont="1" applyBorder="1" applyNumberFormat="1">
      <alignment vertical="center" wrapText="1"/>
    </xf>
    <xf numFmtId="0" fontId="22" fillId="0" borderId="15" xfId="0" applyFont="1" applyBorder="1" applyNumberFormat="1">
      <alignment horizontal="right" vertical="center" wrapText="1" indent="1"/>
    </xf>
    <xf numFmtId="0" fontId="22" fillId="0" borderId="19" xfId="0" applyFont="1" applyBorder="1" applyNumberFormat="1">
      <alignment horizontal="right" vertical="center" wrapText="1" indent="1"/>
    </xf>
    <xf numFmtId="0" fontId="22" fillId="0" borderId="12" xfId="0" applyFont="1" applyBorder="1" applyNumberFormat="1">
      <alignment horizontal="center" vertical="center" wrapText="1"/>
    </xf>
    <xf numFmtId="0" fontId="22" fillId="0" borderId="14" xfId="0" applyFont="1" applyBorder="1" applyNumberFormat="1">
      <alignment horizontal="center" vertical="center" wrapText="1"/>
    </xf>
    <xf numFmtId="0" fontId="22" fillId="0" borderId="12" xfId="0" applyFont="1" applyBorder="1" applyNumberFormat="1">
      <alignment horizontal="center" vertical="center" wrapText="1"/>
    </xf>
    <xf numFmtId="0" fontId="91" fillId="0" borderId="0" xfId="0" applyFont="1" applyNumberFormat="1">
      <alignment horizontal="center" vertical="center" wrapText="1"/>
    </xf>
    <xf numFmtId="49" fontId="22" fillId="0" borderId="0" xfId="0" applyFont="1" applyNumberFormat="1">
      <alignment horizontal="center" vertical="center" wrapText="1"/>
    </xf>
    <xf numFmtId="49" fontId="22" fillId="0" borderId="28" xfId="0" applyFont="1" applyBorder="1" applyNumberFormat="1">
      <alignment horizontal="center" vertical="center" wrapText="1"/>
    </xf>
    <xf numFmtId="0" fontId="22" fillId="0" borderId="12" xfId="0" applyFont="1" applyBorder="1" applyNumberFormat="1">
      <alignment horizontal="left" vertical="center" wrapText="1"/>
    </xf>
    <xf numFmtId="49" fontId="53" fillId="36" borderId="14" xfId="0" applyFont="1" applyFill="1" applyBorder="1" applyNumberFormat="1">
      <alignment horizontal="left" vertical="center" wrapText="1"/>
      <protection locked="0"/>
    </xf>
    <xf numFmtId="49" fontId="22" fillId="0" borderId="57" xfId="0" applyFont="1" applyBorder="1" applyNumberFormat="1">
      <alignment horizontal="center" vertical="center" wrapText="1"/>
    </xf>
    <xf numFmtId="0" fontId="22" fillId="0" borderId="17" xfId="0" applyFont="1" applyBorder="1" applyNumberFormat="1">
      <alignment horizontal="left" vertical="center" wrapText="1"/>
    </xf>
    <xf numFmtId="0" fontId="22" fillId="0" borderId="17" xfId="0" applyFont="1" applyBorder="1" applyNumberFormat="1">
      <alignment horizontal="center" vertical="center" wrapText="1"/>
    </xf>
    <xf numFmtId="4" fontId="22" fillId="39" borderId="37" xfId="0" applyFont="1" applyFill="1" applyBorder="1" applyNumberFormat="1">
      <alignment horizontal="right" vertical="center" wrapText="1"/>
      <protection locked="0"/>
    </xf>
    <xf numFmtId="4" fontId="22" fillId="39" borderId="17" xfId="0" applyFont="1" applyFill="1" applyBorder="1" applyNumberFormat="1">
      <alignment horizontal="right" vertical="center" wrapText="1"/>
      <protection locked="0"/>
    </xf>
    <xf numFmtId="0" fontId="47" fillId="37" borderId="15" xfId="0" applyFont="1" applyFill="1" applyBorder="1" applyNumberFormat="1">
      <alignment vertical="center" wrapText="1"/>
    </xf>
    <xf numFmtId="49" fontId="22" fillId="0" borderId="58" xfId="0" applyFont="1" applyBorder="1" applyNumberFormat="1">
      <alignment horizontal="center" vertical="center" wrapText="1"/>
    </xf>
    <xf numFmtId="0" fontId="22" fillId="0" borderId="15" xfId="0" applyFont="1" applyBorder="1" applyNumberFormat="1">
      <alignment horizontal="center" vertical="center" wrapText="1"/>
    </xf>
    <xf numFmtId="4" fontId="22" fillId="39" borderId="14" xfId="0" applyFont="1" applyFill="1" applyBorder="1" applyNumberFormat="1">
      <alignment horizontal="right" vertical="center" wrapText="1"/>
      <protection locked="0"/>
    </xf>
    <xf numFmtId="49" fontId="22" fillId="0" borderId="59" xfId="0" applyFont="1" applyBorder="1" applyNumberFormat="1">
      <alignment horizontal="center" vertical="center" wrapText="1"/>
    </xf>
    <xf numFmtId="3" fontId="22" fillId="39" borderId="14" xfId="0" applyFont="1" applyFill="1" applyBorder="1" applyNumberFormat="1">
      <alignment horizontal="right" vertical="center" wrapText="1"/>
      <protection locked="0"/>
    </xf>
    <xf numFmtId="0" fontId="22" fillId="0" borderId="17" xfId="0" applyFont="1" applyBorder="1" applyNumberFormat="1">
      <alignment horizontal="left" vertical="center" wrapText="1"/>
    </xf>
    <xf numFmtId="0" fontId="22" fillId="0" borderId="37" xfId="0" applyFont="1" applyBorder="1" applyNumberFormat="1">
      <alignment horizontal="center" vertical="center" wrapText="1"/>
    </xf>
    <xf numFmtId="49" fontId="22" fillId="0" borderId="12" xfId="0" applyFont="1" applyBorder="1" applyNumberFormat="1">
      <alignment horizontal="center" vertical="center" wrapText="1"/>
    </xf>
    <xf numFmtId="0" fontId="22" fillId="0" borderId="12" xfId="0" applyFont="1" applyBorder="1" applyNumberFormat="1">
      <alignment horizontal="left" vertical="center" wrapText="1"/>
    </xf>
    <xf numFmtId="49" fontId="53" fillId="39" borderId="14" xfId="0" applyFont="1" applyFill="1" applyBorder="1" applyNumberFormat="1">
      <alignment horizontal="left" vertical="center" wrapText="1"/>
      <protection locked="0"/>
    </xf>
    <xf numFmtId="0" fontId="22" fillId="0" borderId="0" xfId="0" applyFont="1" applyNumberFormat="1">
      <alignment horizontal="left" vertical="center" wrapText="1" indent="2"/>
    </xf>
    <xf numFmtId="49" fontId="121" fillId="0" borderId="0" xfId="0" applyFont="1" applyNumberFormat="1">
      <alignment horizontal="center" vertical="center" wrapText="1"/>
    </xf>
    <xf numFmtId="49" fontId="0" fillId="35" borderId="12" xfId="0" applyFont="1" applyFill="1" applyBorder="1" applyNumberFormat="1">
      <alignment horizontal="center" vertical="center" wrapText="1"/>
    </xf>
    <xf numFmtId="49" fontId="0" fillId="39" borderId="12" xfId="0" applyFont="1" applyFill="1" applyBorder="1" applyNumberFormat="1">
      <alignment horizontal="left" vertical="center" wrapText="1" indent="1"/>
      <protection locked="0"/>
    </xf>
    <xf numFmtId="0" fontId="22" fillId="0" borderId="12" xfId="0" applyFont="1" applyBorder="1" applyNumberFormat="1">
      <alignment vertical="top" wrapText="1"/>
    </xf>
    <xf numFmtId="0" fontId="22" fillId="35" borderId="0" xfId="0" applyFont="1" applyFill="1" applyNumberFormat="1">
      <alignment horizontal="right" vertical="center" wrapText="1"/>
    </xf>
    <xf numFmtId="0" fontId="64" fillId="0" borderId="0" xfId="0" applyFont="1" applyNumberFormat="1">
      <alignment vertical="center" wrapText="1"/>
    </xf>
    <xf numFmtId="0" fontId="22" fillId="35" borderId="0" xfId="0" applyFont="1" applyFill="1" applyNumberFormat="1">
      <alignment horizontal="right" vertical="center"/>
    </xf>
    <xf numFmtId="0" fontId="22" fillId="35" borderId="14" xfId="0" applyFont="1" applyFill="1" applyBorder="1" applyNumberFormat="1">
      <alignment horizontal="center" vertical="center" wrapText="1"/>
    </xf>
    <xf numFmtId="0" fontId="22" fillId="35" borderId="15" xfId="0" applyFont="1" applyFill="1" applyBorder="1" applyNumberFormat="1">
      <alignment horizontal="center" vertical="center" wrapText="1"/>
    </xf>
    <xf numFmtId="0" fontId="22" fillId="35" borderId="20" xfId="0" applyFont="1" applyFill="1" applyBorder="1" applyNumberFormat="1">
      <alignment horizontal="center" vertical="center" wrapText="1"/>
    </xf>
    <xf numFmtId="0" fontId="22" fillId="35" borderId="12" xfId="0" applyFont="1" applyFill="1" applyBorder="1" applyNumberFormat="1">
      <alignment horizontal="center" vertical="center"/>
    </xf>
    <xf numFmtId="0" fontId="22" fillId="35" borderId="12" xfId="0" applyFont="1" applyFill="1" applyBorder="1" applyNumberFormat="1">
      <alignment horizontal="center" vertical="center" wrapText="1"/>
    </xf>
    <xf numFmtId="0" fontId="0" fillId="0" borderId="12" xfId="0" applyFont="1" applyBorder="1" applyNumberFormat="1">
      <alignment horizontal="center" vertical="center" wrapText="1"/>
    </xf>
    <xf numFmtId="0" fontId="0" fillId="0" borderId="14" xfId="0" applyFont="1" applyBorder="1" applyNumberFormat="1">
      <alignment horizontal="center" vertical="center" wrapText="1"/>
    </xf>
    <xf numFmtId="0" fontId="0" fillId="0" borderId="12" xfId="0" applyFont="1" applyBorder="1" applyNumberFormat="1">
      <alignment horizontal="center" vertical="center" wrapText="1"/>
    </xf>
    <xf numFmtId="0" fontId="0" fillId="0" borderId="12" xfId="0" applyFont="1" applyBorder="1" applyNumberFormat="1">
      <alignment horizontal="left" vertical="top" wrapText="1"/>
    </xf>
    <xf numFmtId="0" fontId="0" fillId="0" borderId="12" xfId="0" applyFont="1" applyBorder="1" applyNumberFormat="1">
      <alignment horizontal="left" vertical="center" wrapText="1"/>
    </xf>
    <xf numFmtId="49" fontId="22" fillId="0" borderId="0" xfId="0" applyFont="1" applyNumberFormat="1">
      <alignment vertical="top"/>
    </xf>
    <xf numFmtId="0" fontId="22" fillId="37" borderId="14" xfId="0" applyFont="1" applyFill="1" applyBorder="1" applyNumberFormat="1">
      <alignment vertical="center" wrapText="1"/>
    </xf>
    <xf numFmtId="49" fontId="44" fillId="37" borderId="13" xfId="0" applyFont="1" applyFill="1" applyBorder="1" applyNumberFormat="1">
      <alignment horizontal="center" vertical="top"/>
    </xf>
    <xf numFmtId="49" fontId="40" fillId="0" borderId="19" xfId="0" applyFont="1" applyBorder="1" applyNumberFormat="1">
      <alignment horizontal="left" vertical="center"/>
    </xf>
    <xf numFmtId="49" fontId="40" fillId="0" borderId="19" xfId="0" applyFont="1" applyBorder="1" applyNumberFormat="1">
      <alignment horizontal="left" vertical="center" indent="2"/>
    </xf>
    <xf numFmtId="49" fontId="44" fillId="0" borderId="19" xfId="0" applyFont="1" applyBorder="1" applyNumberFormat="1">
      <alignment horizontal="center" vertical="top"/>
    </xf>
    <xf numFmtId="0" fontId="22" fillId="0" borderId="0" xfId="0" applyFont="1" applyNumberFormat="1">
      <alignment horizontal="left" vertical="top" wrapText="1"/>
    </xf>
    <xf numFmtId="0" fontId="22" fillId="0" borderId="0" xfId="0" applyFont="1" applyNumberFormat="1">
      <alignment horizontal="right" vertical="top" wrapText="1"/>
    </xf>
    <xf numFmtId="0" fontId="22" fillId="0" borderId="0" xfId="0" applyFont="1" applyNumberFormat="1">
      <alignment horizontal="left" vertical="top" wrapText="1"/>
    </xf>
    <xf numFmtId="49" fontId="22" fillId="0" borderId="0" xfId="0" applyFont="1" applyNumberFormat="1">
      <alignment vertical="center" wrapText="1"/>
    </xf>
    <xf numFmtId="49" fontId="22" fillId="0" borderId="0" xfId="0" applyFont="1" applyNumberFormat="1">
      <alignment vertical="center" wrapText="1"/>
    </xf>
    <xf numFmtId="49" fontId="22" fillId="0" borderId="0" xfId="0" applyFont="1" applyNumberFormat="1">
      <alignment vertical="center" wrapText="1"/>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34" borderId="14" xfId="0" applyFont="1" applyFill="1" applyBorder="1" applyNumberFormat="1">
      <alignment horizontal="left" vertical="top" wrapText="1"/>
    </xf>
    <xf numFmtId="0" fontId="48" fillId="0" borderId="15" xfId="0" applyFont="1" applyBorder="1" applyNumberFormat="1">
      <alignment horizontal="right" vertical="center" wrapText="1" indent="1"/>
    </xf>
    <xf numFmtId="0" fontId="48" fillId="0" borderId="13" xfId="0" applyFont="1" applyBorder="1" applyNumberFormat="1">
      <alignment horizontal="right" vertical="center" wrapText="1" indent="1"/>
    </xf>
    <xf numFmtId="0" fontId="48" fillId="0" borderId="14" xfId="0" applyFont="1" applyBorder="1" applyNumberFormat="1">
      <alignment horizontal="left" vertical="top" wrapText="1"/>
    </xf>
    <xf numFmtId="0" fontId="22" fillId="0" borderId="15" xfId="0" applyFont="1" applyBorder="1" applyNumberFormat="1">
      <alignment horizontal="right" vertical="center" wrapText="1" indent="1"/>
    </xf>
    <xf numFmtId="0" fontId="22" fillId="0" borderId="12" xfId="0" applyFont="1" applyBorder="1" applyNumberFormat="1">
      <alignment horizontal="center" vertical="center" wrapText="1"/>
    </xf>
    <xf numFmtId="0" fontId="22" fillId="0" borderId="12" xfId="0" applyFont="1" applyBorder="1" applyNumberFormat="1">
      <alignment horizontal="left" vertical="center" wrapText="1"/>
    </xf>
    <xf numFmtId="0" fontId="22" fillId="0" borderId="12" xfId="0" applyFont="1" applyBorder="1" applyNumberFormat="1">
      <alignment horizontal="left" vertical="center" wrapText="1" indent="1"/>
    </xf>
    <xf numFmtId="0" fontId="22" fillId="0" borderId="13" xfId="0" applyFont="1" applyBorder="1" applyNumberFormat="1">
      <alignment horizontal="center" vertical="center" wrapText="1"/>
    </xf>
    <xf numFmtId="0" fontId="22" fillId="0" borderId="13" xfId="0" applyFont="1" applyBorder="1" applyNumberFormat="1">
      <alignment horizontal="center" vertical="center" wrapText="1"/>
    </xf>
    <xf numFmtId="0" fontId="22" fillId="0" borderId="17" xfId="0" applyFont="1" applyBorder="1" applyNumberFormat="1">
      <alignment horizontal="center" vertical="center" wrapText="1"/>
    </xf>
    <xf numFmtId="49" fontId="40" fillId="37" borderId="19" xfId="0" applyFont="1" applyFill="1" applyBorder="1" applyNumberFormat="1">
      <alignment horizontal="left" vertical="center" indent="2"/>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34" borderId="14" xfId="0" applyFont="1" applyFill="1" applyBorder="1" applyNumberFormat="1">
      <alignment horizontal="left" vertical="top" wrapText="1"/>
    </xf>
    <xf numFmtId="0" fontId="22" fillId="0" borderId="15" xfId="0" applyFont="1" applyBorder="1" applyNumberFormat="1">
      <alignment horizontal="right" vertical="center" wrapText="1" indent="1"/>
    </xf>
    <xf numFmtId="0" fontId="22" fillId="0" borderId="12" xfId="0" applyFont="1" applyBorder="1" applyNumberFormat="1">
      <alignment horizontal="center" vertical="center" wrapText="1"/>
    </xf>
    <xf numFmtId="0" fontId="22" fillId="0" borderId="17" xfId="0" applyFont="1" applyBorder="1" applyNumberFormat="1">
      <alignment horizontal="left" vertical="center" wrapText="1"/>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0" fontId="22" fillId="0" borderId="17" xfId="0" applyFont="1" applyBorder="1" applyNumberFormat="1">
      <alignment horizontal="left" vertical="center" wrapText="1" indent="1"/>
    </xf>
    <xf numFmtId="0" fontId="22" fillId="0" borderId="17" xfId="0" applyFont="1" applyBorder="1" applyNumberFormat="1">
      <alignment horizontal="center" vertical="center" wrapText="1"/>
    </xf>
    <xf numFmtId="49" fontId="0" fillId="0" borderId="12" xfId="0" applyFont="1" applyBorder="1" applyNumberFormat="1">
      <alignment vertical="center" wrapText="1"/>
    </xf>
    <xf numFmtId="49" fontId="0" fillId="0" borderId="12" xfId="0" applyFont="1" applyBorder="1" applyNumberFormat="1">
      <alignment horizontal="left" vertical="center" wrapText="1" indent="1"/>
    </xf>
    <xf numFmtId="49" fontId="47" fillId="0" borderId="0" xfId="0" applyFont="1" applyNumberFormat="1">
      <alignment horizontal="center" vertical="center" wrapText="1"/>
    </xf>
    <xf numFmtId="49" fontId="47" fillId="0" borderId="0" xfId="0" applyFont="1" applyNumberFormat="1">
      <alignment horizontal="center" vertical="center" wrapText="1"/>
    </xf>
    <xf numFmtId="0" fontId="48" fillId="0" borderId="27" xfId="0" applyFont="1" applyBorder="1" applyNumberFormat="1">
      <alignment vertical="center" wrapText="1"/>
    </xf>
    <xf numFmtId="0" fontId="22" fillId="34" borderId="14" xfId="0" applyFont="1" applyFill="1" applyBorder="1" applyNumberFormat="1">
      <alignment horizontal="left" vertical="top" wrapText="1"/>
    </xf>
    <xf numFmtId="0" fontId="22" fillId="34" borderId="13" xfId="0" applyFont="1" applyFill="1" applyBorder="1" applyNumberFormat="1">
      <alignment horizontal="left" vertical="top" wrapText="1"/>
    </xf>
    <xf numFmtId="49" fontId="47" fillId="0" borderId="0" xfId="0" applyFont="1" applyNumberFormat="1">
      <alignment horizontal="center" vertical="center" wrapText="1"/>
    </xf>
    <xf numFmtId="49" fontId="47" fillId="0" borderId="0" xfId="0" applyFont="1" applyNumberFormat="1">
      <alignment horizontal="center" vertical="center" wrapText="1"/>
    </xf>
    <xf numFmtId="0" fontId="22" fillId="0" borderId="0" xfId="0" applyFont="1" applyNumberFormat="1">
      <alignment vertical="top" wrapText="1"/>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14" xfId="0" applyFont="1" applyBorder="1" applyNumberFormat="1">
      <alignment horizontal="center" vertical="center" wrapText="1"/>
    </xf>
    <xf numFmtId="0" fontId="22" fillId="0" borderId="0" xfId="0" applyFont="1" applyNumberFormat="1">
      <alignment horizontal="left" vertical="top" wrapText="1"/>
    </xf>
    <xf numFmtId="49" fontId="48" fillId="0" borderId="0" xfId="0" applyFont="1" applyNumberFormat="1">
      <alignment horizontal="center" vertical="center" wrapText="1"/>
    </xf>
    <xf numFmtId="0" fontId="48" fillId="0" borderId="0" xfId="0" applyFont="1" applyNumberFormat="1">
      <alignment horizontal="center" vertical="center" wrapText="1"/>
    </xf>
    <xf numFmtId="49" fontId="22" fillId="57" borderId="0" xfId="0" applyFont="1" applyFill="1" applyNumberFormat="1">
      <alignment horizontal="center" vertical="center" textRotation="90" wrapText="1"/>
    </xf>
    <xf numFmtId="49" fontId="22" fillId="0" borderId="12" xfId="0" applyFont="1" applyBorder="1" applyNumberFormat="1">
      <alignment horizontal="center" vertical="center" wrapText="1"/>
    </xf>
    <xf numFmtId="0" fontId="22" fillId="0" borderId="12" xfId="0" applyFont="1" applyBorder="1" applyNumberFormat="1">
      <alignment horizontal="left"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0" fontId="71" fillId="0" borderId="22" xfId="0" applyFont="1" applyBorder="1" applyNumberFormat="1">
      <alignment vertical="center" wrapText="1"/>
    </xf>
    <xf numFmtId="49"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49" fontId="22" fillId="36" borderId="12" xfId="0" applyFont="1" applyFill="1" applyBorder="1" applyNumberFormat="1">
      <alignment horizontal="left" vertical="center" wrapText="1"/>
      <protection locked="0"/>
    </xf>
    <xf numFmtId="3" fontId="22" fillId="36" borderId="14" xfId="0" applyFont="1" applyFill="1" applyBorder="1" applyNumberFormat="1">
      <alignment horizontal="right" vertical="center" wrapText="1"/>
      <protection locked="0"/>
    </xf>
    <xf numFmtId="4" fontId="22" fillId="36" borderId="14" xfId="0" applyFont="1" applyFill="1" applyBorder="1" applyNumberFormat="1">
      <alignment horizontal="right" vertical="center" wrapText="1"/>
      <protection locked="0"/>
    </xf>
    <xf numFmtId="49" fontId="22" fillId="39" borderId="12"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37" fillId="0" borderId="0" xfId="0" applyFont="1" applyNumberFormat="1">
      <alignment horizontal="center" vertical="center" wrapText="1"/>
    </xf>
    <xf numFmtId="0" fontId="22" fillId="0" borderId="17" xfId="0" applyFont="1" applyBorder="1" applyNumberFormat="1">
      <alignment horizontal="center" vertical="center" wrapText="1"/>
    </xf>
    <xf numFmtId="0" fontId="22" fillId="0" borderId="14" xfId="0" applyFont="1" applyBorder="1" applyNumberFormat="1">
      <alignment horizontal="center" vertical="center" wrapText="1"/>
    </xf>
    <xf numFmtId="0" fontId="83" fillId="0" borderId="0" xfId="0" applyFont="1" applyNumberFormat="1">
      <alignment vertical="center" wrapText="1"/>
    </xf>
    <xf numFmtId="0" fontId="22" fillId="0" borderId="12" xfId="0" applyFont="1" applyBorder="1" applyNumberFormat="1">
      <alignment horizontal="left" vertical="center" wrapText="1" indent="2"/>
    </xf>
    <xf numFmtId="49" fontId="22" fillId="36" borderId="14" xfId="0" applyFont="1" applyFill="1" applyBorder="1" applyNumberFormat="1">
      <alignment horizontal="left" vertical="center" wrapText="1"/>
      <protection locked="0"/>
    </xf>
    <xf numFmtId="0" fontId="22" fillId="0" borderId="0" xfId="0" applyFont="1" applyNumberFormat="1">
      <alignment vertical="top" wrapText="1"/>
    </xf>
    <xf numFmtId="0" fontId="22" fillId="0" borderId="0" xfId="0" applyFont="1" applyNumberFormat="1">
      <alignment vertical="top"/>
    </xf>
    <xf numFmtId="0" fontId="22" fillId="0" borderId="0" xfId="0" applyFont="1" applyNumberFormat="1">
      <alignment vertical="top" wrapText="1"/>
    </xf>
    <xf numFmtId="0" fontId="22" fillId="0" borderId="0" xfId="0" applyFont="1" applyNumberFormat="1">
      <alignment vertical="top"/>
    </xf>
    <xf numFmtId="49" fontId="53" fillId="0" borderId="12" xfId="0" applyFont="1" applyBorder="1" applyNumberFormat="1">
      <alignment horizontal="left" vertical="center" wrapText="1"/>
    </xf>
    <xf numFmtId="49" fontId="22" fillId="0" borderId="32" xfId="0" applyFont="1" applyBorder="1" applyNumberFormat="1">
      <alignment horizontal="center" vertical="center" wrapText="1"/>
    </xf>
    <xf numFmtId="0" fontId="22" fillId="0" borderId="32" xfId="0" applyFont="1" applyBorder="1" applyNumberFormat="1">
      <alignment horizontal="left" vertical="center" wrapText="1"/>
    </xf>
    <xf numFmtId="4" fontId="22" fillId="0" borderId="40" xfId="0" applyFont="1" applyBorder="1" applyNumberFormat="1">
      <alignment horizontal="center" vertical="center" wrapText="1"/>
    </xf>
    <xf numFmtId="49" fontId="53" fillId="0" borderId="30" xfId="0" applyFont="1" applyBorder="1" applyNumberFormat="1">
      <alignment horizontal="left" vertical="center" wrapText="1"/>
    </xf>
    <xf numFmtId="49" fontId="22" fillId="0" borderId="31" xfId="0" applyFont="1" applyBorder="1" applyNumberFormat="1">
      <alignment horizontal="center" vertical="center" wrapText="1"/>
    </xf>
    <xf numFmtId="0" fontId="22" fillId="0" borderId="33" xfId="0" applyFont="1" applyBorder="1" applyNumberFormat="1">
      <alignment horizontal="left" vertical="center" wrapText="1" indent="1"/>
    </xf>
    <xf numFmtId="4" fontId="22" fillId="39" borderId="31" xfId="0" applyFont="1" applyFill="1" applyBorder="1" applyNumberFormat="1">
      <alignment horizontal="right" vertical="center" wrapText="1"/>
      <protection locked="0"/>
    </xf>
    <xf numFmtId="49" fontId="53" fillId="0" borderId="14" xfId="0" applyFont="1" applyBorder="1" applyNumberFormat="1">
      <alignment horizontal="left" vertical="center" wrapText="1"/>
    </xf>
    <xf numFmtId="4" fontId="22" fillId="0" borderId="17"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0" fontId="22" fillId="0" borderId="33" xfId="0" applyFont="1" applyBorder="1" applyNumberFormat="1">
      <alignment horizontal="left" vertical="center" wrapText="1"/>
    </xf>
    <xf numFmtId="49" fontId="53" fillId="0" borderId="15" xfId="0" applyFont="1" applyBorder="1" applyNumberFormat="1">
      <alignment horizontal="left" vertical="center" wrapText="1"/>
    </xf>
    <xf numFmtId="0" fontId="22" fillId="0" borderId="31" xfId="0" applyFont="1" applyBorder="1" applyNumberFormat="1">
      <alignment horizontal="left" vertical="center" wrapText="1" indent="1"/>
    </xf>
    <xf numFmtId="4" fontId="22" fillId="0" borderId="32" xfId="0" applyFont="1" applyBorder="1" applyNumberFormat="1">
      <alignment horizontal="center" vertical="center" wrapText="1"/>
    </xf>
    <xf numFmtId="0" fontId="22" fillId="0" borderId="31" xfId="0" applyFont="1" applyBorder="1" applyNumberFormat="1">
      <alignment horizontal="left" vertical="center" wrapText="1"/>
    </xf>
    <xf numFmtId="0" fontId="22" fillId="0" borderId="31" xfId="0" applyFont="1" applyBorder="1" applyNumberFormat="1">
      <alignment horizontal="left" vertical="center" wrapText="1" indent="2"/>
    </xf>
    <xf numFmtId="4" fontId="22" fillId="0" borderId="31" xfId="0" applyFont="1" applyBorder="1" applyNumberFormat="1">
      <alignment horizontal="center" vertical="center" wrapText="1"/>
    </xf>
    <xf numFmtId="49" fontId="22" fillId="0" borderId="34" xfId="0" applyFont="1" applyBorder="1" applyNumberFormat="1">
      <alignment horizontal="center" vertical="center" wrapText="1"/>
    </xf>
    <xf numFmtId="49" fontId="53" fillId="39" borderId="12" xfId="0" applyFont="1" applyFill="1" applyBorder="1" applyNumberFormat="1">
      <alignment horizontal="left" vertical="center" wrapText="1"/>
      <protection locked="0"/>
    </xf>
    <xf numFmtId="0" fontId="22" fillId="0" borderId="35" xfId="0" applyFont="1" applyBorder="1" applyNumberFormat="1">
      <alignment horizontal="left" vertical="center" wrapText="1"/>
    </xf>
    <xf numFmtId="4" fontId="22" fillId="0" borderId="35" xfId="0" applyFont="1" applyBorder="1" applyNumberFormat="1">
      <alignment horizontal="center" vertical="center" wrapText="1"/>
    </xf>
    <xf numFmtId="49" fontId="53" fillId="0" borderId="37" xfId="0" applyFont="1" applyBorder="1" applyNumberFormat="1">
      <alignment horizontal="left" vertical="center" wrapText="1"/>
    </xf>
    <xf numFmtId="49" fontId="22" fillId="0" borderId="33" xfId="0" applyFont="1" applyBorder="1" applyNumberFormat="1">
      <alignment horizontal="center" vertical="center" wrapText="1"/>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 fontId="22" fillId="39" borderId="34" xfId="0" applyFont="1" applyFill="1" applyBorder="1" applyNumberFormat="1">
      <alignment horizontal="right" vertical="center" wrapText="1"/>
      <protection locked="0"/>
    </xf>
    <xf numFmtId="49" fontId="47" fillId="0" borderId="0" xfId="0" applyFont="1" applyNumberFormat="1">
      <alignment horizontal="center" vertical="center" wrapText="1"/>
    </xf>
    <xf numFmtId="0" fontId="47" fillId="0" borderId="0" xfId="0" applyFont="1" applyNumberFormat="1">
      <alignment horizontal="center" vertical="center" wrapText="1"/>
    </xf>
    <xf numFmtId="0" fontId="36" fillId="0" borderId="24" xfId="0" applyFont="1" applyBorder="1" applyNumberFormat="1">
      <alignment horizontal="center" vertical="center" wrapText="1"/>
    </xf>
    <xf numFmtId="0" fontId="0" fillId="0" borderId="14" xfId="0" applyFont="1" applyBorder="1" applyNumberFormat="1">
      <alignment horizontal="center" vertical="center"/>
    </xf>
    <xf numFmtId="0" fontId="22" fillId="0" borderId="13" xfId="0" applyFont="1" applyBorder="1" applyNumberFormat="1">
      <alignment horizontal="center" vertical="center" wrapText="1"/>
    </xf>
    <xf numFmtId="504" fontId="0" fillId="36"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0" fontId="22" fillId="0" borderId="0" xfId="0" applyFont="1" applyNumberFormat="1">
      <alignment horizontal="left" vertical="center" wrapText="1"/>
    </xf>
    <xf numFmtId="0" fontId="22" fillId="34" borderId="14" xfId="0" applyFont="1" applyFill="1" applyBorder="1" applyNumberFormat="1">
      <alignment horizontal="left" vertical="top" wrapText="1" indent="1"/>
    </xf>
    <xf numFmtId="0" fontId="22" fillId="34" borderId="13" xfId="0" applyFont="1" applyFill="1" applyBorder="1" applyNumberFormat="1">
      <alignment horizontal="left" vertical="top" wrapText="1" indent="1"/>
    </xf>
    <xf numFmtId="0" fontId="22" fillId="0" borderId="15" xfId="0" applyFont="1" applyBorder="1" applyNumberFormat="1">
      <alignment horizontal="right" vertical="center" wrapText="1" indent="1"/>
    </xf>
    <xf numFmtId="0" fontId="22" fillId="0" borderId="13" xfId="0" applyFont="1" applyBorder="1" applyNumberFormat="1">
      <alignment horizontal="right" vertical="center" wrapText="1" indent="1"/>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14" xfId="0" applyFont="1" applyBorder="1" applyNumberFormat="1">
      <alignment horizontal="center" vertical="center" wrapText="1"/>
    </xf>
    <xf numFmtId="0" fontId="36" fillId="0" borderId="0" xfId="0" applyFont="1" applyNumberFormat="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0" borderId="13" xfId="0" applyFont="1" applyBorder="1" applyNumberFormat="1">
      <alignment horizontal="center" vertical="center" wrapText="1"/>
    </xf>
    <xf numFmtId="0" fontId="22" fillId="0" borderId="13" xfId="0" applyFont="1" applyBorder="1" applyNumberFormat="1">
      <alignment horizontal="center" vertical="center" wrapText="1"/>
    </xf>
    <xf numFmtId="0" fontId="22" fillId="37" borderId="19" xfId="0" applyFont="1" applyFill="1" applyBorder="1" applyNumberFormat="1">
      <alignment vertical="center" wrapText="1"/>
    </xf>
    <xf numFmtId="0" fontId="22" fillId="0" borderId="15" xfId="0" applyFont="1" applyBorder="1" applyNumberFormat="1">
      <alignment horizontal="center" vertical="center" wrapText="1"/>
    </xf>
    <xf numFmtId="49" fontId="22" fillId="40" borderId="12" xfId="0" applyFont="1" applyFill="1" applyBorder="1" applyNumberFormat="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pplyNumberFormat="1">
      <alignment horizontal="center" vertical="center" wrapText="1"/>
    </xf>
    <xf numFmtId="0" fontId="22" fillId="0" borderId="13" xfId="0" applyFont="1" applyBorder="1" applyNumberFormat="1">
      <alignment vertical="center" wrapText="1"/>
    </xf>
    <xf numFmtId="0" fontId="22" fillId="37" borderId="27" xfId="0" applyFont="1" applyFill="1" applyBorder="1" applyNumberFormat="1">
      <alignment vertical="center" wrapText="1"/>
    </xf>
    <xf numFmtId="0" fontId="36" fillId="0" borderId="0" xfId="0" applyFont="1" applyNumberFormat="1">
      <alignment horizontal="center" vertical="center" wrapText="1"/>
    </xf>
    <xf numFmtId="49" fontId="47" fillId="0" borderId="0" xfId="0" applyFont="1" applyNumberFormat="1">
      <alignment horizontal="center" vertical="center" wrapText="1"/>
    </xf>
    <xf numFmtId="0" fontId="22" fillId="0" borderId="0" xfId="0" applyFont="1" applyNumberFormat="1">
      <alignment vertical="center" wrapText="1"/>
    </xf>
    <xf numFmtId="0" fontId="22" fillId="0" borderId="0" xfId="0" applyFont="1" applyNumberFormat="1">
      <alignment vertical="center" wrapText="1"/>
    </xf>
    <xf numFmtId="49" fontId="47" fillId="0" borderId="0" xfId="0" applyFont="1" applyNumberFormat="1">
      <alignment horizontal="center" vertical="center" wrapText="1"/>
    </xf>
    <xf numFmtId="49" fontId="98" fillId="0" borderId="0" xfId="0" applyFont="1" applyNumberFormat="1">
      <alignment horizontal="center" vertical="center" wrapText="1"/>
    </xf>
    <xf numFmtId="0" fontId="0" fillId="35" borderId="14" xfId="0" applyFont="1" applyFill="1" applyBorder="1" applyNumberFormat="1">
      <alignment horizontal="center" vertical="center" wrapText="1"/>
    </xf>
    <xf numFmtId="0" fontId="0" fillId="35" borderId="15" xfId="0" applyFont="1" applyFill="1" applyBorder="1" applyNumberFormat="1">
      <alignment horizontal="center" vertical="center" wrapText="1"/>
    </xf>
    <xf numFmtId="0" fontId="0" fillId="35" borderId="13" xfId="0" applyFont="1" applyFill="1" applyBorder="1" applyNumberFormat="1">
      <alignment horizontal="center" vertical="center" wrapText="1"/>
    </xf>
    <xf numFmtId="0" fontId="0" fillId="35" borderId="17" xfId="0" applyFont="1" applyFill="1" applyBorder="1" applyNumberFormat="1">
      <alignment horizontal="center" vertical="center" wrapText="1"/>
    </xf>
    <xf numFmtId="0" fontId="22" fillId="35" borderId="17" xfId="0" applyFont="1" applyFill="1" applyBorder="1" applyNumberFormat="1">
      <alignment horizontal="center" vertical="center" wrapText="1"/>
    </xf>
    <xf numFmtId="0" fontId="0" fillId="35" borderId="17" xfId="0" applyFont="1" applyFill="1" applyBorder="1" applyNumberFormat="1">
      <alignment horizontal="center" vertical="center" wrapText="1"/>
    </xf>
    <xf numFmtId="0" fontId="0" fillId="35" borderId="37" xfId="0" applyFont="1" applyFill="1" applyBorder="1" applyNumberFormat="1">
      <alignment horizontal="center" vertical="center" wrapText="1"/>
    </xf>
    <xf numFmtId="0" fontId="22" fillId="0" borderId="12" xfId="0" applyFont="1" applyBorder="1" applyNumberFormat="1">
      <alignment horizontal="center" vertical="center" wrapText="1"/>
    </xf>
    <xf numFmtId="0" fontId="48" fillId="0" borderId="0" xfId="0" applyFont="1" applyNumberFormat="1">
      <alignment horizontal="center" vertical="center" wrapText="1"/>
    </xf>
    <xf numFmtId="49" fontId="48" fillId="0" borderId="12" xfId="0" applyFont="1" applyBorder="1" applyNumberFormat="1">
      <alignment horizontal="center" vertical="center" wrapText="1"/>
    </xf>
    <xf numFmtId="0" fontId="0" fillId="0" borderId="12" xfId="0" applyFont="1" applyBorder="1" applyNumberFormat="1">
      <alignment horizontal="left" vertical="center" wrapText="1" indent="1"/>
    </xf>
    <xf numFmtId="49" fontId="0" fillId="0" borderId="12" xfId="0" applyFont="1" applyBorder="1" applyNumberFormat="1">
      <alignment horizontal="center" vertical="center" wrapText="1"/>
    </xf>
    <xf numFmtId="49" fontId="22" fillId="0" borderId="12" xfId="0" applyFont="1" applyBorder="1" applyNumberFormat="1">
      <alignment horizontal="left" vertical="center" wrapText="1"/>
    </xf>
    <xf numFmtId="49" fontId="48" fillId="0" borderId="0" xfId="0" applyFont="1" applyNumberFormat="1">
      <alignment horizontal="center" vertical="center" wrapText="1"/>
    </xf>
    <xf numFmtId="49" fontId="22" fillId="0" borderId="14" xfId="0" applyFont="1" applyBorder="1" applyNumberFormat="1">
      <alignment horizontal="center" vertical="center" wrapText="1"/>
    </xf>
    <xf numFmtId="49" fontId="40" fillId="37" borderId="14" xfId="0" applyFont="1" applyFill="1" applyBorder="1" applyNumberFormat="1">
      <alignment horizontal="left" vertical="center" indent="1"/>
    </xf>
    <xf numFmtId="0" fontId="22" fillId="37" borderId="29" xfId="0" applyFont="1" applyFill="1" applyBorder="1" applyNumberFormat="1">
      <alignment vertical="center" wrapText="1"/>
    </xf>
    <xf numFmtId="0" fontId="47" fillId="0" borderId="0" xfId="0" applyFont="1" applyNumberFormat="1">
      <alignment vertical="center" wrapText="1"/>
    </xf>
    <xf numFmtId="0" fontId="47" fillId="0" borderId="0" xfId="0" applyFont="1" applyNumberFormat="1">
      <alignment vertical="center" wrapText="1"/>
    </xf>
    <xf numFmtId="0" fontId="47" fillId="0" borderId="0" xfId="0" applyFont="1" applyNumberFormat="1">
      <alignment vertical="center" wrapText="1"/>
    </xf>
    <xf numFmtId="0" fontId="32" fillId="0" borderId="0" xfId="0" applyFont="1" applyNumberFormat="1">
      <alignment vertical="center" wrapText="1"/>
    </xf>
    <xf numFmtId="0" fontId="32" fillId="0" borderId="0" xfId="0" applyFont="1" applyNumberFormat="1">
      <alignment vertical="center" wrapText="1"/>
    </xf>
    <xf numFmtId="0" fontId="32" fillId="0" borderId="0" xfId="0" applyFont="1" applyNumberFormat="1">
      <alignment vertical="center" wrapText="1"/>
    </xf>
    <xf numFmtId="0" fontId="22" fillId="0" borderId="0" xfId="0" applyFont="1" applyNumberFormat="1">
      <alignment horizontal="left" vertical="center" wrapText="1" indent="3"/>
    </xf>
    <xf numFmtId="0" fontId="22" fillId="35" borderId="0" xfId="0" applyFont="1" applyFill="1" applyNumberFormat="1">
      <alignment vertical="center" wrapText="1"/>
    </xf>
    <xf numFmtId="0" fontId="22" fillId="35" borderId="39" xfId="0" applyFont="1" applyFill="1" applyBorder="1" applyNumberFormat="1">
      <alignment vertical="center" wrapText="1"/>
    </xf>
    <xf numFmtId="0" fontId="22" fillId="35" borderId="39" xfId="0" applyFont="1" applyFill="1" applyBorder="1" applyNumberFormat="1">
      <alignment vertical="center" wrapText="1"/>
    </xf>
    <xf numFmtId="49" fontId="73" fillId="0" borderId="39" xfId="0" applyFont="1" applyBorder="1" applyNumberFormat="1">
      <alignment vertical="top"/>
    </xf>
    <xf numFmtId="49" fontId="73" fillId="0" borderId="39" xfId="0" applyFont="1" applyBorder="1" applyNumberFormat="1">
      <alignment vertical="top"/>
    </xf>
    <xf numFmtId="0" fontId="50" fillId="35" borderId="39" xfId="0" applyFont="1" applyFill="1" applyBorder="1" applyNumberFormat="1">
      <alignment horizontal="center" wrapText="1"/>
    </xf>
    <xf numFmtId="0" fontId="50" fillId="35" borderId="39" xfId="0" applyFont="1" applyFill="1" applyBorder="1" applyNumberFormat="1">
      <alignment horizontal="center" wrapText="1"/>
    </xf>
    <xf numFmtId="0" fontId="22" fillId="35" borderId="39" xfId="0" applyFont="1" applyFill="1" applyBorder="1" applyNumberFormat="1">
      <alignment vertical="center" wrapText="1"/>
    </xf>
    <xf numFmtId="0" fontId="22" fillId="35" borderId="39" xfId="0" applyFont="1" applyFill="1" applyBorder="1" applyNumberFormat="1">
      <alignment vertical="center" wrapText="1"/>
    </xf>
    <xf numFmtId="49" fontId="22" fillId="0" borderId="0" xfId="0" applyFont="1" applyNumberFormat="1">
      <alignment vertical="top"/>
    </xf>
    <xf numFmtId="0" fontId="22" fillId="0" borderId="60" xfId="0" applyFont="1" applyBorder="1" applyNumberFormat="1">
      <alignment horizontal="center" vertical="center"/>
    </xf>
    <xf numFmtId="0" fontId="22" fillId="0" borderId="61" xfId="0" applyFont="1" applyBorder="1" applyNumberFormat="1">
      <alignment horizontal="center" vertical="center"/>
    </xf>
    <xf numFmtId="0" fontId="22" fillId="0" borderId="67" xfId="0" applyFont="1" applyBorder="1" applyNumberFormat="1">
      <alignment horizontal="center" vertical="center"/>
    </xf>
    <xf numFmtId="0" fontId="22" fillId="0" borderId="38" xfId="0" applyFont="1" applyBorder="1" applyNumberFormat="1">
      <alignment vertical="center" wrapText="1"/>
    </xf>
    <xf numFmtId="0" fontId="22" fillId="35" borderId="12" xfId="0" applyFont="1" applyFill="1" applyBorder="1" applyNumberFormat="1">
      <alignment horizontal="center" vertical="center" wrapText="1"/>
    </xf>
    <xf numFmtId="0" fontId="22" fillId="35" borderId="37" xfId="0" applyFont="1" applyFill="1" applyBorder="1" applyNumberFormat="1">
      <alignment horizontal="center" vertical="center" wrapText="1"/>
    </xf>
    <xf numFmtId="0" fontId="22" fillId="35" borderId="20" xfId="0" applyFont="1" applyFill="1" applyBorder="1" applyNumberFormat="1">
      <alignment horizontal="center" vertical="center" wrapText="1"/>
    </xf>
    <xf numFmtId="0" fontId="22" fillId="0" borderId="0" xfId="0" applyFont="1" applyNumberFormat="1">
      <alignment vertical="center" wrapText="1"/>
    </xf>
    <xf numFmtId="0" fontId="22" fillId="35" borderId="0" xfId="0" applyFont="1" applyFill="1" applyNumberFormat="1">
      <alignment vertical="center" wrapText="1"/>
    </xf>
    <xf numFmtId="0" fontId="22" fillId="35" borderId="22" xfId="0" applyFont="1" applyFill="1" applyBorder="1" applyNumberFormat="1">
      <alignment horizontal="center" vertical="center" wrapText="1"/>
    </xf>
    <xf numFmtId="0" fontId="22" fillId="35" borderId="24" xfId="0" applyFont="1" applyFill="1" applyBorder="1" applyNumberFormat="1">
      <alignment horizontal="center" vertical="center" wrapText="1"/>
    </xf>
    <xf numFmtId="49" fontId="22" fillId="0" borderId="0" xfId="0" applyFont="1" applyNumberFormat="1">
      <alignment vertical="top"/>
    </xf>
    <xf numFmtId="49" fontId="98" fillId="0" borderId="0" xfId="0" applyFont="1" applyNumberFormat="1">
      <alignment horizontal="center" vertical="center" wrapText="1"/>
    </xf>
    <xf numFmtId="0" fontId="22" fillId="35" borderId="0" xfId="0" applyFont="1" applyFill="1" applyNumberFormat="1">
      <alignment vertical="center" wrapText="1"/>
    </xf>
    <xf numFmtId="0" fontId="0" fillId="0" borderId="12" xfId="0" applyFont="1" applyBorder="1" applyNumberFormat="1">
      <alignment horizontal="center" vertical="center" wrapText="1"/>
    </xf>
    <xf numFmtId="49" fontId="22" fillId="0" borderId="0" xfId="0" applyFont="1" applyNumberFormat="1">
      <alignment vertical="top"/>
    </xf>
    <xf numFmtId="0" fontId="22" fillId="0" borderId="0" xfId="0" applyFont="1" applyNumberFormat="1">
      <alignment vertical="center" wrapText="1"/>
    </xf>
    <xf numFmtId="0" fontId="22" fillId="35" borderId="30" xfId="0" applyFont="1" applyFill="1" applyBorder="1" applyNumberFormat="1">
      <alignment horizontal="center" vertical="center" wrapText="1"/>
    </xf>
    <xf numFmtId="0" fontId="22" fillId="35" borderId="29" xfId="0" applyFont="1" applyFill="1" applyBorder="1" applyNumberFormat="1">
      <alignment horizontal="center" vertical="center" wrapText="1"/>
    </xf>
    <xf numFmtId="0" fontId="22" fillId="0" borderId="12" xfId="0" applyFont="1" applyBorder="1" applyNumberFormat="1">
      <alignment horizontal="center" vertical="center" wrapText="1"/>
    </xf>
    <xf numFmtId="0" fontId="0"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35" borderId="0" xfId="0" applyFont="1" applyFill="1" applyNumberFormat="1">
      <alignment vertical="center" wrapText="1"/>
    </xf>
    <xf numFmtId="0" fontId="22" fillId="0" borderId="0" xfId="0" applyFont="1" applyNumberFormat="1">
      <alignment vertical="center" wrapText="1"/>
    </xf>
    <xf numFmtId="0" fontId="22" fillId="0" borderId="0" xfId="0" applyFont="1" applyNumberFormat="1">
      <alignment vertical="center" wrapText="1"/>
    </xf>
    <xf numFmtId="0" fontId="22" fillId="0" borderId="0" xfId="0" applyFont="1" applyNumberFormat="1">
      <alignment vertical="center" wrapText="1"/>
    </xf>
    <xf numFmtId="0" fontId="22" fillId="0" borderId="0" xfId="0" applyFont="1" applyNumberFormat="1">
      <alignment vertical="center" wrapText="1"/>
    </xf>
    <xf numFmtId="0" fontId="22" fillId="0" borderId="0" xfId="0" applyFont="1" applyNumberFormat="1">
      <alignment vertical="center"/>
    </xf>
    <xf numFmtId="0" fontId="22" fillId="0" borderId="0" xfId="0" applyFont="1" applyNumberFormat="1">
      <alignment vertical="center"/>
    </xf>
    <xf numFmtId="49" fontId="22" fillId="0" borderId="0" xfId="0" applyFont="1" applyNumberFormat="1">
      <alignment vertical="top"/>
    </xf>
    <xf numFmtId="49" fontId="22" fillId="0" borderId="0" xfId="0" applyFont="1" applyNumberFormat="1">
      <alignment vertical="top"/>
    </xf>
    <xf numFmtId="49" fontId="22" fillId="0" borderId="0" xfId="0" applyFont="1" applyNumberFormat="1">
      <alignment vertical="top"/>
    </xf>
    <xf numFmtId="0" fontId="22" fillId="0" borderId="0" xfId="0" applyFont="1" applyNumberFormat="1">
      <alignment vertical="center" wrapText="1"/>
    </xf>
    <xf numFmtId="0" fontId="22" fillId="0" borderId="0" xfId="0" applyFont="1" applyNumberFormat="1">
      <alignment vertical="center" wrapText="1"/>
    </xf>
    <xf numFmtId="0" fontId="22" fillId="35" borderId="0" xfId="0" applyFont="1" applyFill="1" applyNumberFormat="1">
      <alignment vertical="center" wrapText="1"/>
    </xf>
    <xf numFmtId="0" fontId="22" fillId="35" borderId="19" xfId="0" applyFont="1" applyFill="1" applyBorder="1" applyNumberFormat="1">
      <alignment vertical="center" wrapText="1"/>
    </xf>
    <xf numFmtId="49" fontId="22" fillId="0" borderId="0" xfId="0" applyFont="1" applyNumberFormat="1">
      <alignment vertical="top"/>
    </xf>
    <xf numFmtId="49" fontId="48" fillId="0" borderId="0" xfId="0" applyFont="1" applyNumberFormat="1">
      <alignment vertical="top"/>
    </xf>
    <xf numFmtId="0" fontId="48" fillId="0" borderId="39" xfId="0" applyFont="1" applyBorder="1" applyNumberFormat="1">
      <alignment vertical="center" wrapText="1"/>
    </xf>
    <xf numFmtId="0" fontId="22" fillId="0" borderId="73" xfId="0" applyFont="1" applyBorder="1" applyNumberFormat="1">
      <alignment horizontal="center" vertical="center"/>
    </xf>
    <xf numFmtId="0" fontId="22" fillId="0" borderId="43" xfId="0" applyFont="1" applyBorder="1" applyNumberFormat="1">
      <alignment horizontal="center" vertical="center"/>
    </xf>
    <xf numFmtId="0" fontId="22" fillId="0" borderId="38" xfId="0" applyFont="1" applyBorder="1" applyNumberFormat="1">
      <alignment vertical="center"/>
    </xf>
    <xf numFmtId="49" fontId="0" fillId="0" borderId="17" xfId="0" applyFont="1" applyBorder="1" applyNumberFormat="1">
      <alignment horizontal="center"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22" fillId="0" borderId="22" xfId="0" applyFont="1" applyBorder="1" applyNumberFormat="1">
      <alignment vertical="top"/>
    </xf>
    <xf numFmtId="49" fontId="0" fillId="0" borderId="36" xfId="0" applyFont="1" applyBorder="1" applyNumberFormat="1">
      <alignment horizontal="center" vertical="center" wrapText="1"/>
    </xf>
    <xf numFmtId="0" fontId="0" fillId="34" borderId="12" xfId="0" applyFont="1" applyFill="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xf>
    <xf numFmtId="49" fontId="0" fillId="34" borderId="12" xfId="0" applyFont="1" applyFill="1" applyBorder="1" applyNumberFormat="1">
      <alignment horizontal="center" vertical="center"/>
    </xf>
    <xf numFmtId="0" fontId="22" fillId="0" borderId="22" xfId="0" applyFont="1" applyBorder="1" applyNumberFormat="1">
      <alignment vertical="center" wrapText="1"/>
    </xf>
    <xf numFmtId="49" fontId="0" fillId="0" borderId="12" xfId="0" applyFont="1" applyBorder="1" applyNumberFormat="1">
      <alignment horizontal="center" vertical="center" wrapText="1"/>
    </xf>
    <xf numFmtId="49" fontId="0" fillId="0" borderId="12" xfId="0" applyFont="1" applyBorder="1" applyNumberFormat="1">
      <alignment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 fontId="0" fillId="36"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horizontal="left" vertical="center" wrapText="1"/>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49" fontId="45" fillId="0" borderId="0" xfId="0" applyFont="1" applyNumberFormat="1">
      <alignment vertical="center"/>
    </xf>
    <xf numFmtId="49" fontId="99" fillId="0" borderId="0" xfId="0" applyFont="1" applyNumberFormat="1">
      <alignment vertical="center"/>
    </xf>
    <xf numFmtId="49" fontId="45" fillId="0" borderId="0" xfId="0" applyFont="1" applyNumberFormat="1">
      <alignment vertical="center"/>
    </xf>
    <xf numFmtId="49" fontId="45" fillId="0" borderId="0" xfId="0" applyFont="1" applyNumberFormat="1">
      <alignment vertical="center"/>
    </xf>
    <xf numFmtId="49" fontId="99" fillId="0" borderId="0" xfId="0" applyFont="1" applyNumberFormat="1">
      <alignment vertical="center" wrapText="1"/>
    </xf>
    <xf numFmtId="49" fontId="45" fillId="0" borderId="0" xfId="0" applyFont="1" applyNumberFormat="1">
      <alignment vertical="center" wrapText="1"/>
    </xf>
    <xf numFmtId="49" fontId="45" fillId="0" borderId="0" xfId="0" applyFont="1" applyNumberFormat="1">
      <alignment vertical="top"/>
    </xf>
    <xf numFmtId="49" fontId="45" fillId="0" borderId="0" xfId="0" applyFont="1" applyNumberFormat="1">
      <alignment vertical="center" wrapText="1"/>
    </xf>
    <xf numFmtId="49" fontId="45" fillId="0" borderId="0" xfId="0" applyFont="1" applyNumberFormat="1">
      <alignment vertical="center" wrapText="1"/>
    </xf>
    <xf numFmtId="49" fontId="22" fillId="0" borderId="0" xfId="0" applyFont="1" applyNumberFormat="1">
      <alignment horizontal="center" vertical="top" wrapText="1"/>
    </xf>
    <xf numFmtId="49" fontId="32" fillId="0" borderId="0" xfId="0" applyFont="1" applyNumberFormat="1">
      <alignment horizontal="center" vertical="top" wrapText="1"/>
    </xf>
    <xf numFmtId="49" fontId="22" fillId="35" borderId="0" xfId="0" applyFont="1" applyFill="1" applyNumberFormat="1">
      <alignment horizontal="center" vertical="top" wrapText="1"/>
    </xf>
    <xf numFmtId="0" fontId="22" fillId="0" borderId="20" xfId="0" applyFont="1" applyBorder="1" applyNumberFormat="1">
      <alignment horizontal="left" vertical="top" wrapText="1"/>
    </xf>
    <xf numFmtId="49" fontId="22" fillId="35" borderId="0" xfId="0" applyFont="1" applyFill="1" applyNumberFormat="1">
      <alignment horizontal="center" vertical="center" wrapText="1"/>
    </xf>
    <xf numFmtId="49" fontId="22" fillId="0" borderId="0" xfId="0" applyFont="1" applyNumberFormat="1">
      <alignment horizontal="center" vertical="center" wrapText="1"/>
    </xf>
    <xf numFmtId="49" fontId="45" fillId="0" borderId="0" xfId="0" applyFont="1" applyNumberFormat="1">
      <alignment horizontal="center" vertical="center" wrapText="1"/>
    </xf>
    <xf numFmtId="49" fontId="99" fillId="0" borderId="0" xfId="0" applyFont="1" applyNumberFormat="1">
      <alignment horizontal="center" vertical="center" wrapText="1"/>
    </xf>
    <xf numFmtId="0" fontId="45" fillId="0" borderId="0" xfId="0" applyFont="1" applyNumberFormat="1">
      <alignment horizontal="center" vertical="center" wrapText="1"/>
    </xf>
    <xf numFmtId="49" fontId="45" fillId="0" borderId="0" xfId="0" applyFont="1" applyNumberFormat="1">
      <alignment horizontal="center" vertical="center" wrapText="1"/>
    </xf>
    <xf numFmtId="49" fontId="99" fillId="0" borderId="0" xfId="0" applyFont="1" applyNumberFormat="1">
      <alignment horizontal="center" vertical="center" wrapText="1"/>
    </xf>
    <xf numFmtId="49" fontId="22" fillId="0" borderId="0" xfId="0" applyFont="1" applyNumberFormat="1">
      <alignment horizontal="center" vertical="center" wrapText="1"/>
    </xf>
    <xf numFmtId="0" fontId="22" fillId="0" borderId="0" xfId="0" applyFont="1" applyNumberFormat="1">
      <alignment horizontal="center" vertical="center" wrapText="1"/>
    </xf>
    <xf numFmtId="0" fontId="22" fillId="49" borderId="14" xfId="0" applyFont="1" applyFill="1" applyBorder="1" applyNumberFormat="1">
      <alignment horizontal="center" vertical="center" wrapText="1"/>
    </xf>
    <xf numFmtId="0" fontId="22" fillId="49" borderId="15" xfId="0" applyFont="1" applyFill="1" applyBorder="1" applyNumberFormat="1">
      <alignment horizontal="center" vertical="center" wrapText="1"/>
    </xf>
    <xf numFmtId="0" fontId="22" fillId="49" borderId="13" xfId="0" applyFont="1" applyFill="1" applyBorder="1" applyNumberFormat="1">
      <alignment horizontal="center" vertical="center" wrapText="1"/>
    </xf>
    <xf numFmtId="49" fontId="47" fillId="47" borderId="14" xfId="0" applyFont="1" applyFill="1" applyBorder="1" applyNumberFormat="1">
      <alignment horizontal="center" vertical="center" wrapText="1"/>
    </xf>
    <xf numFmtId="49" fontId="47" fillId="47" borderId="15" xfId="0" applyFont="1" applyFill="1" applyBorder="1" applyNumberFormat="1">
      <alignment horizontal="center" vertical="center" wrapText="1"/>
    </xf>
    <xf numFmtId="49" fontId="47" fillId="47" borderId="13" xfId="0" applyFont="1" applyFill="1" applyBorder="1" applyNumberFormat="1">
      <alignment horizontal="center" vertical="center" wrapText="1"/>
    </xf>
    <xf numFmtId="49" fontId="47" fillId="50" borderId="14" xfId="0" applyFont="1" applyFill="1" applyBorder="1" applyNumberFormat="1">
      <alignment horizontal="center" vertical="center" wrapText="1"/>
    </xf>
    <xf numFmtId="49" fontId="47" fillId="50" borderId="15" xfId="0" applyFont="1" applyFill="1" applyBorder="1" applyNumberFormat="1">
      <alignment horizontal="center" vertical="center" wrapText="1"/>
    </xf>
    <xf numFmtId="49" fontId="47" fillId="50" borderId="13"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49" fontId="45" fillId="35" borderId="0" xfId="0" applyFont="1" applyFill="1" applyNumberFormat="1">
      <alignment vertical="center" wrapText="1"/>
    </xf>
    <xf numFmtId="49" fontId="22" fillId="35" borderId="12"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0" fontId="22" fillId="41" borderId="12" xfId="0" applyFont="1" applyFill="1" applyBorder="1" applyNumberFormat="1">
      <alignment horizontal="center" vertical="center" wrapText="1"/>
    </xf>
    <xf numFmtId="0" fontId="22" fillId="41" borderId="14" xfId="0" applyFont="1" applyFill="1" applyBorder="1" applyNumberFormat="1">
      <alignment horizontal="center" vertical="center" wrapText="1"/>
    </xf>
    <xf numFmtId="0" fontId="22" fillId="35" borderId="13" xfId="0" applyFont="1" applyFill="1" applyBorder="1" applyNumberFormat="1">
      <alignment horizontal="center" vertical="center" wrapText="1"/>
    </xf>
    <xf numFmtId="0" fontId="22" fillId="41" borderId="13" xfId="0" applyFont="1" applyFill="1" applyBorder="1" applyNumberFormat="1">
      <alignment horizontal="center" vertical="center" wrapText="1"/>
    </xf>
    <xf numFmtId="49" fontId="22" fillId="0" borderId="0" xfId="0" applyFont="1" applyNumberFormat="1">
      <alignment vertical="center" wrapText="1"/>
    </xf>
    <xf numFmtId="49" fontId="45" fillId="0" borderId="0" xfId="0" applyFont="1" applyNumberFormat="1">
      <alignment vertical="top"/>
    </xf>
    <xf numFmtId="0" fontId="22" fillId="35" borderId="29" xfId="0" applyFont="1" applyFill="1" applyBorder="1" applyNumberFormat="1">
      <alignment horizontal="center" vertical="center" wrapText="1"/>
    </xf>
    <xf numFmtId="0" fontId="22" fillId="35" borderId="12" xfId="0" applyFont="1" applyFill="1" applyBorder="1" applyNumberFormat="1">
      <alignment horizontal="center" vertical="center" wrapText="1"/>
    </xf>
    <xf numFmtId="49" fontId="22" fillId="41" borderId="27" xfId="0" applyFont="1" applyFill="1" applyBorder="1" applyNumberFormat="1">
      <alignment horizontal="center" vertical="center" wrapText="1"/>
    </xf>
    <xf numFmtId="49" fontId="45" fillId="35" borderId="0" xfId="0" applyFont="1" applyFill="1" applyNumberFormat="1">
      <alignment vertical="center"/>
    </xf>
    <xf numFmtId="49" fontId="36" fillId="0" borderId="12" xfId="0" applyFont="1" applyBorder="1" applyNumberFormat="1">
      <alignment horizontal="center" vertical="center"/>
    </xf>
    <xf numFmtId="49" fontId="36" fillId="41" borderId="12" xfId="0" applyFont="1" applyFill="1" applyBorder="1" applyNumberFormat="1">
      <alignment horizontal="center" vertical="center"/>
    </xf>
    <xf numFmtId="0" fontId="36" fillId="0" borderId="12" xfId="0" applyFont="1" applyBorder="1" applyNumberFormat="1">
      <alignment horizontal="center" vertical="center"/>
    </xf>
    <xf numFmtId="49" fontId="36" fillId="0" borderId="23" xfId="0" applyFont="1" applyBorder="1" applyNumberFormat="1">
      <alignment horizontal="center" vertical="center"/>
    </xf>
    <xf numFmtId="49" fontId="22" fillId="0" borderId="0" xfId="0" applyFont="1" applyNumberFormat="1">
      <alignment vertical="center"/>
    </xf>
    <xf numFmtId="49" fontId="99" fillId="0" borderId="0" xfId="0" applyFont="1" applyNumberFormat="1">
      <alignment vertical="center"/>
    </xf>
    <xf numFmtId="49" fontId="47"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pplyNumberFormat="1">
      <alignment horizontal="right" vertical="center"/>
    </xf>
    <xf numFmtId="0" fontId="22" fillId="0" borderId="17" xfId="0" applyFont="1" applyBorder="1" applyNumberFormat="1">
      <alignment horizontal="center" vertical="center"/>
    </xf>
    <xf numFmtId="0" fontId="22" fillId="0" borderId="12" xfId="0" applyFont="1" applyBorder="1" applyNumberFormat="1">
      <alignment horizontal="right" vertical="center"/>
    </xf>
    <xf numFmtId="49" fontId="22" fillId="0" borderId="0" xfId="0" applyFont="1" applyNumberFormat="1">
      <alignment vertical="center"/>
    </xf>
    <xf numFmtId="49" fontId="45" fillId="0" borderId="0" xfId="0" applyFont="1" applyNumberFormat="1">
      <alignment vertical="top"/>
    </xf>
    <xf numFmtId="4" fontId="45" fillId="35" borderId="0" xfId="0" applyFont="1" applyFill="1" applyNumberFormat="1">
      <alignment vertical="center"/>
    </xf>
    <xf numFmtId="49" fontId="45" fillId="0" borderId="0" xfId="0" applyFont="1" applyNumberFormat="1">
      <alignment vertical="center" wrapText="1"/>
    </xf>
    <xf numFmtId="49" fontId="45" fillId="0" borderId="0" xfId="0" applyFont="1" applyNumberFormat="1">
      <alignment vertical="top"/>
    </xf>
    <xf numFmtId="49" fontId="94" fillId="0" borderId="0" xfId="0" applyFont="1" applyNumberFormat="1">
      <alignment vertical="center" wrapText="1"/>
    </xf>
    <xf numFmtId="49" fontId="99" fillId="0" borderId="0" xfId="0" applyFont="1" applyNumberFormat="1">
      <alignment vertical="center" wrapText="1"/>
    </xf>
    <xf numFmtId="0" fontId="36" fillId="0" borderId="0" xfId="0" applyFont="1" applyNumberFormat="1">
      <alignment horizontal="center" vertical="center" wrapText="1"/>
    </xf>
    <xf numFmtId="0" fontId="22" fillId="0" borderId="12" xfId="0" applyFont="1" applyBorder="1" applyNumberFormat="1">
      <alignment horizontal="center" vertical="center" wrapText="1"/>
    </xf>
    <xf numFmtId="0" fontId="22" fillId="34" borderId="14" xfId="0" applyFont="1" applyFill="1" applyBorder="1" applyNumberFormat="1">
      <alignment horizontal="left" vertical="top" wrapText="1" indent="1"/>
    </xf>
    <xf numFmtId="0" fontId="22" fillId="0" borderId="14" xfId="0" applyFont="1" applyBorder="1" applyNumberFormat="1">
      <alignment horizontal="center" vertical="center" wrapText="1"/>
    </xf>
    <xf numFmtId="0" fontId="22" fillId="0" borderId="12" xfId="0" applyFont="1" applyBorder="1" applyNumberFormat="1">
      <alignment horizontal="left" vertical="top" wrapText="1"/>
    </xf>
    <xf numFmtId="3" fontId="22" fillId="39" borderId="14" xfId="0" applyFont="1" applyFill="1" applyBorder="1" applyNumberFormat="1">
      <alignment vertical="center" wrapText="1"/>
      <protection locked="0"/>
    </xf>
    <xf numFmtId="0" fontId="22" fillId="0" borderId="12" xfId="0" applyFont="1" applyBorder="1" applyNumberFormat="1">
      <alignment vertical="top" wrapText="1"/>
    </xf>
    <xf numFmtId="0" fontId="22" fillId="0" borderId="12" xfId="0" applyFont="1" applyBorder="1" applyNumberFormat="1">
      <alignment horizontal="left" vertical="top" wrapText="1"/>
    </xf>
    <xf numFmtId="4" fontId="22" fillId="34" borderId="14" xfId="0" applyFont="1" applyFill="1" applyBorder="1" applyNumberFormat="1">
      <alignment horizontal="right" vertical="center" wrapText="1"/>
    </xf>
    <xf numFmtId="0" fontId="47" fillId="0" borderId="12" xfId="0" applyFont="1" applyBorder="1" applyNumberFormat="1">
      <alignment vertical="top" wrapText="1"/>
    </xf>
    <xf numFmtId="49" fontId="22" fillId="39" borderId="12" xfId="0" applyFont="1" applyFill="1" applyBorder="1" applyNumberFormat="1">
      <alignment horizontal="left" vertical="center" wrapText="1" indent="1"/>
      <protection locked="0"/>
    </xf>
    <xf numFmtId="0" fontId="39" fillId="35" borderId="0" xfId="0" applyFont="1" applyFill="1" applyNumberFormat="1">
      <alignment vertical="center" wrapText="1"/>
    </xf>
    <xf numFmtId="0" fontId="22" fillId="35" borderId="0" xfId="0" applyFont="1" applyFill="1" applyNumberFormat="1">
      <alignment vertical="center" wrapText="1"/>
    </xf>
    <xf numFmtId="0" fontId="22" fillId="0" borderId="20" xfId="0" applyFont="1" applyBorder="1" applyNumberFormat="1">
      <alignment horizontal="left" vertical="top" wrapText="1" indent="1"/>
    </xf>
    <xf numFmtId="0" fontId="22" fillId="0" borderId="17" xfId="0" applyFont="1" applyBorder="1" applyNumberFormat="1">
      <alignment horizontal="left" vertical="top" wrapText="1" indent="1"/>
    </xf>
    <xf numFmtId="0" fontId="22" fillId="0" borderId="37" xfId="0" applyFont="1" applyBorder="1" applyNumberFormat="1">
      <alignment horizontal="left" vertical="top" wrapText="1" indent="1"/>
    </xf>
    <xf numFmtId="49" fontId="22" fillId="0" borderId="0" xfId="0" applyFont="1" applyNumberFormat="1">
      <alignment vertical="center" wrapText="1"/>
    </xf>
    <xf numFmtId="0" fontId="22" fillId="0" borderId="29" xfId="0" applyFont="1" applyBorder="1" applyNumberFormat="1">
      <alignment horizontal="left" vertical="center" wrapText="1" indent="1"/>
    </xf>
    <xf numFmtId="0" fontId="22" fillId="0" borderId="23" xfId="0" applyFont="1" applyBorder="1" applyNumberFormat="1">
      <alignment horizontal="left" vertical="center" wrapText="1" indent="1"/>
    </xf>
    <xf numFmtId="0" fontId="22" fillId="0" borderId="30" xfId="0" applyFont="1" applyBorder="1" applyNumberFormat="1">
      <alignment horizontal="left" vertical="center" wrapText="1" indent="1"/>
    </xf>
    <xf numFmtId="0" fontId="22" fillId="35" borderId="0" xfId="0" applyFont="1" applyFill="1" applyNumberFormat="1">
      <alignment horizontal="center" vertical="center" wrapText="1"/>
    </xf>
    <xf numFmtId="49" fontId="22" fillId="0" borderId="0" xfId="0" applyFont="1" applyNumberFormat="1">
      <alignment vertical="center" wrapText="1"/>
    </xf>
    <xf numFmtId="0" fontId="22" fillId="35" borderId="0" xfId="0" applyFont="1" applyFill="1" applyNumberFormat="1">
      <alignment horizontal="center" vertical="center" wrapText="1"/>
    </xf>
    <xf numFmtId="0" fontId="22" fillId="35" borderId="12" xfId="0" applyFont="1" applyFill="1" applyBorder="1" applyNumberFormat="1">
      <alignment horizontal="center" vertical="center" wrapText="1"/>
    </xf>
    <xf numFmtId="0" fontId="0" fillId="0" borderId="12" xfId="0" applyFont="1" applyBorder="1" applyNumberFormat="1">
      <alignment horizontal="center" vertical="center" wrapText="1"/>
    </xf>
    <xf numFmtId="49" fontId="36" fillId="35" borderId="0" xfId="0" applyFont="1" applyFill="1" applyNumberFormat="1">
      <alignment horizontal="center" vertical="center" wrapText="1"/>
    </xf>
    <xf numFmtId="49" fontId="22" fillId="0" borderId="0" xfId="0" applyFont="1" applyNumberFormat="1">
      <alignment vertical="top"/>
    </xf>
    <xf numFmtId="49" fontId="0" fillId="35" borderId="12" xfId="0" applyFont="1" applyFill="1" applyBorder="1" applyNumberFormat="1">
      <alignment horizontal="center" vertical="center" wrapText="1"/>
    </xf>
    <xf numFmtId="0" fontId="0" fillId="0" borderId="12" xfId="0" applyFont="1" applyBorder="1" applyNumberFormat="1">
      <alignment vertical="center" wrapText="1"/>
    </xf>
    <xf numFmtId="0" fontId="0" fillId="0" borderId="12" xfId="0" applyFont="1" applyBorder="1" applyNumberFormat="1">
      <alignment horizontal="center" vertical="center" wrapText="1"/>
    </xf>
    <xf numFmtId="0" fontId="22" fillId="0" borderId="12" xfId="0" applyFont="1" applyBorder="1" applyNumberFormat="1">
      <alignment vertical="center" wrapText="1"/>
    </xf>
    <xf numFmtId="0" fontId="0" fillId="0" borderId="12" xfId="0" applyFont="1" applyBorder="1" applyNumberFormat="1">
      <alignment horizontal="left" vertical="center" wrapText="1" indent="1"/>
    </xf>
    <xf numFmtId="0" fontId="0" fillId="39" borderId="12" xfId="0" applyFont="1" applyFill="1" applyBorder="1" applyNumberFormat="1">
      <alignment horizontal="left" vertical="center" wrapText="1" indent="2"/>
      <protection locked="0"/>
    </xf>
    <xf numFmtId="49" fontId="53" fillId="39" borderId="12" xfId="0" applyFont="1" applyFill="1" applyBorder="1" applyNumberFormat="1">
      <alignment horizontal="left" vertical="center" wrapText="1"/>
      <protection locked="0"/>
    </xf>
    <xf numFmtId="0" fontId="22" fillId="37" borderId="14" xfId="0" applyFont="1" applyFill="1" applyBorder="1" applyNumberFormat="1">
      <alignment vertical="center" wrapText="1"/>
    </xf>
    <xf numFmtId="49" fontId="40" fillId="37" borderId="15" xfId="0" applyFont="1" applyFill="1" applyBorder="1" applyNumberFormat="1">
      <alignment horizontal="left" vertical="center" indent="2"/>
    </xf>
    <xf numFmtId="49" fontId="44" fillId="37" borderId="13" xfId="0" applyFont="1" applyFill="1" applyBorder="1" applyNumberFormat="1">
      <alignment horizontal="center" vertical="top"/>
    </xf>
    <xf numFmtId="0" fontId="47" fillId="0" borderId="0" xfId="0" applyFont="1" applyNumberFormat="1">
      <alignment vertical="center" wrapText="1"/>
    </xf>
    <xf numFmtId="0" fontId="39" fillId="35" borderId="0" xfId="0" applyFont="1" applyFill="1" applyNumberFormat="1">
      <alignment vertical="center" wrapText="1"/>
    </xf>
    <xf numFmtId="49" fontId="44" fillId="37" borderId="15" xfId="0" applyFont="1" applyFill="1" applyBorder="1" applyNumberFormat="1">
      <alignment horizontal="center" vertical="top"/>
    </xf>
    <xf numFmtId="0" fontId="48" fillId="0" borderId="0" xfId="0" applyFont="1" applyNumberFormat="1">
      <alignment vertical="center"/>
    </xf>
    <xf numFmtId="0" fontId="22" fillId="0" borderId="0" xfId="0" applyFont="1" applyNumberFormat="1">
      <alignment vertical="center" wrapText="1"/>
    </xf>
    <xf numFmtId="49" fontId="0" fillId="35" borderId="12" xfId="0" applyFont="1" applyFill="1" applyBorder="1" applyNumberFormat="1">
      <alignment horizontal="center" vertical="center" wrapText="1"/>
    </xf>
    <xf numFmtId="0" fontId="0" fillId="0" borderId="12" xfId="0" applyFont="1" applyBorder="1" applyNumberFormat="1">
      <alignment horizontal="left" vertical="center" wrapText="1" indent="1"/>
    </xf>
    <xf numFmtId="0" fontId="0" fillId="35" borderId="12" xfId="0" applyFont="1" applyFill="1" applyBorder="1" applyNumberFormat="1">
      <alignment horizontal="center" vertical="center" wrapText="1"/>
    </xf>
    <xf numFmtId="0" fontId="0" fillId="0" borderId="12" xfId="0" applyFont="1" applyBorder="1" applyNumberFormat="1">
      <alignment horizontal="left" vertical="center" wrapText="1" indent="1"/>
    </xf>
    <xf numFmtId="49" fontId="67" fillId="0" borderId="12" xfId="0" applyFont="1" applyBorder="1" applyNumberFormat="1">
      <alignment horizontal="center" vertical="center" wrapText="1"/>
    </xf>
    <xf numFmtId="0" fontId="67" fillId="0" borderId="12" xfId="0" applyFont="1" applyBorder="1" applyNumberFormat="1">
      <alignment horizontal="left" vertical="center" wrapText="1" indent="2"/>
    </xf>
    <xf numFmtId="49" fontId="70" fillId="0" borderId="14" xfId="0" applyFont="1" applyBorder="1" applyNumberFormat="1">
      <alignment horizontal="left" vertical="center" wrapText="1"/>
    </xf>
    <xf numFmtId="0" fontId="22" fillId="0" borderId="17" xfId="0" applyFont="1" applyBorder="1" applyNumberFormat="1">
      <alignment vertical="top" wrapText="1"/>
    </xf>
    <xf numFmtId="49" fontId="40" fillId="37" borderId="15" xfId="0" applyFont="1" applyFill="1" applyBorder="1" applyNumberFormat="1">
      <alignment horizontal="left" vertical="center" indent="1"/>
    </xf>
    <xf numFmtId="0" fontId="22" fillId="0" borderId="23" xfId="0" applyFont="1" applyBorder="1" applyNumberFormat="1">
      <alignment vertical="top" wrapText="1"/>
    </xf>
    <xf numFmtId="49" fontId="0" fillId="35" borderId="12" xfId="0" applyFont="1" applyFill="1" applyBorder="1" applyNumberFormat="1">
      <alignment horizontal="center" vertical="center" wrapText="1"/>
    </xf>
    <xf numFmtId="0" fontId="0" fillId="0" borderId="12" xfId="0" applyFont="1" applyBorder="1" applyNumberFormat="1">
      <alignment horizontal="center" vertical="center" wrapText="1"/>
    </xf>
    <xf numFmtId="0" fontId="22" fillId="0" borderId="12" xfId="0" applyFont="1" applyBorder="1" applyNumberFormat="1">
      <alignment vertical="center" wrapText="1"/>
    </xf>
    <xf numFmtId="0" fontId="0" fillId="0" borderId="12" xfId="0" applyFont="1" applyBorder="1" applyNumberFormat="1">
      <alignment horizontal="left" vertical="center" wrapText="1" indent="1"/>
    </xf>
    <xf numFmtId="0" fontId="22" fillId="0" borderId="0" xfId="0" applyFont="1" applyNumberFormat="1">
      <alignment vertical="top" wrapText="1"/>
    </xf>
    <xf numFmtId="49" fontId="22" fillId="0" borderId="0" xfId="0" applyFont="1" applyNumberFormat="1">
      <alignment vertical="center" wrapText="1"/>
    </xf>
    <xf numFmtId="0" fontId="39" fillId="0" borderId="0" xfId="0" applyFont="1" applyNumberFormat="1">
      <alignment vertical="center" wrapText="1"/>
    </xf>
    <xf numFmtId="49" fontId="47" fillId="0" borderId="0" xfId="0" applyFont="1" applyNumberFormat="1">
      <alignment vertical="top"/>
    </xf>
    <xf numFmtId="0" fontId="0" fillId="39" borderId="12" xfId="0" applyFont="1" applyFill="1" applyBorder="1" applyNumberFormat="1">
      <alignment horizontal="left" vertical="center" wrapText="1" indent="1"/>
      <protection locked="0"/>
    </xf>
    <xf numFmtId="49" fontId="53" fillId="39" borderId="12" xfId="0" applyFont="1" applyFill="1" applyBorder="1" applyNumberFormat="1">
      <alignment horizontal="left" vertical="center" wrapText="1"/>
      <protection locked="0"/>
    </xf>
    <xf numFmtId="0" fontId="0" fillId="0" borderId="12" xfId="0" applyFont="1" applyBorder="1" applyNumberFormat="1">
      <alignment horizontal="left" vertical="center" wrapText="1" indent="1"/>
    </xf>
    <xf numFmtId="0" fontId="0" fillId="39" borderId="12" xfId="0" applyFont="1" applyFill="1" applyBorder="1" applyNumberFormat="1">
      <alignment horizontal="left" vertical="center" wrapText="1"/>
      <protection locked="0"/>
    </xf>
    <xf numFmtId="0" fontId="0" fillId="0" borderId="12" xfId="0" applyFont="1" applyBorder="1" applyNumberFormat="1">
      <alignment horizontal="left" vertical="center" wrapText="1" indent="2"/>
    </xf>
    <xf numFmtId="49" fontId="22" fillId="40" borderId="12" xfId="0" applyFont="1" applyFill="1" applyBorder="1" applyNumberFormat="1">
      <alignment horizontal="left" vertical="center" wrapText="1"/>
    </xf>
    <xf numFmtId="0" fontId="0" fillId="0" borderId="12" xfId="0" applyFont="1" applyBorder="1" applyNumberFormat="1">
      <alignment horizontal="left" vertical="center" wrapText="1"/>
    </xf>
    <xf numFmtId="504" fontId="0" fillId="39" borderId="12" xfId="0" applyFont="1" applyFill="1" applyBorder="1" applyNumberFormat="1">
      <alignment horizontal="left" vertical="center" wrapText="1"/>
      <protection locked="0"/>
    </xf>
    <xf numFmtId="0" fontId="22" fillId="0" borderId="12" xfId="0" applyFont="1" applyBorder="1" applyNumberFormat="1">
      <alignment horizontal="left" vertical="top" wrapText="1"/>
    </xf>
    <xf numFmtId="0" fontId="0" fillId="0" borderId="12" xfId="0" applyFont="1" applyBorder="1" applyNumberFormat="1">
      <alignment horizontal="left" vertical="center" wrapText="1"/>
    </xf>
    <xf numFmtId="0" fontId="22" fillId="0" borderId="12" xfId="0" applyFont="1" applyBorder="1" applyNumberFormat="1">
      <alignment horizontal="left" vertical="center" wrapText="1"/>
    </xf>
    <xf numFmtId="0" fontId="0" fillId="0" borderId="12" xfId="0" applyFont="1" applyBorder="1" applyNumberFormat="1">
      <alignment horizontal="left" vertical="center" wrapText="1"/>
    </xf>
    <xf numFmtId="0" fontId="22" fillId="0" borderId="12" xfId="0" applyFont="1" applyBorder="1" applyNumberFormat="1">
      <alignment vertical="top" wrapText="1"/>
    </xf>
    <xf numFmtId="49" fontId="40" fillId="37" borderId="15" xfId="0" applyFont="1" applyFill="1" applyBorder="1" applyNumberFormat="1">
      <alignment horizontal="left" vertical="center" indent="2"/>
    </xf>
    <xf numFmtId="49" fontId="40" fillId="37" borderId="15" xfId="0" applyFont="1" applyFill="1" applyBorder="1" applyNumberFormat="1">
      <alignment horizontal="left" vertical="center" indent="3"/>
    </xf>
    <xf numFmtId="49" fontId="22" fillId="40" borderId="12" xfId="0" applyFont="1" applyFill="1" applyBorder="1" applyNumberFormat="1">
      <alignment horizontal="left" vertical="center" wrapText="1"/>
    </xf>
    <xf numFmtId="49" fontId="22" fillId="0" borderId="0" xfId="0" applyFont="1" applyNumberFormat="1">
      <alignment vertical="top"/>
    </xf>
    <xf numFmtId="49" fontId="48" fillId="0" borderId="0" xfId="0" applyFont="1" applyNumberFormat="1">
      <alignment vertical="top"/>
    </xf>
    <xf numFmtId="49" fontId="22" fillId="0" borderId="0" xfId="0" applyFont="1" applyNumberFormat="1">
      <alignment vertical="top"/>
    </xf>
    <xf numFmtId="49" fontId="22" fillId="0" borderId="0" xfId="0" applyFont="1" applyNumberFormat="1">
      <alignment vertical="top" wrapText="1"/>
    </xf>
    <xf numFmtId="49" fontId="22" fillId="0" borderId="0" xfId="0" applyFont="1" applyNumberFormat="1">
      <alignment vertical="top"/>
    </xf>
    <xf numFmtId="0" fontId="0" fillId="0" borderId="13" xfId="0" applyFont="1" applyBorder="1" applyNumberFormat="1">
      <alignment horizontal="center" vertical="center" wrapText="1"/>
    </xf>
    <xf numFmtId="504" fontId="0" fillId="39" borderId="13" xfId="0" applyFont="1" applyFill="1" applyBorder="1" applyNumberFormat="1">
      <alignment horizontal="left" vertical="center" wrapText="1"/>
      <protection locked="0"/>
    </xf>
    <xf numFmtId="504" fontId="0" fillId="39" borderId="14" xfId="0" applyFont="1" applyFill="1" applyBorder="1" applyNumberFormat="1">
      <alignment horizontal="left" vertical="center" wrapText="1"/>
      <protection locked="0"/>
    </xf>
    <xf numFmtId="0" fontId="22" fillId="40" borderId="12" xfId="0" applyFont="1" applyFill="1" applyBorder="1" applyNumberFormat="1">
      <alignment horizontal="left" vertical="center" wrapText="1"/>
    </xf>
    <xf numFmtId="0" fontId="0" fillId="0" borderId="36" xfId="0" applyFont="1" applyBorder="1" applyNumberFormat="1">
      <alignment horizontal="center" vertical="center" wrapText="1"/>
    </xf>
    <xf numFmtId="0" fontId="0" fillId="0" borderId="13" xfId="0" applyFont="1" applyBorder="1" applyNumberFormat="1">
      <alignment horizontal="center" vertical="center" wrapText="1"/>
    </xf>
    <xf numFmtId="0" fontId="22" fillId="0" borderId="0" xfId="0" applyFont="1" applyNumberFormat="1">
      <alignment horizontal="left" vertical="center" wrapText="1" indent="1"/>
    </xf>
    <xf numFmtId="0" fontId="22" fillId="0" borderId="0" xfId="0" applyFont="1" applyNumberFormat="1">
      <alignment vertical="center" wrapText="1"/>
    </xf>
    <xf numFmtId="0" fontId="0" fillId="0" borderId="12" xfId="0" applyFont="1" applyBorder="1" applyNumberFormat="1">
      <alignment horizontal="center" vertical="center" wrapText="1"/>
    </xf>
    <xf numFmtId="0" fontId="22" fillId="0" borderId="15" xfId="0" applyFont="1" applyBorder="1" applyNumberFormat="1">
      <alignment horizontal="left" vertical="top" wrapText="1" indent="1"/>
    </xf>
    <xf numFmtId="0" fontId="46" fillId="0" borderId="0" xfId="0" applyFont="1" applyNumberFormat="1">
      <alignment vertical="center" wrapText="1"/>
    </xf>
    <xf numFmtId="0" fontId="0" fillId="35" borderId="14" xfId="0" applyFont="1" applyFill="1" applyBorder="1" applyNumberFormat="1">
      <alignment horizontal="right" vertical="center" wrapText="1" indent="1"/>
    </xf>
    <xf numFmtId="0" fontId="71" fillId="0" borderId="0" xfId="0" applyFont="1" applyNumberFormat="1">
      <alignment vertical="center" wrapText="1"/>
    </xf>
    <xf numFmtId="49" fontId="36" fillId="35" borderId="0" xfId="0" applyFont="1" applyFill="1" applyNumberFormat="1">
      <alignment horizontal="center" vertical="center" wrapText="1"/>
    </xf>
    <xf numFmtId="49" fontId="36" fillId="35" borderId="19" xfId="0" applyFont="1" applyFill="1" applyBorder="1" applyNumberFormat="1">
      <alignment horizontal="center" vertical="center" wrapText="1"/>
    </xf>
    <xf numFmtId="49" fontId="0" fillId="35" borderId="17" xfId="0" applyFont="1" applyFill="1" applyBorder="1" applyNumberFormat="1">
      <alignment horizontal="center" vertical="center" wrapText="1"/>
    </xf>
    <xf numFmtId="0" fontId="0" fillId="0" borderId="17" xfId="0" applyFont="1" applyBorder="1" applyNumberFormat="1">
      <alignment horizontal="left" vertical="center" wrapText="1"/>
    </xf>
    <xf numFmtId="0" fontId="0" fillId="0" borderId="17" xfId="0" applyFont="1" applyBorder="1" applyNumberFormat="1">
      <alignment horizontal="left" vertical="center" wrapText="1"/>
    </xf>
    <xf numFmtId="0" fontId="22" fillId="0" borderId="12" xfId="0" applyFont="1" applyBorder="1" applyNumberFormat="1">
      <alignment horizontal="left" vertical="center" wrapText="1"/>
    </xf>
    <xf numFmtId="0" fontId="39" fillId="35" borderId="0" xfId="0" applyFont="1" applyFill="1" applyNumberFormat="1">
      <alignment horizontal="center" vertical="top" wrapText="1"/>
    </xf>
    <xf numFmtId="0" fontId="0" fillId="34" borderId="14" xfId="0" applyFont="1" applyFill="1" applyBorder="1" applyNumberFormat="1">
      <alignment horizontal="left" vertical="center" wrapText="1" indent="1"/>
    </xf>
    <xf numFmtId="0" fontId="0" fillId="0" borderId="13" xfId="0" applyFont="1" applyBorder="1" applyNumberFormat="1">
      <alignment horizontal="center" vertical="center" wrapText="1"/>
    </xf>
    <xf numFmtId="0" fontId="0" fillId="0" borderId="13" xfId="0" applyFont="1" applyBorder="1" applyNumberFormat="1">
      <alignment horizontal="center" vertical="center" wrapText="1"/>
    </xf>
    <xf numFmtId="49" fontId="40" fillId="37" borderId="27" xfId="0" applyFont="1" applyFill="1" applyBorder="1" applyNumberFormat="1">
      <alignment horizontal="left" vertical="center" indent="2"/>
    </xf>
    <xf numFmtId="49" fontId="40" fillId="37" borderId="15" xfId="0" applyFont="1" applyFill="1" applyBorder="1" applyNumberFormat="1">
      <alignment horizontal="left" vertical="center"/>
    </xf>
    <xf numFmtId="0" fontId="39" fillId="35" borderId="24" xfId="0" applyFont="1" applyFill="1" applyBorder="1" applyNumberFormat="1">
      <alignment horizontal="center" vertical="top" wrapText="1"/>
    </xf>
    <xf numFmtId="49" fontId="0" fillId="35" borderId="23" xfId="0" applyFont="1" applyFill="1" applyBorder="1" applyNumberFormat="1">
      <alignment horizontal="center" vertical="center" wrapText="1"/>
    </xf>
    <xf numFmtId="0" fontId="0" fillId="34" borderId="23" xfId="0" applyFont="1" applyFill="1" applyBorder="1" applyNumberFormat="1">
      <alignment horizontal="left" vertical="center" wrapText="1" indent="1"/>
    </xf>
    <xf numFmtId="504" fontId="0" fillId="39" borderId="13" xfId="0" applyFont="1" applyFill="1" applyBorder="1" applyNumberFormat="1">
      <alignment horizontal="left" vertical="center" wrapText="1"/>
      <protection locked="0"/>
    </xf>
    <xf numFmtId="504" fontId="0" fillId="39" borderId="14" xfId="0" applyFont="1" applyFill="1" applyBorder="1" applyNumberFormat="1">
      <alignment horizontal="left" vertical="center" wrapText="1"/>
      <protection locked="0"/>
    </xf>
    <xf numFmtId="0" fontId="0" fillId="0" borderId="13" xfId="0" applyFont="1" applyBorder="1" applyNumberFormat="1">
      <alignment horizontal="center" vertical="center" wrapText="1"/>
    </xf>
    <xf numFmtId="49" fontId="0" fillId="35" borderId="14" xfId="0" applyFont="1" applyFill="1" applyBorder="1" applyNumberFormat="1">
      <alignment horizontal="center" vertical="center" wrapText="1"/>
    </xf>
    <xf numFmtId="49" fontId="27" fillId="39" borderId="12" xfId="0" applyFont="1" applyFill="1" applyBorder="1" applyNumberFormat="1">
      <alignment horizontal="left" vertical="center" wrapText="1"/>
      <protection locked="0"/>
    </xf>
    <xf numFmtId="0" fontId="22" fillId="0" borderId="36" xfId="0" applyFont="1" applyBorder="1" applyNumberFormat="1">
      <alignment horizontal="left" vertical="top" wrapText="1"/>
    </xf>
    <xf numFmtId="49" fontId="22" fillId="0" borderId="0" xfId="0" applyFont="1" applyNumberFormat="1">
      <alignment vertical="top"/>
    </xf>
    <xf numFmtId="49" fontId="22" fillId="0" borderId="19" xfId="0" applyFont="1" applyBorder="1" applyNumberFormat="1">
      <alignment vertical="top"/>
    </xf>
    <xf numFmtId="0" fontId="46" fillId="0" borderId="0" xfId="0" applyFont="1" applyNumberFormat="1">
      <alignment horizontal="right" vertical="top" wrapText="1"/>
    </xf>
    <xf numFmtId="49" fontId="22" fillId="0" borderId="0" xfId="0" applyFont="1" applyNumberFormat="1">
      <alignment vertical="top"/>
    </xf>
    <xf numFmtId="0" fontId="22" fillId="35" borderId="12" xfId="0" applyFont="1" applyFill="1" applyBorder="1" applyNumberFormat="1">
      <alignment horizontal="center" vertical="center" wrapText="1"/>
    </xf>
    <xf numFmtId="49" fontId="27" fillId="39" borderId="12" xfId="0" applyFont="1" applyFill="1" applyBorder="1" applyNumberFormat="1">
      <alignment horizontal="left" vertical="center" wrapText="1"/>
      <protection locked="0"/>
    </xf>
    <xf numFmtId="0" fontId="37" fillId="35" borderId="0" xfId="0" applyFont="1" applyFill="1" applyNumberFormat="1">
      <alignment horizontal="center" vertical="center" wrapText="1"/>
    </xf>
    <xf numFmtId="0" fontId="0" fillId="0" borderId="12" xfId="0" applyFont="1" applyBorder="1" applyNumberFormat="1">
      <alignment horizontal="left" vertical="center" wrapText="1"/>
    </xf>
    <xf numFmtId="0" fontId="22" fillId="0" borderId="19" xfId="0" applyFont="1" applyBorder="1" applyNumberFormat="1">
      <alignment vertical="center" wrapText="1"/>
    </xf>
    <xf numFmtId="0" fontId="22" fillId="0" borderId="19" xfId="0" applyFont="1" applyBorder="1" applyNumberFormat="1">
      <alignment horizontal="left" vertical="top" wrapText="1"/>
    </xf>
    <xf numFmtId="49" fontId="22" fillId="0" borderId="0" xfId="0" applyFont="1" applyNumberFormat="1">
      <alignment vertical="center" wrapText="1"/>
    </xf>
    <xf numFmtId="0" fontId="83" fillId="0" borderId="0" xfId="0" applyFont="1" applyNumberFormat="1">
      <alignment vertical="center" wrapText="1"/>
    </xf>
    <xf numFmtId="0" fontId="22" fillId="0" borderId="12" xfId="0" applyFont="1" applyBorder="1" applyNumberFormat="1">
      <alignment horizontal="center" vertical="center" wrapText="1"/>
    </xf>
    <xf numFmtId="0" fontId="22" fillId="0" borderId="12" xfId="0" applyFont="1" applyBorder="1" applyNumberFormat="1">
      <alignment horizontal="left" vertical="center" wrapText="1"/>
    </xf>
    <xf numFmtId="3" fontId="22" fillId="0" borderId="14" xfId="0" applyFont="1" applyBorder="1" applyNumberFormat="1">
      <alignment vertical="center" wrapText="1"/>
    </xf>
    <xf numFmtId="0" fontId="22" fillId="0" borderId="12" xfId="0" applyFont="1" applyBorder="1" applyNumberFormat="1">
      <alignment horizontal="center" vertical="center" wrapText="1"/>
    </xf>
    <xf numFmtId="0" fontId="22" fillId="0" borderId="17" xfId="0" applyFont="1" applyBorder="1" applyNumberFormat="1">
      <alignment horizontal="center" vertical="center" wrapText="1"/>
    </xf>
    <xf numFmtId="0" fontId="22" fillId="0" borderId="17" xfId="0" applyFont="1" applyBorder="1" applyNumberFormat="1">
      <alignment horizontal="center" vertical="center" wrapText="1"/>
    </xf>
    <xf numFmtId="0" fontId="22" fillId="0" borderId="12" xfId="0" applyFont="1" applyBorder="1" applyNumberFormat="1">
      <alignment horizontal="left" vertical="center" wrapText="1" indent="1"/>
    </xf>
    <xf numFmtId="49" fontId="22" fillId="0" borderId="12" xfId="0" applyFont="1" applyBorder="1" applyNumberFormat="1">
      <alignment horizontal="center" vertical="center" wrapText="1"/>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53" fillId="0" borderId="0" xfId="0" applyFont="1" applyNumberFormat="1">
      <alignment vertical="center" wrapText="1"/>
    </xf>
    <xf numFmtId="49" fontId="22" fillId="0" borderId="0" xfId="0" applyFont="1" applyNumberFormat="1">
      <alignment horizontal="center" vertical="top"/>
    </xf>
    <xf numFmtId="49" fontId="32" fillId="47" borderId="0" xfId="0" applyFont="1" applyFill="1" applyNumberFormat="1">
      <alignment horizontal="center" vertical="center"/>
    </xf>
    <xf numFmtId="49" fontId="22" fillId="0" borderId="12" xfId="0" applyFont="1" applyBorder="1" applyNumberFormat="1">
      <alignment horizontal="center" vertical="top"/>
    </xf>
    <xf numFmtId="49" fontId="47" fillId="47" borderId="0" xfId="0" applyFont="1" applyFill="1" applyNumberFormat="1">
      <alignment horizontal="center" vertical="center" wrapText="1"/>
    </xf>
    <xf numFmtId="0" fontId="0" fillId="49" borderId="12" xfId="0" applyFont="1" applyFill="1" applyBorder="1" applyNumberFormat="1">
      <alignment horizontal="center" vertical="center"/>
    </xf>
    <xf numFmtId="49" fontId="0" fillId="0" borderId="0" xfId="0" applyFont="1" applyNumberFormat="1">
      <alignment vertical="center"/>
    </xf>
    <xf numFmtId="49" fontId="47" fillId="47" borderId="12" xfId="0" applyFont="1" applyFill="1" applyBorder="1" applyNumberFormat="1">
      <alignment horizontal="center" vertical="center"/>
    </xf>
    <xf numFmtId="49" fontId="47"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vertical="top"/>
    </xf>
    <xf numFmtId="0" fontId="22" fillId="0" borderId="12" xfId="0" applyFont="1" applyBorder="1" applyNumberFormat="1">
      <alignment vertical="center"/>
    </xf>
    <xf numFmtId="0" fontId="0" fillId="0" borderId="12" xfId="0" applyFont="1" applyBorder="1" applyNumberFormat="1">
      <alignment vertical="center"/>
    </xf>
    <xf numFmtId="0" fontId="0" fillId="0" borderId="12" xfId="0" applyFont="1" applyBorder="1" applyNumberFormat="1">
      <alignment vertical="center"/>
    </xf>
    <xf numFmtId="0" fontId="0" fillId="0" borderId="14" xfId="0" applyFont="1" applyBorder="1" applyNumberFormat="1">
      <alignment vertical="center"/>
    </xf>
    <xf numFmtId="0" fontId="0" fillId="0" borderId="14" xfId="0" applyFont="1" applyBorder="1" applyNumberFormat="1">
      <alignment vertical="center"/>
    </xf>
    <xf numFmtId="0" fontId="22" fillId="0" borderId="14" xfId="0" applyFont="1" applyBorder="1" applyNumberFormat="1">
      <alignment horizontal="left" vertical="center"/>
    </xf>
    <xf numFmtId="49" fontId="22" fillId="0" borderId="44" xfId="0" applyFont="1" applyBorder="1" applyNumberFormat="1">
      <alignment vertical="center"/>
    </xf>
    <xf numFmtId="49" fontId="22" fillId="0" borderId="45" xfId="0" applyFont="1" applyBorder="1" applyNumberFormat="1">
      <alignment vertical="top"/>
    </xf>
    <xf numFmtId="49" fontId="22" fillId="0" borderId="16" xfId="0" applyFont="1" applyBorder="1" applyNumberFormat="1">
      <alignment vertical="top"/>
    </xf>
    <xf numFmtId="0" fontId="0" fillId="0" borderId="13" xfId="0" applyFont="1" applyBorder="1" applyNumberFormat="1">
      <alignment vertical="center"/>
    </xf>
    <xf numFmtId="0" fontId="0" fillId="0" borderId="12" xfId="0" applyFont="1" applyBorder="1" applyNumberFormat="1">
      <alignment horizontal="right" vertical="top"/>
    </xf>
    <xf numFmtId="0" fontId="0" fillId="0" borderId="12" xfId="0" applyFont="1" applyBorder="1" applyNumberFormat="1">
      <alignment vertical="top"/>
    </xf>
    <xf numFmtId="0" fontId="22" fillId="0" borderId="13" xfId="0" applyFont="1" applyBorder="1" applyNumberFormat="1">
      <alignment vertical="center"/>
    </xf>
    <xf numFmtId="49" fontId="22" fillId="0" borderId="12" xfId="0" applyFont="1" applyBorder="1" applyNumberFormat="1">
      <alignment vertical="center"/>
    </xf>
    <xf numFmtId="0" fontId="0" fillId="0" borderId="0" xfId="0" applyFont="1" applyNumberFormat="1">
      <alignment vertical="top"/>
    </xf>
    <xf numFmtId="0" fontId="22" fillId="0" borderId="12" xfId="0" applyFont="1" applyBorder="1" applyNumberFormat="1">
      <alignment vertical="top"/>
    </xf>
    <xf numFmtId="0" fontId="0" fillId="48" borderId="0" xfId="0" applyFont="1" applyFill="1" applyNumberFormat="1">
      <alignment horizontal="right" vertical="center"/>
    </xf>
    <xf numFmtId="49" fontId="32" fillId="0" borderId="0" xfId="0" applyFont="1" applyNumberFormat="1">
      <alignment horizontal="center" vertical="center"/>
    </xf>
    <xf numFmtId="49" fontId="0" fillId="0" borderId="0" xfId="0" applyFont="1" applyNumberFormat="1">
      <alignment vertical="top"/>
    </xf>
    <xf numFmtId="49" fontId="32" fillId="47" borderId="0" xfId="0" applyFont="1" applyFill="1" applyNumberFormat="1">
      <alignment horizontal="center" vertical="center"/>
    </xf>
    <xf numFmtId="0" fontId="22" fillId="0" borderId="0" xfId="0" applyFont="1" applyNumberFormat="1">
      <alignment vertical="center"/>
    </xf>
    <xf numFmtId="0" fontId="0" fillId="48" borderId="0" xfId="0" applyFont="1" applyFill="1" applyNumberFormat="1">
      <alignment horizontal="left" vertical="center"/>
    </xf>
    <xf numFmtId="0" fontId="0" fillId="0" borderId="0" xfId="0" applyFont="1" applyNumberFormat="1">
      <alignment horizontal="right" vertical="top"/>
    </xf>
    <xf numFmtId="0" fontId="0" fillId="0" borderId="0" xfId="0" applyFont="1" applyNumberFormat="1">
      <alignment vertical="top"/>
    </xf>
    <xf numFmtId="0" fontId="0" fillId="0" borderId="0" xfId="0" applyFont="1" applyNumberFormat="1">
      <alignment vertical="top"/>
    </xf>
    <xf numFmtId="0" fontId="0" fillId="0" borderId="0" xfId="0" applyFont="1" applyNumberFormat="1">
      <alignment horizontal="right" vertical="top"/>
    </xf>
    <xf numFmtId="0" fontId="0" fillId="0" borderId="0" xfId="0" applyFont="1" applyNumberFormat="1">
      <alignment vertical="top"/>
    </xf>
    <xf numFmtId="49" fontId="22" fillId="0" borderId="14" xfId="0" applyFont="1" applyBorder="1" applyNumberFormat="1">
      <alignment vertical="top"/>
    </xf>
    <xf numFmtId="0" fontId="0" fillId="48" borderId="0" xfId="0" applyFont="1" applyFill="1" applyNumberFormat="1">
      <alignment horizontal="right" vertical="center"/>
    </xf>
    <xf numFmtId="0" fontId="0" fillId="0" borderId="0" xfId="0" applyFont="1" applyNumberFormat="1">
      <alignment horizontal="left" vertical="center"/>
    </xf>
    <xf numFmtId="0" fontId="0" fillId="48" borderId="0" xfId="0" applyFont="1" applyFill="1" applyNumberFormat="1">
      <alignment horizontal="right" vertical="center"/>
    </xf>
    <xf numFmtId="0" fontId="0" fillId="48" borderId="0" xfId="0" applyFont="1" applyFill="1" applyNumberFormat="1">
      <alignment horizontal="left" vertical="center"/>
    </xf>
    <xf numFmtId="0" fontId="54" fillId="48" borderId="0" xfId="0" applyFont="1" applyFill="1" applyNumberFormat="1">
      <alignment horizontal="left" vertical="center"/>
    </xf>
    <xf numFmtId="0" fontId="0" fillId="0" borderId="0" xfId="0" applyFont="1" applyNumberFormat="1">
      <alignment vertical="center"/>
    </xf>
    <xf numFmtId="0" fontId="22" fillId="0" borderId="0" xfId="0" applyFont="1" applyNumberFormat="1">
      <alignment vertical="top"/>
    </xf>
    <xf numFmtId="0" fontId="54" fillId="0" borderId="0" xfId="0" applyFont="1" applyNumberFormat="1">
      <alignment horizontal="left" vertical="center"/>
    </xf>
    <xf numFmtId="49" fontId="0" fillId="0" borderId="14" xfId="0" applyFont="1" applyBorder="1" applyNumberFormat="1">
      <alignment vertical="top"/>
    </xf>
    <xf numFmtId="49" fontId="22" fillId="0" borderId="12" xfId="0" applyFont="1" applyBorder="1" applyNumberFormat="1">
      <alignment horizontal="right" vertical="top"/>
    </xf>
    <xf numFmtId="0" fontId="0" fillId="0" borderId="14" xfId="0" applyFont="1" applyBorder="1" applyNumberFormat="1">
      <alignment horizontal="left" vertical="center"/>
    </xf>
    <xf numFmtId="0" fontId="54" fillId="48" borderId="0" xfId="0" applyFont="1" applyFill="1" applyNumberFormat="1">
      <alignment horizontal="left" vertical="center"/>
    </xf>
    <xf numFmtId="49" fontId="22" fillId="0" borderId="17" xfId="0" applyFont="1" applyBorder="1" applyNumberFormat="1">
      <alignment horizontal="right" vertical="top"/>
    </xf>
    <xf numFmtId="0" fontId="0" fillId="0" borderId="17" xfId="0" applyFont="1" applyBorder="1" applyNumberFormat="1">
      <alignment vertical="top"/>
    </xf>
    <xf numFmtId="0" fontId="22" fillId="0" borderId="17" xfId="0" applyFont="1" applyBorder="1" applyNumberFormat="1">
      <alignment vertical="center"/>
    </xf>
    <xf numFmtId="49" fontId="22" fillId="0" borderId="31" xfId="0" applyFont="1" applyBorder="1" applyNumberFormat="1">
      <alignment horizontal="center" vertical="center"/>
    </xf>
    <xf numFmtId="49" fontId="22" fillId="0" borderId="12" xfId="0" applyFont="1" applyBorder="1" applyNumberFormat="1">
      <alignment horizontal="right" vertical="center"/>
    </xf>
    <xf numFmtId="49" fontId="22" fillId="0" borderId="12" xfId="0" applyFont="1" applyBorder="1" applyNumberFormat="1">
      <alignment vertical="top"/>
    </xf>
    <xf numFmtId="49" fontId="0" fillId="0" borderId="0" xfId="0" applyFont="1" applyNumberFormat="1">
      <alignment vertical="center"/>
    </xf>
    <xf numFmtId="0" fontId="22" fillId="48" borderId="0" xfId="0" applyFont="1" applyFill="1" applyNumberFormat="1">
      <alignment horizontal="left" vertical="center"/>
    </xf>
    <xf numFmtId="0" fontId="0" fillId="48" borderId="10" xfId="0" applyFont="1" applyFill="1" applyBorder="1" applyNumberFormat="1">
      <alignment horizontal="center"/>
    </xf>
    <xf numFmtId="49" fontId="104" fillId="0" borderId="16" xfId="0" applyFont="1" applyBorder="1" applyNumberFormat="1">
      <alignment vertical="top"/>
    </xf>
    <xf numFmtId="49" fontId="0" fillId="0" borderId="0" xfId="0" applyFont="1" applyNumberFormat="1">
      <alignment vertical="center"/>
    </xf>
    <xf numFmtId="49" fontId="45" fillId="54" borderId="0" xfId="0" applyFont="1" applyFill="1" applyNumberFormat="1">
      <alignment vertical="center" wrapText="1"/>
    </xf>
    <xf numFmtId="0" fontId="0" fillId="0" borderId="10" xfId="0" applyFont="1" applyBorder="1" applyNumberFormat="1">
      <alignment horizontal="center"/>
    </xf>
    <xf numFmtId="49" fontId="32" fillId="47" borderId="0" xfId="0" applyFont="1" applyFill="1" applyNumberFormat="1">
      <alignment horizontal="center" vertical="center" wrapText="1"/>
    </xf>
    <xf numFmtId="49" fontId="22" fillId="48" borderId="0" xfId="0" applyFont="1" applyFill="1" applyNumberFormat="1">
      <alignment horizontal="center" vertical="center"/>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pplyNumberFormat="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pplyNumberFormat="1">
      <alignment horizontal="center" vertical="center"/>
    </xf>
    <xf numFmtId="0" fontId="102" fillId="0" borderId="46" xfId="0" applyFont="1" applyBorder="1" applyNumberFormat="1">
      <alignment horizontal="center" vertical="center"/>
    </xf>
    <xf numFmtId="0" fontId="0" fillId="0" borderId="46" xfId="0" applyFont="1" applyBorder="1" applyNumberFormat="1">
      <alignment horizontal="center" vertical="center"/>
    </xf>
    <xf numFmtId="49" fontId="32"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pplyNumberFormat="1">
      <alignment vertical="top"/>
    </xf>
    <xf numFmtId="0" fontId="0" fillId="41" borderId="12" xfId="0" applyFont="1" applyFill="1" applyBorder="1" applyNumberFormat="1">
      <alignment horizontal="right" vertical="center"/>
    </xf>
    <xf numFmtId="49" fontId="22" fillId="41" borderId="23" xfId="0" applyFont="1" applyFill="1" applyBorder="1" applyNumberFormat="1">
      <alignment vertical="top"/>
    </xf>
    <xf numFmtId="49" fontId="22" fillId="41" borderId="12" xfId="0" applyFont="1" applyFill="1" applyBorder="1" applyNumberFormat="1">
      <alignment vertical="top"/>
    </xf>
    <xf numFmtId="49" fontId="22" fillId="0" borderId="14" xfId="0" applyFont="1" applyBorder="1" applyNumberFormat="1">
      <alignment horizontal="center" vertical="top"/>
    </xf>
    <xf numFmtId="49" fontId="22" fillId="0" borderId="13" xfId="0" applyFont="1" applyBorder="1" applyNumberFormat="1">
      <alignment horizontal="center" vertical="top"/>
    </xf>
    <xf numFmtId="0" fontId="22" fillId="34" borderId="30" xfId="0" applyFont="1" applyFill="1" applyBorder="1" applyNumberFormat="1">
      <alignment horizontal="center" vertical="top"/>
    </xf>
    <xf numFmtId="0" fontId="22" fillId="34" borderId="30" xfId="0" applyFont="1" applyFill="1" applyBorder="1" applyNumberFormat="1">
      <alignment horizontal="left" vertical="top"/>
    </xf>
    <xf numFmtId="0" fontId="0" fillId="0" borderId="32" xfId="0" applyFont="1" applyBorder="1" applyNumberFormat="1">
      <alignment horizontal="center" vertical="center"/>
    </xf>
    <xf numFmtId="0" fontId="0" fillId="0" borderId="34" xfId="0" applyFont="1" applyBorder="1" applyNumberFormat="1">
      <alignment horizontal="center" vertical="center"/>
    </xf>
    <xf numFmtId="0" fontId="22" fillId="0" borderId="12" xfId="0" applyFont="1" applyBorder="1" applyNumberFormat="1">
      <alignment horizontal="left" vertical="top"/>
    </xf>
    <xf numFmtId="49" fontId="22" fillId="0" borderId="0" xfId="0" applyFont="1" applyNumberFormat="1">
      <alignment horizontal="left" vertical="top"/>
    </xf>
    <xf numFmtId="0" fontId="0" fillId="0" borderId="33" xfId="0" applyFont="1" applyBorder="1" applyNumberFormat="1">
      <alignment horizontal="center" vertical="center"/>
    </xf>
    <xf numFmtId="49" fontId="32" fillId="47" borderId="14" xfId="0" applyFont="1" applyFill="1" applyBorder="1" applyNumberFormat="1">
      <alignment horizontal="right" vertical="center"/>
    </xf>
    <xf numFmtId="49" fontId="22" fillId="0" borderId="12" xfId="0" applyFont="1" applyBorder="1" applyNumberFormat="1">
      <alignment vertical="top"/>
    </xf>
    <xf numFmtId="49" fontId="0" fillId="0" borderId="0" xfId="0" applyFont="1" applyNumberFormat="1">
      <alignment vertical="center"/>
    </xf>
    <xf numFmtId="49" fontId="0" fillId="0" borderId="0" xfId="0" applyFont="1" applyNumberFormat="1">
      <alignment vertical="top"/>
    </xf>
    <xf numFmtId="0" fontId="0" fillId="48" borderId="0" xfId="0" applyFont="1" applyFill="1" applyNumberFormat="1">
      <alignment horizontal="right" vertical="top" wrapText="1"/>
    </xf>
    <xf numFmtId="0" fontId="22" fillId="0" borderId="0" xfId="0" applyFont="1" applyNumberFormat="1">
      <alignment horizontal="left" vertical="top" wrapText="1"/>
    </xf>
    <xf numFmtId="49" fontId="0" fillId="0" borderId="0" xfId="0" applyFont="1" applyNumberFormat="1">
      <alignment vertical="center" wrapText="1"/>
    </xf>
    <xf numFmtId="49" fontId="0" fillId="0" borderId="0" xfId="0" applyFont="1" applyNumberFormat="1">
      <alignment vertical="center"/>
    </xf>
    <xf numFmtId="49" fontId="22" fillId="35" borderId="12" xfId="0" applyFont="1" applyFill="1" applyBorder="1" applyNumberFormat="1">
      <alignment horizontal="center" vertical="center"/>
    </xf>
    <xf numFmtId="49" fontId="22" fillId="39" borderId="12" xfId="0" applyFont="1" applyFill="1" applyBorder="1" applyNumberFormat="1">
      <alignment horizontal="left" vertical="center" wrapText="1"/>
      <protection locked="0"/>
    </xf>
    <xf numFmtId="0" fontId="22" fillId="39" borderId="12" xfId="0" applyFont="1" applyFill="1" applyBorder="1" applyNumberFormat="1">
      <alignment horizontal="center" vertical="center" wrapText="1"/>
      <protection locked="0"/>
    </xf>
    <xf numFmtId="0" fontId="47" fillId="35" borderId="0" xfId="0" applyFont="1" applyFill="1" applyNumberFormat="1"/>
    <xf numFmtId="49" fontId="22" fillId="35" borderId="12" xfId="0" applyFont="1" applyFill="1" applyBorder="1" applyNumberFormat="1">
      <alignment horizontal="center" vertical="center" wrapText="1"/>
    </xf>
    <xf numFmtId="0" fontId="0" fillId="35" borderId="12" xfId="0" applyFont="1" applyFill="1" applyBorder="1" applyNumberFormat="1">
      <alignment horizontal="center" vertical="center" wrapText="1"/>
    </xf>
    <xf numFmtId="0" fontId="22" fillId="34" borderId="12" xfId="0" applyFont="1" applyFill="1" applyBorder="1" applyNumberFormat="1">
      <alignment horizontal="left" vertical="center" wrapText="1"/>
    </xf>
    <xf numFmtId="0" fontId="68" fillId="35" borderId="0" xfId="0" applyFont="1" applyFill="1" applyNumberFormat="1"/>
    <xf numFmtId="0" fontId="22" fillId="35" borderId="12" xfId="0" applyFont="1" applyFill="1" applyBorder="1" applyNumberFormat="1">
      <alignment horizontal="left" vertical="center" wrapText="1"/>
    </xf>
    <xf numFmtId="0" fontId="22" fillId="0" borderId="12" xfId="0" applyFont="1" applyBorder="1" applyNumberFormat="1">
      <alignment horizontal="center" vertical="center" wrapText="1"/>
    </xf>
    <xf numFmtId="49" fontId="22" fillId="0" borderId="12" xfId="0" applyFont="1" applyBorder="1" applyNumberFormat="1">
      <alignment horizontal="center" vertical="center"/>
    </xf>
    <xf numFmtId="49" fontId="22" fillId="36" borderId="12" xfId="0" applyFont="1" applyFill="1" applyBorder="1" applyNumberFormat="1">
      <alignment horizontal="left" vertical="center" wrapText="1"/>
      <protection locked="0"/>
    </xf>
    <xf numFmtId="0" fontId="48" fillId="35" borderId="0" xfId="0" applyFont="1" applyFill="1" applyNumberFormat="1">
      <alignment horizontal="center" vertical="center" wrapText="1"/>
    </xf>
    <xf numFmtId="0" fontId="22" fillId="35" borderId="24" xfId="0" applyFont="1" applyFill="1" applyBorder="1" applyNumberFormat="1">
      <alignment horizontal="center" vertical="center" wrapText="1"/>
    </xf>
    <xf numFmtId="0" fontId="0" fillId="35" borderId="17" xfId="0" applyFont="1" applyFill="1" applyBorder="1" applyNumberFormat="1">
      <alignment horizontal="left" vertical="top" wrapText="1"/>
    </xf>
    <xf numFmtId="0" fontId="67" fillId="35" borderId="0" xfId="0" applyFont="1" applyFill="1" applyNumberFormat="1"/>
    <xf numFmtId="0" fontId="72" fillId="35" borderId="0" xfId="0" applyFont="1" applyFill="1" applyNumberFormat="1">
      <alignment vertical="center" wrapText="1"/>
    </xf>
    <xf numFmtId="0" fontId="48" fillId="35" borderId="12" xfId="0" applyFont="1" applyFill="1" applyBorder="1" applyNumberFormat="1">
      <alignment horizontal="center" vertical="center"/>
    </xf>
    <xf numFmtId="0" fontId="0" fillId="35" borderId="36" xfId="0" applyFont="1" applyFill="1" applyBorder="1" applyNumberFormat="1">
      <alignment horizontal="left" vertical="top" wrapText="1"/>
    </xf>
    <xf numFmtId="0" fontId="0" fillId="35" borderId="23" xfId="0" applyFont="1" applyFill="1" applyBorder="1" applyNumberFormat="1">
      <alignment horizontal="left" vertical="top" wrapText="1"/>
    </xf>
    <xf numFmtId="0" fontId="84" fillId="35" borderId="0" xfId="0" applyFont="1" applyFill="1" applyNumberFormat="1"/>
    <xf numFmtId="0" fontId="22" fillId="35" borderId="12" xfId="0" applyFont="1" applyFill="1" applyBorder="1" applyNumberFormat="1">
      <alignment horizontal="left" vertical="top" wrapText="1"/>
    </xf>
    <xf numFmtId="49" fontId="53" fillId="36" borderId="23" xfId="0" applyFont="1" applyFill="1" applyBorder="1" applyNumberFormat="1">
      <alignment horizontal="left" vertical="center" wrapText="1"/>
      <protection locked="0"/>
    </xf>
    <xf numFmtId="0" fontId="22" fillId="35" borderId="12" xfId="0" applyFont="1" applyFill="1" applyBorder="1" applyNumberFormat="1">
      <alignment vertical="top" wrapText="1"/>
    </xf>
    <xf numFmtId="0" fontId="22" fillId="0" borderId="12" xfId="0" applyFont="1" applyBorder="1" applyNumberFormat="1">
      <alignment horizontal="center" vertical="center" wrapText="1"/>
    </xf>
    <xf numFmtId="49" fontId="22" fillId="40" borderId="12" xfId="0" applyFont="1" applyFill="1" applyBorder="1" applyNumberFormat="1">
      <alignment horizontal="left" vertical="center" wrapText="1"/>
    </xf>
    <xf numFmtId="14" fontId="22" fillId="39" borderId="14" xfId="0" applyFont="1" applyFill="1" applyBorder="1" applyNumberFormat="1">
      <alignment horizontal="left" vertical="center" wrapText="1" indent="1"/>
      <protection locked="0"/>
    </xf>
    <xf numFmtId="0" fontId="47" fillId="0" borderId="36" xfId="0" applyFont="1" applyBorder="1" applyNumberFormat="1">
      <alignment horizontal="left" vertical="center" wrapText="1" indent="1"/>
    </xf>
    <xf numFmtId="0" fontId="112" fillId="0" borderId="0" xfId="0" applyFont="1" applyNumberFormat="1">
      <alignment vertical="center"/>
    </xf>
    <xf numFmtId="0" fontId="37" fillId="0" borderId="0" xfId="0" applyFont="1" applyNumberFormat="1">
      <alignment horizontal="center" vertical="center" wrapText="1"/>
    </xf>
    <xf numFmtId="4" fontId="22" fillId="0" borderId="17" xfId="0" applyFont="1" applyBorder="1" applyNumberFormat="1">
      <alignment horizontal="center" vertical="center" wrapText="1"/>
    </xf>
    <xf numFmtId="501" fontId="22" fillId="0" borderId="37" xfId="0" applyFont="1" applyBorder="1" applyNumberFormat="1">
      <alignment horizontal="center" vertical="center" wrapText="1"/>
    </xf>
    <xf numFmtId="501"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14" fontId="22" fillId="40" borderId="12" xfId="0" applyFont="1" applyFill="1" applyBorder="1" applyNumberFormat="1">
      <alignment horizontal="left" vertical="center" wrapText="1"/>
    </xf>
    <xf numFmtId="14" fontId="22" fillId="39" borderId="12" xfId="0" applyFont="1" applyFill="1" applyBorder="1" applyNumberFormat="1">
      <alignment horizontal="left" vertical="center" wrapText="1" indent="1"/>
      <protection locked="0"/>
    </xf>
    <xf numFmtId="49" fontId="50"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0" fillId="37" borderId="29" xfId="0" applyFont="1" applyFill="1" applyBorder="1" applyNumberFormat="1">
      <alignment horizontal="right" vertical="center" wrapText="1"/>
    </xf>
    <xf numFmtId="0" fontId="112" fillId="0" borderId="0" xfId="0" applyFont="1" applyNumberFormat="1">
      <alignment vertical="center" wrapText="1"/>
    </xf>
    <xf numFmtId="49" fontId="0" fillId="0" borderId="0" xfId="0" applyFont="1" applyNumberFormat="1">
      <alignment vertical="top"/>
    </xf>
    <xf numFmtId="0" fontId="22" fillId="0" borderId="14" xfId="0" applyFont="1" applyBorder="1" applyNumberFormat="1">
      <alignment horizontal="center" vertical="center" wrapText="1"/>
    </xf>
    <xf numFmtId="0" fontId="22" fillId="34" borderId="12" xfId="0" applyFont="1" applyFill="1" applyBorder="1" applyNumberFormat="1">
      <alignment horizontal="left" vertical="center" wrapText="1" indent="1"/>
    </xf>
    <xf numFmtId="504" fontId="0" fillId="39" borderId="15" xfId="0" applyFont="1" applyFill="1" applyBorder="1" applyNumberFormat="1">
      <alignment horizontal="left" vertical="center" wrapText="1" indent="1"/>
      <protection locked="0"/>
    </xf>
    <xf numFmtId="505" fontId="22" fillId="39" borderId="12" xfId="0" applyFont="1" applyFill="1" applyBorder="1" applyNumberFormat="1">
      <alignment horizontal="left" vertical="center" wrapText="1" indent="1"/>
      <protection locked="0"/>
    </xf>
    <xf numFmtId="504" fontId="48" fillId="0" borderId="0" xfId="0" applyFont="1" applyNumberFormat="1">
      <alignment horizontal="center" vertical="center" wrapText="1"/>
    </xf>
    <xf numFmtId="501" fontId="22" fillId="0" borderId="17" xfId="0" applyFont="1" applyBorder="1" applyNumberFormat="1">
      <alignment horizontal="center" vertical="center" wrapText="1"/>
    </xf>
    <xf numFmtId="501" fontId="22" fillId="0" borderId="14" xfId="0" applyFont="1" applyBorder="1" applyNumberFormat="1">
      <alignment horizontal="center" vertical="center" wrapText="1"/>
    </xf>
    <xf numFmtId="501" fontId="22" fillId="0" borderId="15" xfId="0" applyFont="1" applyBorder="1" applyNumberFormat="1">
      <alignment horizontal="center" vertical="center" wrapText="1"/>
    </xf>
    <xf numFmtId="501" fontId="22" fillId="0" borderId="13" xfId="0" applyFont="1" applyBorder="1" applyNumberFormat="1">
      <alignment horizontal="center" vertical="center" wrapText="1"/>
    </xf>
    <xf numFmtId="4" fontId="22" fillId="0" borderId="36" xfId="0" applyFont="1" applyBorder="1" applyNumberFormat="1">
      <alignment horizontal="center" vertical="center" wrapText="1"/>
    </xf>
    <xf numFmtId="501" fontId="22" fillId="0" borderId="23" xfId="0" applyFont="1" applyBorder="1" applyNumberFormat="1">
      <alignment horizontal="center" vertical="center" wrapText="1"/>
    </xf>
    <xf numFmtId="501" fontId="22" fillId="0" borderId="23" xfId="0" applyFont="1" applyBorder="1" applyNumberFormat="1">
      <alignment horizontal="center" vertical="center" wrapText="1"/>
    </xf>
    <xf numFmtId="0" fontId="22" fillId="0" borderId="23" xfId="0" applyFont="1" applyBorder="1" applyNumberFormat="1">
      <alignment horizontal="center" vertical="center" wrapText="1"/>
    </xf>
    <xf numFmtId="0" fontId="22" fillId="34" borderId="23" xfId="0" applyFont="1" applyFill="1" applyBorder="1" applyNumberFormat="1">
      <alignment horizontal="left" vertical="center" wrapText="1" indent="1"/>
    </xf>
    <xf numFmtId="14" fontId="22" fillId="39" borderId="23" xfId="0" applyFont="1" applyFill="1" applyBorder="1" applyNumberFormat="1">
      <alignment horizontal="left" vertical="center" wrapText="1" indent="1"/>
      <protection locked="0"/>
    </xf>
    <xf numFmtId="0" fontId="22" fillId="0" borderId="29" xfId="0" applyFont="1" applyBorder="1" applyNumberFormat="1">
      <alignment horizontal="left" vertical="top" wrapText="1"/>
    </xf>
    <xf numFmtId="0" fontId="22" fillId="0" borderId="12" xfId="0" applyFont="1" applyBorder="1" applyNumberFormat="1">
      <alignment horizontal="center" vertical="center" wrapText="1"/>
    </xf>
    <xf numFmtId="0" fontId="22" fillId="34" borderId="12" xfId="0" applyFont="1" applyFill="1" applyBorder="1" applyNumberFormat="1">
      <alignment horizontal="left" vertical="center" wrapText="1" indent="1"/>
    </xf>
    <xf numFmtId="0" fontId="48" fillId="0" borderId="0" xfId="0" applyFont="1" applyNumberFormat="1">
      <alignment horizontal="center" vertical="center" wrapText="1"/>
    </xf>
    <xf numFmtId="0" fontId="22" fillId="0" borderId="0" xfId="0" applyFont="1" applyNumberFormat="1">
      <alignment horizontal="right" vertical="center" wrapText="1"/>
    </xf>
    <xf numFmtId="0" fontId="22" fillId="0" borderId="0" xfId="0" applyFont="1" applyNumberFormat="1">
      <alignment horizontal="left" vertical="center" wrapText="1" indent="1"/>
    </xf>
    <xf numFmtId="501" fontId="22" fillId="0" borderId="23" xfId="0" applyFont="1" applyBorder="1" applyNumberFormat="1">
      <alignment horizontal="center" vertical="center" wrapText="1"/>
    </xf>
    <xf numFmtId="0" fontId="22" fillId="0" borderId="23" xfId="0" applyFont="1" applyBorder="1" applyNumberFormat="1">
      <alignment horizontal="left" vertical="center" wrapText="1" indent="1"/>
    </xf>
    <xf numFmtId="14" fontId="22" fillId="0" borderId="23" xfId="0" applyFont="1" applyBorder="1" applyNumberFormat="1">
      <alignment horizontal="left" vertical="center" wrapText="1" inden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0" borderId="14" xfId="0" applyFont="1" applyBorder="1" applyNumberFormat="1">
      <alignment horizontal="center" vertical="center" wrapText="1"/>
    </xf>
    <xf numFmtId="49" fontId="22" fillId="39" borderId="12" xfId="0" applyFont="1" applyFill="1" applyBorder="1" applyNumberFormat="1">
      <alignment horizontal="left" vertical="center" wrapText="1"/>
      <protection locked="0"/>
    </xf>
    <xf numFmtId="49" fontId="22" fillId="40" borderId="12" xfId="0" applyFont="1" applyFill="1" applyBorder="1" applyNumberFormat="1">
      <alignment horizontal="left" vertical="center" wrapText="1"/>
    </xf>
    <xf numFmtId="49" fontId="53" fillId="37" borderId="27" xfId="0" applyFont="1" applyFill="1" applyBorder="1" applyNumberFormat="1">
      <alignment horizontal="left" vertical="center" wrapText="1"/>
    </xf>
    <xf numFmtId="49" fontId="53" fillId="37" borderId="29" xfId="0" applyFont="1" applyFill="1" applyBorder="1" applyNumberFormat="1">
      <alignment horizontal="left" vertical="center" wrapText="1"/>
    </xf>
    <xf numFmtId="0" fontId="22" fillId="35" borderId="36" xfId="0" applyFont="1" applyFill="1" applyBorder="1" applyNumberFormat="1">
      <alignment vertical="center" wrapText="1"/>
    </xf>
    <xf numFmtId="0" fontId="48" fillId="0" borderId="0" xfId="0" applyFont="1" applyNumberFormat="1">
      <alignment horizontal="center" vertical="center" wrapText="1"/>
    </xf>
    <xf numFmtId="0" fontId="48" fillId="0" borderId="27" xfId="0" applyFont="1" applyBorder="1" applyNumberFormat="1">
      <alignment horizontal="center" vertical="center" wrapText="1"/>
    </xf>
    <xf numFmtId="0" fontId="48" fillId="0" borderId="0" xfId="0" applyFont="1" applyNumberFormat="1">
      <alignment horizontal="center" vertical="center" wrapText="1"/>
    </xf>
    <xf numFmtId="0" fontId="48" fillId="0" borderId="0" xfId="0" applyFont="1" applyNumberFormat="1">
      <alignment horizontal="center" vertical="center" wrapText="1"/>
    </xf>
    <xf numFmtId="0" fontId="22" fillId="35" borderId="22" xfId="0" applyFont="1" applyFill="1" applyBorder="1" applyNumberFormat="1">
      <alignment vertical="center" wrapText="1"/>
    </xf>
    <xf numFmtId="0" fontId="36" fillId="0" borderId="12" xfId="0" applyFont="1" applyBorder="1" applyNumberFormat="1">
      <alignment horizontal="center" vertical="center" wrapText="1"/>
    </xf>
    <xf numFmtId="0" fontId="22" fillId="0" borderId="15" xfId="0" applyFont="1" applyBorder="1" applyNumberFormat="1">
      <alignment horizontal="center" vertical="center" wrapText="1"/>
    </xf>
    <xf numFmtId="0" fontId="22" fillId="0" borderId="15" xfId="0" applyFont="1" applyBorder="1" applyNumberFormat="1">
      <alignment horizontal="left" vertical="center" wrapText="1"/>
    </xf>
    <xf numFmtId="0" fontId="42" fillId="0" borderId="0" xfId="0" applyFont="1" applyNumberFormat="1">
      <alignment horizontal="center" vertical="center" wrapText="1"/>
    </xf>
    <xf numFmtId="0" fontId="22" fillId="0" borderId="0" xfId="0" applyFont="1" applyNumberFormat="1">
      <alignment horizontal="center" vertical="center" wrapText="1"/>
    </xf>
    <xf numFmtId="501" fontId="45" fillId="0" borderId="19" xfId="0" applyFont="1" applyBorder="1" applyNumberFormat="1">
      <alignment horizontal="center" vertical="center" wrapText="1"/>
    </xf>
    <xf numFmtId="501" fontId="45" fillId="0" borderId="19" xfId="0" applyFont="1" applyBorder="1" applyNumberFormat="1">
      <alignment horizontal="center" vertical="center" wrapText="1"/>
    </xf>
    <xf numFmtId="501" fontId="45" fillId="0" borderId="20" xfId="0" applyFont="1" applyBorder="1" applyNumberFormat="1">
      <alignment horizontal="center" vertical="center" wrapText="1"/>
    </xf>
    <xf numFmtId="0" fontId="48" fillId="0" borderId="0" xfId="0" applyFont="1" applyNumberFormat="1">
      <alignment horizontal="center" vertical="center"/>
    </xf>
    <xf numFmtId="501" fontId="22" fillId="0" borderId="12" xfId="0" applyFont="1" applyBorder="1" applyNumberFormat="1">
      <alignment horizontal="center" vertical="center" wrapText="1"/>
    </xf>
    <xf numFmtId="501" fontId="22" fillId="0" borderId="36" xfId="0" applyFont="1" applyBorder="1" applyNumberFormat="1">
      <alignment horizontal="center" vertical="center" wrapText="1"/>
    </xf>
    <xf numFmtId="501" fontId="22" fillId="0" borderId="12" xfId="0" applyFont="1" applyBorder="1" applyNumberFormat="1">
      <alignment horizontal="center" vertical="center" wrapText="1"/>
    </xf>
    <xf numFmtId="0" fontId="22" fillId="34" borderId="29" xfId="0" applyFont="1" applyFill="1" applyBorder="1" applyNumberFormat="1">
      <alignment horizontal="left" vertical="center" wrapText="1"/>
    </xf>
    <xf numFmtId="14" fontId="22" fillId="40" borderId="23" xfId="0" applyFont="1" applyFill="1" applyBorder="1" applyNumberFormat="1">
      <alignment horizontal="left" vertical="center" wrapText="1"/>
    </xf>
    <xf numFmtId="49" fontId="22" fillId="40" borderId="30" xfId="0" applyFont="1" applyFill="1" applyBorder="1" applyNumberFormat="1">
      <alignment horizontal="left" vertical="center" wrapText="1"/>
    </xf>
    <xf numFmtId="0" fontId="22" fillId="0" borderId="23" xfId="0" applyFont="1" applyBorder="1" applyNumberFormat="1">
      <alignment horizontal="center" vertical="center" wrapText="1"/>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22" fillId="0" borderId="12" xfId="0" applyFont="1" applyBorder="1" applyNumberFormat="1">
      <alignment horizontal="left" vertical="top" wrapText="1"/>
    </xf>
    <xf numFmtId="49" fontId="22" fillId="40" borderId="23" xfId="0" applyFont="1" applyFill="1" applyBorder="1" applyNumberFormat="1">
      <alignment horizontal="left" vertical="center" wrapText="1"/>
    </xf>
    <xf numFmtId="49" fontId="127" fillId="0" borderId="12" xfId="0" applyFont="1" applyBorder="1" applyNumberFormat="1">
      <alignment horizontal="left" vertical="top" wrapText="1"/>
    </xf>
    <xf numFmtId="49" fontId="22" fillId="0" borderId="0" xfId="0" applyFont="1" applyNumberFormat="1">
      <alignment vertical="top"/>
    </xf>
    <xf numFmtId="0" fontId="32" fillId="0" borderId="0" xfId="0" applyFont="1" applyNumberFormat="1">
      <alignment vertical="center" wrapText="1"/>
    </xf>
    <xf numFmtId="0" fontId="37" fillId="35" borderId="0" xfId="0" applyFont="1" applyFill="1" applyNumberFormat="1">
      <alignment horizontal="center" vertical="center" wrapText="1"/>
    </xf>
    <xf numFmtId="0" fontId="22" fillId="35" borderId="0" xfId="0" applyFont="1" applyFill="1" applyNumberFormat="1"/>
    <xf numFmtId="49" fontId="22" fillId="0" borderId="0" xfId="0" applyFont="1" applyNumberFormat="1">
      <alignment vertical="top"/>
    </xf>
    <xf numFmtId="49" fontId="37" fillId="0" borderId="0" xfId="0" applyFont="1" applyNumberFormat="1">
      <alignment horizontal="center" vertical="center"/>
    </xf>
    <xf numFmtId="0" fontId="43" fillId="35" borderId="0" xfId="0" applyFont="1" applyFill="1" applyNumberFormat="1">
      <alignment horizontal="center" vertical="center" wrapText="1"/>
    </xf>
    <xf numFmtId="0" fontId="32" fillId="35" borderId="0" xfId="0" applyFont="1" applyFill="1" applyNumberFormat="1"/>
    <xf numFmtId="49" fontId="32" fillId="0" borderId="0" xfId="0" applyFont="1" applyNumberFormat="1">
      <alignment vertical="top"/>
    </xf>
    <xf numFmtId="0" fontId="22" fillId="35" borderId="12" xfId="0" applyFont="1" applyFill="1" applyBorder="1" applyNumberFormat="1">
      <alignment horizontal="center" vertical="center" wrapText="1"/>
    </xf>
    <xf numFmtId="49" fontId="47" fillId="0" borderId="0" xfId="0" applyFont="1" applyNumberFormat="1">
      <alignment vertical="top"/>
    </xf>
    <xf numFmtId="49" fontId="22" fillId="0" borderId="0" xfId="0" applyFont="1" applyNumberFormat="1">
      <alignment vertical="top"/>
    </xf>
    <xf numFmtId="49" fontId="37" fillId="0" borderId="0" xfId="0" applyFont="1" applyNumberFormat="1">
      <alignment horizontal="center" vertical="center" wrapText="1"/>
    </xf>
    <xf numFmtId="49" fontId="22" fillId="0" borderId="12" xfId="0" applyFont="1" applyBorder="1" applyNumberFormat="1">
      <alignment horizontal="center" vertical="center" wrapText="1"/>
    </xf>
    <xf numFmtId="49" fontId="22" fillId="39" borderId="12" xfId="0" applyFont="1" applyFill="1" applyBorder="1" applyNumberFormat="1">
      <alignment horizontal="left" vertical="center" wrapText="1"/>
      <protection locked="0"/>
    </xf>
    <xf numFmtId="0" fontId="48" fillId="0" borderId="0" xfId="0" applyFont="1" applyNumberFormat="1">
      <alignment vertical="top"/>
    </xf>
    <xf numFmtId="49" fontId="48" fillId="0" borderId="0" xfId="0" applyFont="1" applyNumberFormat="1">
      <alignment vertical="top"/>
    </xf>
    <xf numFmtId="49" fontId="22" fillId="0" borderId="0" xfId="0" applyFont="1" applyNumberFormat="1">
      <alignment vertical="top"/>
    </xf>
    <xf numFmtId="49" fontId="40" fillId="37" borderId="15" xfId="0" applyFont="1" applyFill="1" applyBorder="1" applyNumberFormat="1">
      <alignment horizontal="left" vertical="center"/>
    </xf>
    <xf numFmtId="49" fontId="44" fillId="37" borderId="15" xfId="0" applyFont="1" applyFill="1" applyBorder="1" applyNumberFormat="1">
      <alignment horizontal="center" vertical="top"/>
    </xf>
    <xf numFmtId="49" fontId="22" fillId="0" borderId="0" xfId="0" applyFont="1" applyNumberFormat="1">
      <alignment horizontal="left" vertical="top" wrapText="1"/>
    </xf>
    <xf numFmtId="0" fontId="22" fillId="0" borderId="0" xfId="0" applyFont="1" applyNumberFormat="1"/>
    <xf numFmtId="0" fontId="37" fillId="35" borderId="0" xfId="0" applyFont="1" applyFill="1" applyNumberFormat="1">
      <alignment horizontal="center" vertical="center"/>
    </xf>
    <xf numFmtId="0" fontId="22" fillId="35" borderId="0" xfId="0" applyFont="1" applyFill="1" applyNumberFormat="1"/>
    <xf numFmtId="0" fontId="22" fillId="0" borderId="13" xfId="0" applyFont="1" applyBorder="1" applyNumberFormat="1">
      <alignment horizontal="left" vertical="center" wrapText="1" indent="1"/>
    </xf>
    <xf numFmtId="0" fontId="22" fillId="0" borderId="14" xfId="0" applyFont="1" applyBorder="1" applyNumberFormat="1">
      <alignment horizontal="left" vertical="center" wrapText="1" indent="1"/>
    </xf>
    <xf numFmtId="0" fontId="64" fillId="0" borderId="0" xfId="0" applyFont="1" applyNumberFormat="1"/>
    <xf numFmtId="0" fontId="22" fillId="0" borderId="12" xfId="0" applyFont="1" applyBorder="1" applyNumberFormat="1">
      <alignment horizontal="center" vertical="center" wrapText="1"/>
    </xf>
    <xf numFmtId="0" fontId="22" fillId="35" borderId="17" xfId="0" applyFont="1" applyFill="1" applyBorder="1" applyNumberFormat="1">
      <alignment horizontal="center" vertical="center"/>
    </xf>
    <xf numFmtId="49" fontId="22" fillId="0" borderId="17" xfId="0" applyFont="1" applyBorder="1" applyNumberFormat="1">
      <alignment horizontal="left" vertical="center" wrapText="1"/>
    </xf>
    <xf numFmtId="0" fontId="37" fillId="35" borderId="0" xfId="0" applyFont="1" applyFill="1" applyNumberFormat="1">
      <alignment horizontal="center" vertical="center" wrapText="1"/>
    </xf>
    <xf numFmtId="0" fontId="22" fillId="35" borderId="12" xfId="0" applyFont="1" applyFill="1" applyBorder="1" applyNumberFormat="1">
      <alignment horizontal="center" vertical="center"/>
    </xf>
    <xf numFmtId="49" fontId="22" fillId="39" borderId="12" xfId="0" applyFont="1" applyFill="1" applyBorder="1" applyNumberFormat="1">
      <alignment horizontal="left" vertical="center" wrapText="1"/>
      <protection locked="0"/>
    </xf>
    <xf numFmtId="49" fontId="50" fillId="37" borderId="14" xfId="0" applyFont="1" applyFill="1" applyBorder="1" applyNumberFormat="1">
      <alignment horizontal="center" vertical="center"/>
    </xf>
    <xf numFmtId="49" fontId="40" fillId="37" borderId="13" xfId="0" applyFont="1" applyFill="1" applyBorder="1" applyNumberFormat="1">
      <alignment horizontal="left" vertical="center"/>
    </xf>
    <xf numFmtId="49" fontId="45" fillId="0" borderId="0" xfId="0" applyFont="1" applyNumberFormat="1">
      <alignment horizontal="right" vertical="top"/>
    </xf>
    <xf numFmtId="49" fontId="22" fillId="0" borderId="0" xfId="0" applyFont="1" applyNumberFormat="1">
      <alignment horizontal="left" vertical="top" wrapText="1"/>
    </xf>
    <xf numFmtId="49" fontId="45" fillId="0" borderId="0" xfId="0" applyFont="1" applyNumberFormat="1">
      <alignment vertical="top"/>
    </xf>
    <xf numFmtId="0" fontId="37" fillId="0" borderId="0" xfId="0" applyFont="1" applyNumberFormat="1">
      <alignment horizontal="center" vertical="center"/>
    </xf>
    <xf numFmtId="0" fontId="22" fillId="0" borderId="0" xfId="0" applyFont="1" applyNumberFormat="1"/>
    <xf numFmtId="49" fontId="22" fillId="0" borderId="12" xfId="0" applyFont="1" applyBorder="1" applyNumberFormat="1">
      <alignment horizontal="left" vertical="center" wrapText="1"/>
    </xf>
    <xf numFmtId="49" fontId="40" fillId="37" borderId="13" xfId="0" applyFont="1" applyFill="1" applyBorder="1" applyNumberFormat="1">
      <alignment horizontal="left" vertical="center"/>
    </xf>
    <xf numFmtId="49" fontId="0" fillId="0" borderId="0" xfId="0" applyFont="1" applyNumberFormat="1">
      <alignment vertical="top"/>
    </xf>
    <xf numFmtId="49" fontId="0" fillId="0" borderId="15" xfId="0" applyFont="1" applyBorder="1" applyNumberFormat="1">
      <alignment horizontal="left" vertical="center" indent="1"/>
    </xf>
    <xf numFmtId="49" fontId="0" fillId="0" borderId="15" xfId="0" applyFont="1" applyBorder="1" applyNumberFormat="1">
      <alignment horizontal="left" vertical="center" indent="1"/>
    </xf>
    <xf numFmtId="49" fontId="65" fillId="0" borderId="0" xfId="0" applyFont="1" applyNumberFormat="1">
      <alignment vertical="top"/>
    </xf>
    <xf numFmtId="49" fontId="0" fillId="0" borderId="25" xfId="0" applyFont="1" applyBorder="1" applyNumberFormat="1">
      <alignment horizontal="center" vertical="center"/>
    </xf>
    <xf numFmtId="49" fontId="0" fillId="0" borderId="25" xfId="0" applyFont="1" applyBorder="1" applyNumberFormat="1">
      <alignment horizontal="center" vertical="center"/>
    </xf>
    <xf numFmtId="49" fontId="0" fillId="38" borderId="0" xfId="0" applyFont="1" applyFill="1" applyNumberFormat="1">
      <alignment vertical="top"/>
    </xf>
    <xf numFmtId="0" fontId="37" fillId="35" borderId="0" xfId="0" applyFont="1" applyFill="1" applyNumberFormat="1">
      <alignment horizontal="center" vertical="center" wrapText="1"/>
    </xf>
    <xf numFmtId="0" fontId="37" fillId="35" borderId="0" xfId="0" applyFont="1" applyFill="1" applyNumberFormat="1">
      <alignment horizontal="center"/>
    </xf>
    <xf numFmtId="49" fontId="22" fillId="36" borderId="12" xfId="0" applyFont="1" applyFill="1" applyBorder="1" applyNumberFormat="1">
      <alignment horizontal="left" vertical="center" wrapText="1"/>
      <protection locked="0"/>
    </xf>
    <xf numFmtId="0" fontId="37" fillId="0" borderId="0" xfId="0" applyFont="1" applyNumberFormat="1">
      <alignment horizontal="center" vertical="center" wrapText="1"/>
    </xf>
    <xf numFmtId="0" fontId="22" fillId="0" borderId="12" xfId="0" applyFont="1" applyBorder="1" applyNumberFormat="1">
      <alignment horizontal="center" vertical="center" wrapText="1"/>
    </xf>
    <xf numFmtId="0" fontId="48" fillId="0" borderId="12" xfId="0" applyFont="1" applyBorder="1" applyNumberFormat="1">
      <alignment horizontal="center" vertical="center"/>
    </xf>
    <xf numFmtId="0" fontId="22" fillId="0" borderId="23" xfId="0" applyFont="1" applyBorder="1" applyNumberFormat="1">
      <alignment horizontal="center" vertical="center" wrapText="1"/>
    </xf>
    <xf numFmtId="0" fontId="47" fillId="0" borderId="23" xfId="0" applyFont="1" applyBorder="1" applyNumberFormat="1">
      <alignment horizontal="center" vertical="center" wrapText="1"/>
    </xf>
    <xf numFmtId="0" fontId="47" fillId="0" borderId="0" xfId="0" applyFont="1" applyNumberFormat="1">
      <alignment horizontal="center" vertical="center" wrapText="1"/>
    </xf>
    <xf numFmtId="0" fontId="47" fillId="0" borderId="12" xfId="0" applyFont="1" applyBorder="1" applyNumberFormat="1">
      <alignment horizontal="center" vertical="center" wrapText="1"/>
    </xf>
    <xf numFmtId="14" fontId="22" fillId="40" borderId="12" xfId="0" applyFont="1" applyFill="1" applyBorder="1" applyNumberFormat="1">
      <alignment horizontal="left" vertical="center" wrapText="1" indent="1"/>
    </xf>
    <xf numFmtId="49" fontId="22" fillId="34" borderId="12" xfId="0" applyFont="1" applyFill="1" applyBorder="1" applyNumberFormat="1">
      <alignment horizontal="center" vertical="center" wrapText="1"/>
    </xf>
    <xf numFmtId="49" fontId="52" fillId="38" borderId="0" xfId="0" applyFont="1" applyFill="1" applyNumberFormat="1">
      <alignment vertical="top"/>
    </xf>
    <xf numFmtId="49" fontId="52" fillId="0" borderId="0" xfId="0" applyFont="1" applyNumberFormat="1">
      <alignment vertical="top"/>
    </xf>
    <xf numFmtId="0" fontId="36" fillId="0" borderId="24" xfId="0" applyFont="1" applyBorder="1" applyNumberFormat="1">
      <alignment horizontal="center" vertical="center" wrapText="1"/>
    </xf>
    <xf numFmtId="14" fontId="81" fillId="0" borderId="17" xfId="0" applyFont="1" applyBorder="1" applyNumberFormat="1">
      <alignment horizontal="center" vertical="center" wrapText="1"/>
    </xf>
    <xf numFmtId="0" fontId="75" fillId="0" borderId="12" xfId="0" applyFont="1" applyBorder="1" applyNumberFormat="1">
      <alignment horizontal="left" vertical="center" wrapText="1" indent="1"/>
    </xf>
    <xf numFmtId="0" fontId="81" fillId="0" borderId="17" xfId="0" applyFont="1" applyBorder="1" applyNumberFormat="1">
      <alignment horizontal="center" vertical="center" wrapText="1"/>
    </xf>
    <xf numFmtId="49" fontId="22" fillId="0" borderId="12" xfId="0" applyFont="1" applyBorder="1" applyNumberFormat="1">
      <alignment horizontal="center" vertical="center" wrapText="1"/>
    </xf>
    <xf numFmtId="0" fontId="74" fillId="0" borderId="0" xfId="0" applyFont="1" applyNumberFormat="1">
      <alignment vertical="center"/>
    </xf>
    <xf numFmtId="14" fontId="81" fillId="0" borderId="36" xfId="0" applyFont="1" applyBorder="1" applyNumberFormat="1">
      <alignment horizontal="center" vertical="center" wrapText="1"/>
    </xf>
    <xf numFmtId="0" fontId="75" fillId="0" borderId="12" xfId="0" applyFont="1" applyBorder="1" applyNumberFormat="1">
      <alignment horizontal="left" vertical="top" indent="1"/>
    </xf>
    <xf numFmtId="49" fontId="0" fillId="0" borderId="12" xfId="0" applyFont="1" applyBorder="1" applyNumberFormat="1">
      <alignment vertical="top"/>
    </xf>
    <xf numFmtId="0" fontId="36" fillId="0" borderId="12" xfId="0" applyFont="1" applyBorder="1" applyNumberFormat="1">
      <alignment horizontal="center" vertical="center" wrapText="1"/>
    </xf>
    <xf numFmtId="0" fontId="22" fillId="40" borderId="12" xfId="0" applyFont="1" applyFill="1" applyBorder="1" applyNumberFormat="1">
      <alignment horizontal="left" vertical="center" wrapText="1" indent="1"/>
    </xf>
    <xf numFmtId="0" fontId="36" fillId="0" borderId="12" xfId="0" applyFont="1" applyBorder="1" applyNumberFormat="1">
      <alignment horizontal="center" vertical="center" wrapText="1"/>
    </xf>
    <xf numFmtId="49" fontId="22" fillId="0" borderId="13" xfId="0" applyFont="1" applyBorder="1" applyNumberFormat="1">
      <alignment horizontal="center" vertical="center" wrapText="1"/>
    </xf>
    <xf numFmtId="49" fontId="75" fillId="39" borderId="12" xfId="0" applyFont="1" applyFill="1" applyBorder="1" applyNumberFormat="1">
      <alignment horizontal="left" vertical="center" wrapText="1" indent="1"/>
      <protection locked="0"/>
    </xf>
    <xf numFmtId="49" fontId="22" fillId="35" borderId="0" xfId="0" applyFont="1" applyFill="1" applyNumberFormat="1">
      <alignment horizontal="center" vertical="center" wrapText="1"/>
    </xf>
    <xf numFmtId="0" fontId="22" fillId="35" borderId="0" xfId="0" applyFont="1" applyFill="1" applyNumberFormat="1">
      <alignment horizontal="center" vertical="top" wrapText="1"/>
    </xf>
    <xf numFmtId="49" fontId="22" fillId="40" borderId="14" xfId="0" applyFont="1" applyFill="1" applyBorder="1" applyNumberFormat="1">
      <alignment horizontal="left" vertical="center" wrapText="1"/>
    </xf>
    <xf numFmtId="49" fontId="0" fillId="0" borderId="12" xfId="0" applyFont="1" applyBorder="1" applyNumberFormat="1">
      <alignment vertical="top"/>
    </xf>
    <xf numFmtId="0" fontId="0" fillId="0" borderId="12" xfId="0" applyFont="1" applyBorder="1" applyNumberFormat="1">
      <alignment horizontal="center" vertical="center" wrapText="1"/>
    </xf>
    <xf numFmtId="49" fontId="0" fillId="39" borderId="12" xfId="0" applyFont="1" applyFill="1" applyBorder="1" applyNumberFormat="1">
      <alignment horizontal="left" vertical="center" wrapText="1"/>
      <protection locked="0"/>
    </xf>
    <xf numFmtId="0" fontId="37" fillId="35" borderId="0" xfId="0" applyFont="1" applyFill="1" applyNumberFormat="1">
      <alignment vertical="top" wrapText="1"/>
    </xf>
    <xf numFmtId="0" fontId="22" fillId="35" borderId="14" xfId="0" applyFont="1" applyFill="1" applyBorder="1" applyNumberFormat="1">
      <alignment horizontal="center" vertical="center" wrapText="1"/>
    </xf>
    <xf numFmtId="0" fontId="48" fillId="35" borderId="12" xfId="0" applyFont="1" applyFill="1" applyBorder="1" applyNumberFormat="1">
      <alignment horizontal="center" vertical="center" wrapText="1"/>
    </xf>
    <xf numFmtId="14" fontId="22" fillId="40" borderId="29" xfId="0" applyFont="1" applyFill="1" applyBorder="1" applyNumberFormat="1">
      <alignment horizontal="left" vertical="center" wrapText="1"/>
    </xf>
    <xf numFmtId="49" fontId="122" fillId="39" borderId="12" xfId="0" applyFont="1" applyFill="1" applyBorder="1" applyNumberFormat="1">
      <alignment horizontal="left" vertical="center" wrapText="1"/>
      <protection locked="0"/>
    </xf>
    <xf numFmtId="49" fontId="0" fillId="0" borderId="12" xfId="0" applyFont="1" applyBorder="1" applyNumberFormat="1">
      <alignment horizontal="center" vertical="center" wrapText="1"/>
    </xf>
    <xf numFmtId="0" fontId="22" fillId="40" borderId="14" xfId="0" applyFont="1" applyFill="1" applyBorder="1" applyNumberFormat="1">
      <alignment horizontal="left" vertical="center" wrapText="1"/>
    </xf>
    <xf numFmtId="0" fontId="0" fillId="0" borderId="23" xfId="0" applyFont="1" applyBorder="1" applyNumberFormat="1">
      <alignment horizontal="center" vertical="center" wrapText="1"/>
    </xf>
    <xf numFmtId="49" fontId="37" fillId="0" borderId="0" xfId="0" applyFont="1" applyNumberFormat="1">
      <alignment horizontal="center" vertical="center" wrapText="1"/>
    </xf>
    <xf numFmtId="504"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49" fontId="0" fillId="35" borderId="12" xfId="0" applyFont="1" applyFill="1" applyBorder="1" applyNumberFormat="1">
      <alignment horizontal="center" vertical="center" wrapText="1"/>
    </xf>
    <xf numFmtId="0" fontId="0" fillId="39" borderId="14" xfId="0" applyFont="1" applyFill="1" applyBorder="1" applyNumberFormat="1">
      <alignment horizontal="left" vertical="center" wrapText="1" indent="2"/>
      <protection locked="0"/>
    </xf>
    <xf numFmtId="0" fontId="37" fillId="0" borderId="24" xfId="0" applyFont="1" applyBorder="1" applyNumberFormat="1">
      <alignment horizontal="center" vertical="center" wrapText="1"/>
    </xf>
    <xf numFmtId="49" fontId="22" fillId="0" borderId="12" xfId="0" applyFont="1" applyBorder="1" applyNumberFormat="1">
      <alignment horizontal="center" vertical="top" wrapText="1"/>
    </xf>
    <xf numFmtId="0" fontId="0" fillId="34" borderId="12" xfId="0" applyFont="1" applyFill="1" applyBorder="1" applyNumberFormat="1">
      <alignment horizontal="left" vertical="top" wrapText="1" indent="1"/>
    </xf>
    <xf numFmtId="49" fontId="22" fillId="40" borderId="17" xfId="0" applyFont="1" applyFill="1" applyBorder="1" applyNumberFormat="1">
      <alignment horizontal="center" vertical="top" wrapText="1"/>
    </xf>
    <xf numFmtId="504" fontId="0" fillId="39" borderId="12" xfId="0" applyFont="1" applyFill="1" applyBorder="1" applyNumberFormat="1">
      <alignment horizontal="center" vertical="top" wrapText="1"/>
      <protection locked="0"/>
    </xf>
    <xf numFmtId="504" fontId="0" fillId="36"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22" fillId="39" borderId="12" xfId="0" applyFont="1" applyFill="1" applyBorder="1" applyNumberFormat="1">
      <alignment horizontal="left" vertical="top" wrapText="1"/>
      <protection locked="0"/>
    </xf>
    <xf numFmtId="49" fontId="0" fillId="34" borderId="12" xfId="0" applyFont="1" applyFill="1" applyBorder="1" applyNumberFormat="1">
      <alignment horizontal="center" vertical="top" wrapText="1"/>
    </xf>
    <xf numFmtId="0" fontId="22" fillId="34" borderId="12" xfId="0" applyFont="1" applyFill="1" applyBorder="1" applyNumberFormat="1">
      <alignment horizontal="center" vertical="top" wrapText="1"/>
    </xf>
    <xf numFmtId="0" fontId="22" fillId="36" borderId="12" xfId="0" applyFont="1" applyFill="1" applyBorder="1" applyNumberFormat="1">
      <alignment horizontal="left" vertical="top" wrapText="1"/>
      <protection locked="0"/>
    </xf>
    <xf numFmtId="49" fontId="22" fillId="40" borderId="12" xfId="0" applyFont="1" applyFill="1" applyBorder="1" applyNumberFormat="1">
      <alignment horizontal="center" vertical="top" wrapText="1"/>
    </xf>
    <xf numFmtId="0" fontId="22" fillId="0" borderId="36" xfId="0" applyFont="1" applyBorder="1" applyNumberFormat="1">
      <alignment horizontal="center" vertical="center" wrapText="1"/>
    </xf>
    <xf numFmtId="0" fontId="22" fillId="0" borderId="12" xfId="0" applyFont="1" applyBorder="1" applyNumberFormat="1">
      <alignment horizontal="center" vertical="center" wrapText="1"/>
    </xf>
    <xf numFmtId="49" fontId="22" fillId="39" borderId="17" xfId="0" applyFont="1" applyFill="1" applyBorder="1" applyNumberFormat="1">
      <alignment horizontal="left" vertical="center" wrapText="1" indent="1"/>
      <protection locked="0"/>
    </xf>
    <xf numFmtId="0" fontId="22" fillId="0" borderId="24" xfId="0" applyFont="1" applyBorder="1" applyNumberFormat="1">
      <alignment vertical="top" wrapText="1"/>
    </xf>
    <xf numFmtId="49" fontId="22" fillId="40" borderId="23" xfId="0" applyFont="1" applyFill="1" applyBorder="1" applyNumberFormat="1">
      <alignment horizontal="center" vertical="top" wrapText="1"/>
    </xf>
    <xf numFmtId="49" fontId="0" fillId="39"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40" borderId="14" xfId="0" applyFont="1" applyFill="1" applyBorder="1" applyNumberFormat="1">
      <alignment horizontal="center" vertical="top" wrapText="1"/>
    </xf>
    <xf numFmtId="49" fontId="22" fillId="0" borderId="36" xfId="0" applyFont="1" applyBorder="1" applyNumberFormat="1">
      <alignment horizontal="center" vertical="top" wrapText="1"/>
    </xf>
    <xf numFmtId="0" fontId="0" fillId="34" borderId="36" xfId="0" applyFont="1" applyFill="1" applyBorder="1" applyNumberFormat="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pplyNumberFormat="1">
      <alignment horizontal="center" vertical="top" wrapText="1"/>
    </xf>
    <xf numFmtId="0" fontId="22" fillId="36" borderId="36" xfId="0" applyFont="1" applyFill="1" applyBorder="1" applyNumberFormat="1">
      <alignment horizontal="left" vertical="top" wrapText="1"/>
      <protection locked="0"/>
    </xf>
    <xf numFmtId="0" fontId="103" fillId="0" borderId="48" xfId="0" applyFont="1" applyBorder="1" applyNumberFormat="1">
      <alignment horizontal="left" vertical="center" indent="1"/>
    </xf>
    <xf numFmtId="0" fontId="103" fillId="0" borderId="49" xfId="0" applyFont="1" applyBorder="1" applyNumberFormat="1">
      <alignment horizontal="left" vertical="center" indent="1"/>
    </xf>
    <xf numFmtId="0" fontId="0" fillId="0" borderId="49" xfId="0" applyFont="1" applyBorder="1" applyNumberFormat="1">
      <alignment horizontal="left" vertical="center" wrapText="1"/>
    </xf>
    <xf numFmtId="0" fontId="22" fillId="0" borderId="49" xfId="0" applyFont="1" applyBorder="1" applyNumberFormat="1">
      <alignment vertical="center" wrapText="1"/>
    </xf>
    <xf numFmtId="0" fontId="22" fillId="0" borderId="53" xfId="0" applyFont="1" applyBorder="1" applyNumberFormat="1">
      <alignment vertical="center" wrapText="1"/>
    </xf>
    <xf numFmtId="0" fontId="22" fillId="0" borderId="54" xfId="0" applyFont="1" applyBorder="1" applyNumberFormat="1">
      <alignment vertical="center" wrapText="1"/>
    </xf>
    <xf numFmtId="0" fontId="22" fillId="0" borderId="22" xfId="0" applyFont="1" applyBorder="1" applyNumberFormat="1">
      <alignment vertical="center" wrapText="1"/>
    </xf>
    <xf numFmtId="49" fontId="22" fillId="34" borderId="12" xfId="0" applyFont="1" applyFill="1" applyBorder="1" applyNumberFormat="1">
      <alignment horizontal="center" vertical="center" wrapText="1"/>
    </xf>
    <xf numFmtId="49" fontId="22" fillId="0" borderId="13" xfId="0" applyFont="1" applyBorder="1" applyNumberFormat="1">
      <alignment horizontal="center" vertical="center" wrapText="1"/>
    </xf>
    <xf numFmtId="49" fontId="47" fillId="0" borderId="13" xfId="0" applyFont="1" applyBorder="1" applyNumberFormat="1">
      <alignment horizontal="center" vertical="center" wrapText="1"/>
    </xf>
    <xf numFmtId="49" fontId="47" fillId="0" borderId="13" xfId="0" applyFont="1" applyBorder="1" applyNumberFormat="1">
      <alignment horizontal="left" vertical="center" wrapText="1"/>
    </xf>
    <xf numFmtId="49" fontId="47" fillId="0" borderId="12" xfId="0" applyFont="1" applyBorder="1" applyNumberFormat="1">
      <alignment horizontal="left" vertical="center" wrapText="1"/>
    </xf>
    <xf numFmtId="49" fontId="47" fillId="0" borderId="14" xfId="0" applyFont="1" applyBorder="1" applyNumberFormat="1">
      <alignment horizontal="center" vertical="center" wrapText="1"/>
    </xf>
    <xf numFmtId="49" fontId="94" fillId="0" borderId="43" xfId="0" applyFont="1" applyBorder="1" applyNumberFormat="1">
      <alignment horizontal="left" vertical="center" indent="1"/>
    </xf>
    <xf numFmtId="49" fontId="94" fillId="0" borderId="43" xfId="0" applyFont="1" applyBorder="1" applyNumberFormat="1">
      <alignment horizontal="center" vertical="center"/>
    </xf>
    <xf numFmtId="3" fontId="47" fillId="0" borderId="12" xfId="0" applyFont="1" applyBorder="1" applyNumberFormat="1">
      <alignment horizontal="center" vertical="center" wrapText="1"/>
    </xf>
    <xf numFmtId="49" fontId="125" fillId="0" borderId="13" xfId="0" applyFont="1" applyBorder="1" applyNumberFormat="1">
      <alignment horizontal="center" vertical="center" wrapText="1"/>
    </xf>
    <xf numFmtId="0" fontId="94" fillId="0" borderId="12" xfId="0" applyFont="1" applyBorder="1" applyNumberFormat="1">
      <alignment horizontal="center" vertical="center"/>
    </xf>
    <xf numFmtId="49" fontId="47" fillId="0" borderId="17" xfId="0" applyFont="1" applyBorder="1" applyNumberFormat="1">
      <alignment horizontal="left" vertical="center" wrapText="1" indent="1"/>
    </xf>
    <xf numFmtId="49" fontId="47" fillId="0" borderId="12" xfId="0" applyFont="1" applyBorder="1" applyNumberFormat="1">
      <alignment horizontal="left" vertical="center" wrapTex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47" fillId="0" borderId="36" xfId="0" applyFont="1" applyBorder="1" applyNumberFormat="1">
      <alignment horizontal="left" vertical="center" wrapText="1" indent="1"/>
    </xf>
    <xf numFmtId="49" fontId="125" fillId="0" borderId="0" xfId="0" applyFont="1" applyNumberFormat="1">
      <alignment horizontal="center" vertical="top" wrapText="1"/>
    </xf>
    <xf numFmtId="0" fontId="94" fillId="0" borderId="12" xfId="0" applyFont="1" applyBorder="1" applyNumberFormat="1">
      <alignment horizontal="center" vertical="center"/>
    </xf>
    <xf numFmtId="0" fontId="94" fillId="0" borderId="12" xfId="0" applyFont="1" applyBorder="1" applyNumberFormat="1">
      <alignment horizontal="left" vertical="center" wrapText="1" indent="1"/>
    </xf>
    <xf numFmtId="4" fontId="47" fillId="0" borderId="31" xfId="0" applyFont="1" applyBorder="1" applyNumberFormat="1">
      <alignment horizontal="right" vertical="center" wrapText="1"/>
    </xf>
    <xf numFmtId="49" fontId="47" fillId="0" borderId="23" xfId="0" applyFont="1" applyBorder="1" applyNumberFormat="1">
      <alignment horizontal="left" vertical="center" wrapText="1" indent="1"/>
    </xf>
    <xf numFmtId="49" fontId="47"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22" fillId="34" borderId="74" xfId="0" applyFont="1" applyFill="1" applyBorder="1" applyNumberFormat="1">
      <alignment horizontal="center" vertical="center" wrapText="1"/>
    </xf>
    <xf numFmtId="0" fontId="0" fillId="37" borderId="50" xfId="0" applyFont="1" applyFill="1" applyBorder="1" applyNumberFormat="1">
      <alignment horizontal="left" vertical="center"/>
    </xf>
    <xf numFmtId="49" fontId="40" fillId="37" borderId="51" xfId="0" applyFont="1" applyFill="1" applyBorder="1" applyNumberFormat="1">
      <alignment horizontal="left" vertical="center" indent="1"/>
    </xf>
    <xf numFmtId="0" fontId="22" fillId="37" borderId="50" xfId="0" applyFont="1" applyFill="1" applyBorder="1" applyNumberFormat="1">
      <alignment vertical="center" wrapText="1"/>
    </xf>
    <xf numFmtId="0" fontId="22" fillId="37" borderId="51" xfId="0" applyFont="1" applyFill="1" applyBorder="1" applyNumberFormat="1">
      <alignment vertical="center" wrapText="1"/>
    </xf>
    <xf numFmtId="49" fontId="0" fillId="34" borderId="36" xfId="0" applyFont="1" applyFill="1" applyBorder="1" applyNumberFormat="1">
      <alignment vertical="top"/>
    </xf>
    <xf numFmtId="49" fontId="0" fillId="0" borderId="36" xfId="0" applyFont="1" applyBorder="1" applyNumberFormat="1">
      <alignment vertical="top"/>
    </xf>
    <xf numFmtId="49" fontId="22" fillId="40" borderId="17" xfId="0" applyFont="1" applyFill="1" applyBorder="1" applyNumberFormat="1">
      <alignment vertical="center" wrapText="1"/>
    </xf>
    <xf numFmtId="49" fontId="0" fillId="39" borderId="36" xfId="0" applyFont="1" applyFill="1" applyBorder="1" applyNumberFormat="1">
      <alignment vertical="top"/>
      <protection locked="0"/>
    </xf>
    <xf numFmtId="49" fontId="123" fillId="0" borderId="12" xfId="0" applyFont="1" applyBorder="1" applyNumberFormat="1">
      <alignment horizontal="center" vertical="center" wrapText="1"/>
    </xf>
    <xf numFmtId="0" fontId="45" fillId="0" borderId="12" xfId="0" applyFont="1" applyBorder="1" applyNumberFormat="1">
      <alignment horizontal="center" vertical="center"/>
    </xf>
    <xf numFmtId="49" fontId="22" fillId="40" borderId="17"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45" fillId="37" borderId="15" xfId="0" applyFont="1" applyFill="1" applyBorder="1" applyNumberFormat="1">
      <alignment vertical="top" wrapText="1"/>
    </xf>
    <xf numFmtId="49" fontId="0" fillId="39" borderId="17" xfId="0" applyFont="1" applyFill="1" applyBorder="1" applyNumberFormat="1">
      <alignment vertical="top"/>
      <protection locked="0"/>
    </xf>
    <xf numFmtId="14" fontId="22" fillId="40" borderId="36" xfId="0" applyFont="1" applyFill="1" applyBorder="1" applyNumberFormat="1">
      <alignment horizontal="left" vertical="center" wrapText="1" indent="1"/>
    </xf>
    <xf numFmtId="14" fontId="22" fillId="40" borderId="22" xfId="0" applyFont="1" applyFill="1" applyBorder="1" applyNumberFormat="1">
      <alignment horizontal="left" vertical="center" wrapText="1" indent="1"/>
    </xf>
    <xf numFmtId="49" fontId="22" fillId="40" borderId="36" xfId="0" applyFont="1" applyFill="1" applyBorder="1" applyNumberFormat="1">
      <alignment vertical="center" wrapText="1"/>
    </xf>
    <xf numFmtId="49" fontId="22" fillId="40" borderId="36" xfId="0" applyFont="1" applyFill="1" applyBorder="1" applyNumberFormat="1">
      <alignment horizontal="left" vertical="center" wrapText="1" indent="1"/>
    </xf>
    <xf numFmtId="49" fontId="22" fillId="34" borderId="12" xfId="0" applyFont="1" applyFill="1" applyBorder="1" applyNumberFormat="1">
      <alignment horizontal="left" vertical="center" wrapText="1"/>
    </xf>
    <xf numFmtId="49" fontId="123" fillId="0" borderId="0" xfId="0" applyFont="1" applyNumberFormat="1">
      <alignment horizontal="center" vertical="top" wrapText="1"/>
    </xf>
    <xf numFmtId="0" fontId="45" fillId="0" borderId="12" xfId="0" applyFont="1" applyBorder="1" applyNumberFormat="1">
      <alignment horizontal="center" vertical="center"/>
    </xf>
    <xf numFmtId="0" fontId="45" fillId="40" borderId="12" xfId="0" applyFont="1" applyFill="1" applyBorder="1" applyNumberFormat="1">
      <alignment horizontal="left" vertical="center" wrapText="1" indent="1"/>
    </xf>
    <xf numFmtId="4" fontId="22" fillId="39" borderId="31" xfId="0" applyFont="1" applyFill="1" applyBorder="1" applyNumberFormat="1">
      <alignment horizontal="right" vertical="center" wrapText="1"/>
      <protection locked="0"/>
    </xf>
    <xf numFmtId="49" fontId="22" fillId="40" borderId="23" xfId="0" applyFont="1" applyFill="1" applyBorder="1" applyNumberFormat="1">
      <alignment vertical="center" wrapText="1"/>
    </xf>
    <xf numFmtId="49" fontId="22" fillId="40" borderId="23" xfId="0" applyFont="1" applyFill="1" applyBorder="1" applyNumberFormat="1">
      <alignment horizontal="left" vertical="center" wrapText="1" indent="1"/>
    </xf>
    <xf numFmtId="49" fontId="40" fillId="37" borderId="15" xfId="0" applyFont="1" applyFill="1" applyBorder="1" applyNumberFormat="1">
      <alignment horizontal="left" vertical="center" indent="1"/>
    </xf>
    <xf numFmtId="49" fontId="0" fillId="39" borderId="23" xfId="0" applyFont="1" applyFill="1" applyBorder="1" applyNumberFormat="1">
      <alignment vertical="top"/>
      <protection locked="0"/>
    </xf>
    <xf numFmtId="49" fontId="123" fillId="0" borderId="36" xfId="0" applyFont="1" applyBorder="1" applyNumberFormat="1">
      <alignment horizontal="center" vertical="top" wrapText="1"/>
    </xf>
    <xf numFmtId="0" fontId="45" fillId="0" borderId="13" xfId="0" applyFont="1" applyBorder="1" applyNumberFormat="1">
      <alignment horizontal="center" vertical="center"/>
    </xf>
    <xf numFmtId="49" fontId="22" fillId="40" borderId="13" xfId="0" applyFont="1" applyFill="1" applyBorder="1" applyNumberFormat="1">
      <alignment horizontal="left" vertical="center" wrapText="1"/>
    </xf>
    <xf numFmtId="49" fontId="22" fillId="39" borderId="12" xfId="0" applyFont="1" applyFill="1" applyBorder="1" applyNumberFormat="1">
      <alignment horizontal="left" vertical="center" wrapText="1"/>
      <protection locked="0"/>
    </xf>
    <xf numFmtId="49" fontId="105" fillId="37" borderId="42"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3"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0" fontId="45" fillId="0" borderId="13" xfId="0" applyFont="1" applyBorder="1" applyNumberFormat="1">
      <alignment horizontal="center" vertical="center"/>
    </xf>
    <xf numFmtId="49" fontId="45" fillId="37" borderId="13" xfId="0" applyFont="1" applyFill="1" applyBorder="1" applyNumberFormat="1">
      <alignment vertical="top" wrapText="1"/>
    </xf>
    <xf numFmtId="49" fontId="45"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0" fontId="103" fillId="0" borderId="47" xfId="0" applyFont="1" applyBorder="1" applyNumberFormat="1">
      <alignment horizontal="left" vertical="center" indent="1"/>
    </xf>
    <xf numFmtId="49" fontId="22" fillId="0" borderId="55" xfId="0" applyFont="1" applyBorder="1" applyNumberFormat="1">
      <alignment horizontal="center" vertical="center"/>
    </xf>
    <xf numFmtId="0" fontId="22" fillId="0" borderId="55" xfId="0" applyFont="1" applyBorder="1" applyNumberFormat="1">
      <alignment horizontal="right" vertical="center"/>
    </xf>
    <xf numFmtId="0" fontId="22" fillId="0" borderId="55" xfId="0" applyFont="1" applyBorder="1" applyNumberFormat="1">
      <alignment horizontal="center" vertical="center"/>
    </xf>
    <xf numFmtId="0" fontId="22" fillId="0" borderId="15" xfId="0" applyFont="1" applyBorder="1" applyNumberFormat="1">
      <alignment horizontal="right" vertical="center"/>
    </xf>
    <xf numFmtId="0" fontId="22" fillId="0" borderId="13" xfId="0" applyFont="1" applyBorder="1" applyNumberFormat="1">
      <alignment horizontal="right" vertical="center"/>
    </xf>
    <xf numFmtId="49" fontId="0" fillId="0" borderId="0" xfId="0" applyFont="1" applyNumberFormat="1">
      <alignment vertical="top"/>
    </xf>
    <xf numFmtId="0" fontId="22" fillId="35" borderId="12" xfId="0" applyFont="1" applyFill="1" applyBorder="1" applyNumberFormat="1">
      <alignment horizontal="center" vertical="center"/>
    </xf>
    <xf numFmtId="0" fontId="22" fillId="40" borderId="12" xfId="0" applyFont="1" applyFill="1" applyBorder="1" applyNumberFormat="1">
      <alignment horizontal="left" vertical="center" wrapText="1" indent="1"/>
    </xf>
    <xf numFmtId="0" fontId="22" fillId="39" borderId="12" xfId="0" applyFont="1" applyFill="1" applyBorder="1" applyNumberFormat="1">
      <alignment horizontal="left" vertical="center" wrapText="1" indent="1"/>
      <protection locked="0"/>
    </xf>
    <xf numFmtId="49" fontId="22" fillId="36" borderId="12" xfId="0" applyFont="1" applyFill="1" applyBorder="1" applyNumberFormat="1">
      <alignment horizontal="left" vertical="center" indent="1"/>
      <protection locked="0"/>
    </xf>
    <xf numFmtId="0" fontId="22" fillId="41" borderId="12" xfId="0" applyFont="1" applyFill="1" applyBorder="1" applyNumberFormat="1">
      <alignment horizontal="right" vertical="center"/>
    </xf>
    <xf numFmtId="4" fontId="22" fillId="36" borderId="12" xfId="0" applyFont="1" applyFill="1" applyBorder="1" applyNumberFormat="1">
      <alignment horizontal="right" vertical="center"/>
      <protection locked="0"/>
    </xf>
    <xf numFmtId="49" fontId="40" fillId="37" borderId="56"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52" borderId="13" xfId="0" applyFont="1" applyFill="1" applyBorder="1" applyNumberFormat="1">
      <alignment horizontal="left" vertical="center" indent="1"/>
    </xf>
    <xf numFmtId="49" fontId="22" fillId="0" borderId="0" xfId="0" applyFont="1" applyNumberFormat="1">
      <alignment vertical="top"/>
    </xf>
    <xf numFmtId="49" fontId="22" fillId="0" borderId="17" xfId="0" applyFont="1" applyBorder="1" applyNumberFormat="1">
      <alignment horizontal="center" vertical="center" wrapText="1"/>
    </xf>
    <xf numFmtId="49" fontId="22" fillId="0" borderId="36" xfId="0" applyFont="1" applyBorder="1" applyNumberFormat="1">
      <alignment horizontal="center" vertical="center" wrapText="1"/>
    </xf>
    <xf numFmtId="0" fontId="47" fillId="0" borderId="0" xfId="0" applyFont="1" applyNumberFormat="1">
      <alignment horizontal="center" vertical="center" wrapText="1"/>
    </xf>
    <xf numFmtId="0" fontId="22" fillId="0" borderId="12" xfId="0" applyFont="1" applyBorder="1" applyNumberFormat="1">
      <alignment horizontal="left" vertical="center" wrapText="1"/>
    </xf>
    <xf numFmtId="0" fontId="48" fillId="0" borderId="0" xfId="0" applyFont="1" applyNumberFormat="1">
      <alignment horizontal="center" vertical="center" wrapText="1"/>
    </xf>
    <xf numFmtId="0" fontId="40" fillId="0" borderId="12" xfId="0" applyFont="1" applyBorder="1" applyNumberFormat="1">
      <alignment horizontal="left" vertical="center" indent="1"/>
    </xf>
    <xf numFmtId="0" fontId="47" fillId="0" borderId="0" xfId="0" applyFont="1" applyNumberFormat="1">
      <alignment horizontal="center" vertical="top"/>
    </xf>
    <xf numFmtId="49" fontId="22" fillId="0" borderId="23" xfId="0" applyFont="1" applyBorder="1" applyNumberFormat="1">
      <alignment horizontal="center" vertical="center" wrapText="1"/>
    </xf>
    <xf numFmtId="0" fontId="48" fillId="0" borderId="23" xfId="0" applyFont="1" applyBorder="1" applyNumberFormat="1">
      <alignment vertical="center" wrapText="1"/>
    </xf>
    <xf numFmtId="4" fontId="48" fillId="0" borderId="12" xfId="0" applyFont="1" applyBorder="1" applyNumberFormat="1">
      <alignment horizontal="right" vertical="center" wrapText="1"/>
    </xf>
    <xf numFmtId="2" fontId="48" fillId="0" borderId="23" xfId="0" applyFont="1" applyBorder="1" applyNumberFormat="1">
      <alignment horizontal="center" vertical="center" wrapText="1"/>
    </xf>
    <xf numFmtId="0" fontId="48" fillId="0" borderId="0" xfId="0" applyFont="1" applyNumberFormat="1">
      <alignment horizontal="center" vertical="top"/>
    </xf>
    <xf numFmtId="49" fontId="48" fillId="0" borderId="0" xfId="0" applyFont="1" applyNumberFormat="1">
      <alignment vertical="top"/>
    </xf>
    <xf numFmtId="49" fontId="48" fillId="0" borderId="14" xfId="0" applyFont="1" applyBorder="1" applyNumberFormat="1">
      <alignment horizontal="left" vertical="center"/>
    </xf>
    <xf numFmtId="49" fontId="48" fillId="0" borderId="15" xfId="0" applyFont="1" applyBorder="1" applyNumberFormat="1">
      <alignment horizontal="left" vertical="center" indent="1"/>
    </xf>
    <xf numFmtId="49" fontId="48" fillId="0" borderId="15" xfId="0" applyFont="1" applyBorder="1" applyNumberFormat="1">
      <alignment horizontal="left" vertical="center"/>
    </xf>
    <xf numFmtId="49" fontId="48" fillId="0" borderId="13" xfId="0" applyFont="1" applyBorder="1" applyNumberFormat="1">
      <alignment horizontal="left" vertical="center" indent="1"/>
    </xf>
    <xf numFmtId="0" fontId="48" fillId="0" borderId="12" xfId="0" applyFont="1" applyBorder="1" applyNumberFormat="1">
      <alignment horizontal="left" vertical="center" indent="1"/>
    </xf>
    <xf numFmtId="49" fontId="0" fillId="0" borderId="19" xfId="0" applyFont="1" applyBorder="1" applyNumberFormat="1">
      <alignment vertical="top"/>
    </xf>
    <xf numFmtId="49" fontId="37" fillId="0" borderId="17"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0" fillId="0" borderId="13" xfId="0" applyFont="1" applyBorder="1" applyNumberFormat="1">
      <alignment horizontal="center" vertical="center" wrapText="1"/>
    </xf>
    <xf numFmtId="0" fontId="0" fillId="0" borderId="12" xfId="0" applyFont="1" applyBorder="1" applyNumberFormat="1">
      <alignment horizontal="left" vertical="center" wrapText="1"/>
    </xf>
    <xf numFmtId="49" fontId="0" fillId="0" borderId="12" xfId="0" applyFont="1" applyBorder="1" applyNumberFormat="1">
      <alignment horizontal="center" vertical="center"/>
    </xf>
    <xf numFmtId="0" fontId="0" fillId="0" borderId="12" xfId="0" applyFont="1" applyBorder="1" applyNumberFormat="1">
      <alignment horizontal="center" vertical="center" wrapText="1"/>
    </xf>
    <xf numFmtId="4" fontId="0" fillId="34" borderId="12" xfId="0" applyFont="1" applyFill="1" applyBorder="1" applyNumberFormat="1">
      <alignment horizontal="right" vertical="center" wrapText="1"/>
    </xf>
    <xf numFmtId="49" fontId="22" fillId="0" borderId="36" xfId="0" applyFont="1" applyBorder="1" applyNumberFormat="1">
      <alignment horizontal="center" vertical="top" wrapText="1"/>
    </xf>
    <xf numFmtId="0" fontId="0" fillId="39" borderId="12" xfId="0" applyFont="1" applyFill="1" applyBorder="1" applyNumberFormat="1">
      <alignment horizontal="left" vertical="center" wrapText="1"/>
      <protection locked="0"/>
    </xf>
    <xf numFmtId="49" fontId="0" fillId="39" borderId="14" xfId="0" applyFont="1" applyFill="1" applyBorder="1" applyNumberFormat="1">
      <alignment horizontal="left" vertical="center" wrapText="1"/>
      <protection locked="0"/>
    </xf>
    <xf numFmtId="0" fontId="0" fillId="0" borderId="12" xfId="0" applyFont="1" applyBorder="1" applyNumberFormat="1">
      <alignment vertical="center" wrapText="1"/>
    </xf>
    <xf numFmtId="49" fontId="0" fillId="0" borderId="29" xfId="0" applyFont="1" applyBorder="1" applyNumberFormat="1">
      <alignment horizontal="center" vertical="center" wrapText="1"/>
    </xf>
    <xf numFmtId="49" fontId="0" fillId="39"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7" fillId="0" borderId="12" xfId="0" applyFont="1" applyBorder="1" applyNumberFormat="1">
      <alignment horizontal="right" vertical="center" wrapText="1"/>
    </xf>
    <xf numFmtId="49" fontId="0" fillId="39" borderId="12" xfId="0" applyFont="1" applyFill="1" applyBorder="1" applyNumberFormat="1">
      <alignment horizontal="left" vertical="center" wrapText="1"/>
      <protection locked="0"/>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40" fillId="37" borderId="15" xfId="0" applyFont="1" applyFill="1" applyBorder="1" applyNumberFormat="1">
      <alignment horizontal="left" vertical="center"/>
    </xf>
    <xf numFmtId="49" fontId="40" fillId="37" borderId="13" xfId="0" applyFont="1" applyFill="1" applyBorder="1" applyNumberFormat="1">
      <alignment horizontal="left" vertical="center" indent="1"/>
    </xf>
    <xf numFmtId="49" fontId="22" fillId="0" borderId="23" xfId="0" applyFont="1" applyBorder="1" applyNumberFormat="1">
      <alignment horizontal="center" vertical="top" wrapText="1"/>
    </xf>
    <xf numFmtId="49" fontId="22" fillId="39" borderId="12" xfId="0" applyFont="1" applyFill="1" applyBorder="1" applyNumberFormat="1">
      <alignment horizontal="left" vertical="center" wrapText="1" indent="1"/>
      <protection locked="0"/>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0" fontId="0" fillId="0" borderId="12" xfId="0" applyFont="1" applyBorder="1" applyNumberFormat="1">
      <alignment horizontal="center" vertical="center"/>
    </xf>
    <xf numFmtId="0" fontId="22" fillId="40" borderId="12" xfId="0" applyFont="1" applyFill="1" applyBorder="1" applyNumberFormat="1">
      <alignment horizontal="left" vertical="top" wrapText="1"/>
    </xf>
    <xf numFmtId="49" fontId="22" fillId="36" borderId="12" xfId="0" applyFont="1" applyFill="1" applyBorder="1" applyNumberFormat="1">
      <alignment horizontal="left" vertical="center" wrapText="1"/>
      <protection locked="0"/>
    </xf>
    <xf numFmtId="0" fontId="0" fillId="40" borderId="12" xfId="0" applyFont="1" applyFill="1" applyBorder="1" applyNumberFormat="1">
      <alignment horizontal="left" vertical="center" wrapText="1"/>
    </xf>
    <xf numFmtId="49" fontId="0" fillId="39" borderId="12" xfId="0" applyFont="1" applyFill="1" applyBorder="1" applyNumberFormat="1">
      <alignment horizontal="left" vertical="center" wrapText="1"/>
      <protection locked="0"/>
    </xf>
    <xf numFmtId="49" fontId="22" fillId="0" borderId="12" xfId="0" applyFont="1" applyBorder="1" applyNumberFormat="1">
      <alignment horizontal="center" vertical="center" wrapText="1"/>
    </xf>
    <xf numFmtId="49" fontId="0" fillId="39"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0" fontId="0" fillId="0" borderId="0" xfId="0" applyFont="1" applyNumberFormat="1">
      <alignment horizontal="left" vertical="center" indent="1"/>
    </xf>
    <xf numFmtId="0" fontId="0" fillId="0" borderId="0" xfId="0" applyFont="1" applyNumberFormat="1">
      <alignment vertical="center"/>
    </xf>
    <xf numFmtId="0" fontId="40" fillId="37" borderId="14"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3" xfId="0" applyFont="1" applyFill="1" applyBorder="1" applyNumberFormat="1">
      <alignment horizontal="left" vertical="center"/>
    </xf>
    <xf numFmtId="49" fontId="0" fillId="0" borderId="12" xfId="0" applyFont="1" applyBorder="1" applyNumberFormat="1">
      <alignment vertical="top"/>
    </xf>
    <xf numFmtId="49" fontId="0" fillId="0" borderId="12" xfId="0" applyFont="1" applyBorder="1" applyNumberFormat="1">
      <alignment horizontal="left" vertical="top"/>
    </xf>
    <xf numFmtId="49" fontId="0" fillId="40" borderId="12" xfId="0" applyFont="1" applyFill="1" applyBorder="1" applyNumberFormat="1">
      <alignment horizontal="left" vertical="top"/>
    </xf>
    <xf numFmtId="49" fontId="0" fillId="36" borderId="12" xfId="0" applyFont="1" applyFill="1" applyBorder="1" applyNumberFormat="1">
      <alignment horizontal="left" vertical="top"/>
      <protection locked="0"/>
    </xf>
    <xf numFmtId="49" fontId="0" fillId="40" borderId="12" xfId="0" applyFont="1" applyFill="1" applyBorder="1" applyNumberFormat="1">
      <alignment horizontal="left" vertical="center" wrapText="1"/>
    </xf>
    <xf numFmtId="0" fontId="0" fillId="37" borderId="15" xfId="0" applyFont="1" applyFill="1" applyBorder="1" applyNumberFormat="1">
      <alignment vertical="center"/>
    </xf>
    <xf numFmtId="49" fontId="0" fillId="0" borderId="36" xfId="0" applyFont="1" applyBorder="1" applyNumberFormat="1">
      <alignment horizontal="left" vertical="top"/>
    </xf>
    <xf numFmtId="0" fontId="22" fillId="40" borderId="36" xfId="0" applyFont="1" applyFill="1" applyBorder="1" applyNumberFormat="1">
      <alignment horizontal="center" vertical="top" wrapText="1"/>
    </xf>
    <xf numFmtId="49" fontId="0" fillId="40" borderId="36" xfId="0" applyFont="1" applyFill="1" applyBorder="1" applyNumberFormat="1">
      <alignment horizontal="left" vertical="top"/>
    </xf>
    <xf numFmtId="49" fontId="0" fillId="36" borderId="36" xfId="0" applyFont="1" applyFill="1" applyBorder="1" applyNumberFormat="1">
      <alignment horizontal="left" vertical="top"/>
      <protection locked="0"/>
    </xf>
    <xf numFmtId="49" fontId="22" fillId="40" borderId="0" xfId="0" applyFont="1" applyFill="1" applyNumberFormat="1">
      <alignment horizontal="center" vertical="center" wrapText="1"/>
    </xf>
    <xf numFmtId="0" fontId="40" fillId="0" borderId="36" xfId="0" applyFont="1" applyBorder="1" applyNumberFormat="1">
      <alignment horizontal="left" vertical="center"/>
    </xf>
    <xf numFmtId="49" fontId="0" fillId="40" borderId="36" xfId="0" applyFont="1" applyFill="1" applyBorder="1" applyNumberFormat="1">
      <alignment horizontal="left" vertical="center" wrapText="1"/>
    </xf>
    <xf numFmtId="49" fontId="22" fillId="40" borderId="36" xfId="0" applyFont="1" applyFill="1" applyBorder="1" applyNumberFormat="1">
      <alignment horizontal="center" vertical="center" wrapText="1"/>
    </xf>
    <xf numFmtId="0" fontId="40" fillId="36" borderId="36" xfId="0" applyFont="1" applyFill="1" applyBorder="1" applyNumberFormat="1">
      <alignment horizontal="left" vertical="center"/>
      <protection locked="0"/>
    </xf>
    <xf numFmtId="0" fontId="40" fillId="39" borderId="36" xfId="0" applyFont="1" applyFill="1" applyBorder="1" applyNumberFormat="1">
      <alignment horizontal="left" vertical="center"/>
      <protection locked="0"/>
    </xf>
    <xf numFmtId="49" fontId="48" fillId="0" borderId="12" xfId="0" applyFont="1" applyBorder="1" applyNumberFormat="1">
      <alignment horizontal="center" vertical="center" wrapText="1"/>
    </xf>
    <xf numFmtId="49" fontId="48" fillId="0" borderId="14" xfId="0" applyFont="1" applyBorder="1" applyNumberFormat="1">
      <alignment horizontal="left" vertical="center" wrapText="1"/>
    </xf>
    <xf numFmtId="0" fontId="48" fillId="0" borderId="14" xfId="0" applyFont="1" applyBorder="1" applyNumberFormat="1">
      <alignment horizontal="left" vertical="center"/>
    </xf>
    <xf numFmtId="0" fontId="48" fillId="0" borderId="15" xfId="0" applyFont="1" applyBorder="1" applyNumberFormat="1">
      <alignment horizontal="left" vertical="center"/>
    </xf>
    <xf numFmtId="0" fontId="40" fillId="37" borderId="29" xfId="0" applyFont="1" applyFill="1" applyBorder="1" applyNumberFormat="1">
      <alignment horizontal="left" vertical="center"/>
    </xf>
    <xf numFmtId="49" fontId="0" fillId="36" borderId="36" xfId="0" applyFont="1" applyFill="1" applyBorder="1" applyNumberFormat="1">
      <alignment vertical="top"/>
      <protection locked="0"/>
    </xf>
    <xf numFmtId="0" fontId="0" fillId="0" borderId="0" xfId="0" applyFont="1" applyNumberFormat="1">
      <alignment vertical="center"/>
    </xf>
    <xf numFmtId="0" fontId="0" fillId="0" borderId="12" xfId="0" applyFont="1" applyBorder="1" applyNumberFormat="1">
      <alignment horizontal="center" vertical="center"/>
    </xf>
    <xf numFmtId="0" fontId="0" fillId="0" borderId="37" xfId="0" applyFont="1" applyBorder="1" applyNumberFormat="1">
      <alignment horizontal="center" vertical="center"/>
    </xf>
    <xf numFmtId="0" fontId="0" fillId="0" borderId="19" xfId="0" applyFont="1" applyBorder="1" applyNumberFormat="1">
      <alignment horizontal="center" vertical="center"/>
    </xf>
    <xf numFmtId="0" fontId="0" fillId="0" borderId="19" xfId="0" applyFont="1" applyBorder="1" applyNumberFormat="1">
      <alignment horizontal="left"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0" fillId="0" borderId="22" xfId="0" applyFont="1" applyBorder="1" applyNumberFormat="1">
      <alignment horizontal="center" vertical="center"/>
    </xf>
    <xf numFmtId="0" fontId="0" fillId="0" borderId="0" xfId="0" applyFont="1" applyNumberFormat="1">
      <alignment horizontal="center" vertical="center"/>
    </xf>
    <xf numFmtId="0" fontId="0" fillId="0" borderId="0" xfId="0" applyFont="1" applyNumberFormat="1">
      <alignment horizontal="left" vertical="center" wrapText="1"/>
    </xf>
    <xf numFmtId="49" fontId="0" fillId="0" borderId="0" xfId="0" applyFont="1" applyNumberFormat="1">
      <alignment horizontal="left" vertical="center" wrapText="1"/>
    </xf>
    <xf numFmtId="49" fontId="0" fillId="0" borderId="0" xfId="0" applyFont="1" applyNumberFormat="1">
      <alignment horizontal="left" vertical="top"/>
    </xf>
    <xf numFmtId="49" fontId="22" fillId="0" borderId="0" xfId="0" applyFont="1" applyNumberFormat="1">
      <alignment horizontal="center" vertical="center" wrapText="1"/>
    </xf>
    <xf numFmtId="0" fontId="0" fillId="0" borderId="27" xfId="0" applyFont="1" applyBorder="1" applyNumberFormat="1">
      <alignment vertical="center"/>
    </xf>
    <xf numFmtId="49" fontId="22" fillId="0" borderId="36" xfId="0" applyFont="1" applyBorder="1" applyNumberFormat="1">
      <alignment horizontal="center" vertical="center"/>
    </xf>
    <xf numFmtId="49" fontId="22" fillId="0" borderId="36" xfId="0" applyFont="1" applyBorder="1" applyNumberFormat="1">
      <alignment vertical="center" wrapText="1"/>
    </xf>
    <xf numFmtId="0" fontId="22" fillId="0" borderId="24" xfId="0" applyFont="1" applyBorder="1" applyNumberFormat="1">
      <alignment horizontal="center" vertical="center"/>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37" fillId="0" borderId="36" xfId="0" applyFont="1" applyBorder="1" applyNumberFormat="1">
      <alignment vertical="center" wrapText="1"/>
    </xf>
    <xf numFmtId="0" fontId="22" fillId="40" borderId="17" xfId="0" applyFont="1" applyFill="1" applyBorder="1" applyNumberFormat="1">
      <alignment horizontal="left" vertical="center" wrapText="1"/>
    </xf>
    <xf numFmtId="49" fontId="22" fillId="0" borderId="17" xfId="0" applyFont="1" applyBorder="1" applyNumberFormat="1">
      <alignment horizontal="center" vertical="center" wrapText="1"/>
    </xf>
    <xf numFmtId="49" fontId="22" fillId="40" borderId="17" xfId="0" applyFont="1" applyFill="1" applyBorder="1" applyNumberFormat="1">
      <alignment horizontal="left" vertical="center" wrapText="1"/>
    </xf>
    <xf numFmtId="0" fontId="22" fillId="0" borderId="17" xfId="0" applyFont="1" applyBorder="1" applyNumberFormat="1">
      <alignment horizontal="left" vertical="center" wrapText="1"/>
    </xf>
    <xf numFmtId="49" fontId="22" fillId="0" borderId="17" xfId="0" applyFont="1" applyBorder="1" applyNumberFormat="1">
      <alignment horizontal="center" vertical="center" wrapText="1"/>
    </xf>
    <xf numFmtId="49" fontId="22" fillId="40" borderId="17" xfId="0" applyFont="1" applyFill="1" applyBorder="1" applyNumberFormat="1">
      <alignment vertical="center" wrapText="1"/>
    </xf>
    <xf numFmtId="0" fontId="22" fillId="0" borderId="36" xfId="0" applyFont="1" applyBorder="1" applyNumberFormat="1">
      <alignment horizontal="left" vertical="center" wrapText="1"/>
    </xf>
    <xf numFmtId="49" fontId="22" fillId="0" borderId="36" xfId="0" applyFont="1" applyBorder="1" applyNumberFormat="1">
      <alignment horizontal="left" vertical="center" wrapText="1"/>
    </xf>
    <xf numFmtId="0" fontId="22" fillId="40" borderId="36" xfId="0" applyFont="1" applyFill="1" applyBorder="1" applyNumberFormat="1">
      <alignment horizontal="left" vertical="center" wrapText="1"/>
    </xf>
    <xf numFmtId="49" fontId="22" fillId="0" borderId="36" xfId="0" applyFont="1" applyBorder="1" applyNumberFormat="1">
      <alignment horizontal="center" vertical="center" wrapText="1"/>
    </xf>
    <xf numFmtId="0" fontId="22" fillId="0" borderId="23" xfId="0" applyFont="1" applyBorder="1" applyNumberFormat="1">
      <alignment horizontal="left" vertical="center" wrapText="1"/>
    </xf>
    <xf numFmtId="0" fontId="40" fillId="0" borderId="23" xfId="0" applyFont="1" applyBorder="1" applyNumberFormat="1">
      <alignment horizontal="left" vertical="center"/>
    </xf>
    <xf numFmtId="0" fontId="40" fillId="37" borderId="14"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3" xfId="0" applyFont="1" applyFill="1" applyBorder="1" applyNumberFormat="1">
      <alignment horizontal="left" vertical="center"/>
    </xf>
    <xf numFmtId="49" fontId="22" fillId="0" borderId="36" xfId="0" applyFont="1" applyBorder="1" applyNumberFormat="1">
      <alignment horizontal="center" vertical="center" wrapText="1"/>
    </xf>
    <xf numFmtId="0" fontId="40" fillId="37" borderId="37" xfId="0" applyFont="1" applyFill="1" applyBorder="1" applyNumberFormat="1">
      <alignment horizontal="left" vertical="center"/>
    </xf>
    <xf numFmtId="0" fontId="40" fillId="37" borderId="19" xfId="0" applyFont="1" applyFill="1" applyBorder="1" applyNumberFormat="1">
      <alignment horizontal="left" vertical="center"/>
    </xf>
    <xf numFmtId="0" fontId="40" fillId="37" borderId="20" xfId="0" applyFont="1" applyFill="1" applyBorder="1" applyNumberFormat="1">
      <alignment horizontal="left" vertical="center"/>
    </xf>
    <xf numFmtId="49" fontId="22" fillId="39" borderId="17" xfId="0" applyFont="1" applyFill="1" applyBorder="1" applyNumberFormat="1">
      <alignment horizontal="left" vertical="center" wrapText="1"/>
      <protection locked="0"/>
    </xf>
    <xf numFmtId="49" fontId="37" fillId="0" borderId="36" xfId="0" applyFont="1" applyBorder="1" applyNumberFormat="1">
      <alignment horizontal="center" vertical="center" wrapText="1"/>
    </xf>
    <xf numFmtId="0" fontId="40" fillId="37" borderId="37" xfId="0" applyFont="1" applyFill="1" applyBorder="1" applyNumberFormat="1">
      <alignment vertical="center"/>
    </xf>
    <xf numFmtId="0" fontId="40" fillId="0" borderId="36" xfId="0" applyFont="1" applyBorder="1" applyNumberFormat="1">
      <alignment horizontal="left" vertical="center"/>
    </xf>
    <xf numFmtId="49" fontId="22" fillId="36" borderId="17" xfId="0" applyFont="1" applyFill="1" applyBorder="1" applyNumberFormat="1">
      <alignment horizontal="left" vertical="center" wrapText="1"/>
      <protection locked="0"/>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0" borderId="19" xfId="0" applyFont="1" applyBorder="1" applyNumberFormat="1">
      <alignment horizontal="left" vertical="center" wrapText="1"/>
    </xf>
    <xf numFmtId="49" fontId="22" fillId="0" borderId="19" xfId="0" applyFont="1" applyBorder="1" applyNumberFormat="1">
      <alignment horizontal="left" vertical="center" wrapText="1"/>
    </xf>
    <xf numFmtId="49" fontId="37" fillId="0" borderId="19" xfId="0" applyFont="1" applyBorder="1" applyNumberFormat="1">
      <alignment vertical="center" wrapText="1"/>
    </xf>
    <xf numFmtId="49" fontId="22" fillId="0" borderId="0" xfId="0" applyFont="1" applyNumberFormat="1">
      <alignment horizontal="left" vertical="center" wrapText="1"/>
    </xf>
    <xf numFmtId="49" fontId="37" fillId="0" borderId="0" xfId="0" applyFont="1" applyNumberFormat="1">
      <alignment vertical="center" wrapText="1"/>
    </xf>
    <xf numFmtId="0" fontId="40" fillId="0" borderId="0" xfId="0" applyFont="1" applyNumberFormat="1">
      <alignment horizontal="left" vertical="center"/>
    </xf>
    <xf numFmtId="49" fontId="37" fillId="0" borderId="0" xfId="0" applyFont="1" applyNumberFormat="1">
      <alignment horizontal="center" vertical="center" wrapText="1"/>
    </xf>
    <xf numFmtId="49" fontId="95" fillId="0" borderId="12" xfId="0" applyFont="1" applyBorder="1" applyNumberFormat="1">
      <alignment vertical="top" wrapText="1"/>
    </xf>
    <xf numFmtId="49" fontId="91" fillId="0" borderId="12" xfId="0" applyFont="1" applyBorder="1" applyNumberFormat="1">
      <alignment horizontal="center" vertical="top" wrapText="1"/>
    </xf>
    <xf numFmtId="49" fontId="91" fillId="41" borderId="12" xfId="0" applyFont="1" applyFill="1" applyBorder="1" applyNumberFormat="1">
      <alignment horizontal="center" vertical="top"/>
    </xf>
    <xf numFmtId="49" fontId="91" fillId="0" borderId="12" xfId="0" applyFont="1" applyBorder="1" applyNumberFormat="1">
      <alignment vertical="top" wrapText="1"/>
    </xf>
    <xf numFmtId="0" fontId="91" fillId="0" borderId="12" xfId="0" applyFont="1" applyBorder="1" applyNumberFormat="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0" fontId="95" fillId="0" borderId="12" xfId="0" applyFont="1" applyBorder="1" applyNumberFormat="1">
      <alignment vertical="top" wrapText="1"/>
    </xf>
    <xf numFmtId="49" fontId="95" fillId="0" borderId="0" xfId="0" applyFont="1" applyNumberFormat="1">
      <alignment vertical="top" wrapText="1"/>
    </xf>
    <xf numFmtId="49" fontId="95" fillId="0" borderId="0" xfId="0" applyFont="1" applyNumberFormat="1">
      <alignment vertical="top"/>
    </xf>
    <xf numFmtId="49" fontId="95" fillId="0" borderId="0" xfId="0" applyFont="1" applyNumberFormat="1">
      <alignment horizontal="center" vertical="top" wrapText="1"/>
    </xf>
    <xf numFmtId="49" fontId="95" fillId="0" borderId="12" xfId="0" applyFont="1" applyBorder="1" applyNumberFormat="1">
      <alignment horizontal="center" vertical="top" wrapText="1"/>
    </xf>
    <xf numFmtId="49" fontId="95" fillId="0" borderId="12" xfId="0" applyFont="1" applyBorder="1" applyNumberFormat="1">
      <alignment horizontal="center" vertical="top" wrapText="1"/>
    </xf>
    <xf numFmtId="49" fontId="95" fillId="41" borderId="12" xfId="0" applyFont="1" applyFill="1" applyBorder="1" applyNumberFormat="1">
      <alignment horizontal="center" vertical="top" wrapText="1"/>
    </xf>
    <xf numFmtId="49" fontId="91" fillId="41" borderId="12" xfId="0" applyFont="1" applyFill="1" applyBorder="1" applyNumberFormat="1">
      <alignment horizontal="center" vertical="top" wrapText="1"/>
    </xf>
    <xf numFmtId="49" fontId="95" fillId="0" borderId="12" xfId="0" applyFont="1" applyBorder="1" applyNumberFormat="1">
      <alignment horizontal="left" vertical="top" wrapText="1"/>
    </xf>
    <xf numFmtId="0" fontId="91" fillId="41" borderId="12" xfId="0" applyFont="1" applyFill="1" applyBorder="1" applyNumberFormat="1">
      <alignment horizontal="center" vertical="top" wrapText="1"/>
    </xf>
    <xf numFmtId="0" fontId="95" fillId="41" borderId="12" xfId="0" applyFont="1" applyFill="1" applyBorder="1" applyNumberFormat="1">
      <alignment horizontal="right" vertical="center"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0" fontId="95" fillId="0" borderId="12" xfId="0" applyFont="1" applyBorder="1" applyNumberFormat="1">
      <alignment horizontal="left" vertical="top" wrapText="1"/>
    </xf>
    <xf numFmtId="49" fontId="95" fillId="41" borderId="12" xfId="0" applyFont="1" applyFill="1" applyBorder="1" applyNumberFormat="1">
      <alignment horizontal="left" vertical="top" wrapText="1"/>
    </xf>
    <xf numFmtId="0" fontId="95" fillId="41" borderId="12" xfId="0" applyFont="1" applyFill="1" applyBorder="1" applyNumberFormat="1">
      <alignment horizontal="center" vertical="center" wrapText="1"/>
    </xf>
    <xf numFmtId="0" fontId="95" fillId="41" borderId="12" xfId="0" applyFont="1" applyFill="1" applyBorder="1" applyNumberFormat="1">
      <alignment horizontal="center" vertical="center"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17" xfId="0" applyFont="1" applyBorder="1" applyNumberFormat="1">
      <alignment horizontal="center" vertical="top" wrapText="1"/>
    </xf>
    <xf numFmtId="0" fontId="95" fillId="0" borderId="17" xfId="0" applyFont="1" applyBorder="1" applyNumberFormat="1">
      <alignment horizontal="left" vertical="top" wrapText="1"/>
    </xf>
    <xf numFmtId="49" fontId="95" fillId="0" borderId="37" xfId="0" applyFont="1" applyBorder="1" applyNumberFormat="1">
      <alignment horizontal="center" vertical="top" wrapText="1"/>
    </xf>
    <xf numFmtId="49" fontId="95" fillId="0" borderId="37" xfId="0" applyFont="1" applyBorder="1" applyNumberFormat="1">
      <alignment horizontal="center" vertical="top" wrapText="1"/>
    </xf>
    <xf numFmtId="0" fontId="95" fillId="0" borderId="13" xfId="0" applyFont="1" applyBorder="1" applyNumberFormat="1">
      <alignment horizontal="left" vertical="top" wrapText="1"/>
    </xf>
    <xf numFmtId="49" fontId="95" fillId="0" borderId="23"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22" xfId="0" applyFont="1" applyBorder="1" applyNumberFormat="1">
      <alignment horizontal="center" vertical="top" wrapText="1"/>
    </xf>
    <xf numFmtId="0" fontId="95" fillId="0" borderId="17" xfId="0" applyFont="1" applyBorder="1" applyNumberFormat="1">
      <alignment vertical="top" wrapText="1"/>
    </xf>
    <xf numFmtId="49" fontId="91" fillId="0" borderId="12" xfId="0" applyFont="1" applyBorder="1" applyNumberFormat="1">
      <alignment horizontal="left" vertical="top" wrapText="1"/>
    </xf>
    <xf numFmtId="0" fontId="91" fillId="0" borderId="14" xfId="0" applyFont="1" applyBorder="1" applyNumberFormat="1">
      <alignment horizontal="center" vertical="center" wrapText="1"/>
    </xf>
    <xf numFmtId="0" fontId="91" fillId="0" borderId="14" xfId="0" applyFont="1" applyBorder="1" applyNumberFormat="1">
      <alignment horizontal="center" vertical="center"/>
    </xf>
    <xf numFmtId="49" fontId="91" fillId="0" borderId="12" xfId="0" applyFont="1" applyBorder="1" applyNumberFormat="1">
      <alignment horizontal="center" vertical="center" wrapText="1"/>
    </xf>
    <xf numFmtId="0" fontId="91" fillId="0" borderId="12" xfId="0" applyFont="1" applyBorder="1" applyNumberFormat="1">
      <alignment vertical="center" wrapText="1"/>
    </xf>
    <xf numFmtId="49" fontId="95" fillId="0" borderId="14" xfId="0" applyFont="1" applyBorder="1" applyNumberFormat="1">
      <alignment horizontal="left" vertical="top" wrapText="1"/>
    </xf>
    <xf numFmtId="0" fontId="91" fillId="0" borderId="12" xfId="0" applyFont="1" applyBorder="1" applyNumberFormat="1">
      <alignment horizontal="center" vertical="center" wrapText="1"/>
    </xf>
    <xf numFmtId="0" fontId="91" fillId="0" borderId="17" xfId="0" applyFont="1" applyBorder="1" applyNumberFormat="1">
      <alignment vertical="center" wrapText="1"/>
    </xf>
    <xf numFmtId="0" fontId="91" fillId="0" borderId="23" xfId="0" applyFont="1" applyBorder="1" applyNumberFormat="1">
      <alignment vertical="center" wrapText="1"/>
    </xf>
    <xf numFmtId="49" fontId="95" fillId="0" borderId="30" xfId="0" applyFont="1" applyBorder="1" applyNumberFormat="1">
      <alignment horizontal="left" vertical="top" wrapText="1"/>
    </xf>
    <xf numFmtId="49" fontId="95" fillId="0" borderId="13" xfId="0" applyFont="1" applyBorder="1" applyNumberFormat="1">
      <alignment horizontal="left" vertical="top"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pplyNumberFormat="1">
      <alignment horizontal="center" vertical="center" wrapText="1"/>
    </xf>
    <xf numFmtId="49" fontId="95" fillId="0" borderId="36" xfId="0" applyFont="1" applyBorder="1" applyNumberFormat="1">
      <alignment horizontal="left" vertical="top" wrapText="1"/>
    </xf>
    <xf numFmtId="0" fontId="95" fillId="0" borderId="36" xfId="0" applyFont="1" applyBorder="1" applyNumberFormat="1">
      <alignment horizontal="left" vertical="top" wrapText="1"/>
    </xf>
    <xf numFmtId="49" fontId="95" fillId="0" borderId="0" xfId="0" applyFont="1" applyNumberFormat="1">
      <alignment horizontal="left" vertical="top" wrapText="1"/>
    </xf>
    <xf numFmtId="49" fontId="95" fillId="41" borderId="0" xfId="0" applyFont="1" applyFill="1" applyNumberFormat="1">
      <alignment horizontal="left" vertical="top" wrapText="1"/>
    </xf>
    <xf numFmtId="0" fontId="95" fillId="0" borderId="0" xfId="0" applyFont="1" applyNumberFormat="1">
      <alignment vertical="top" wrapText="1"/>
    </xf>
    <xf numFmtId="0" fontId="46" fillId="0" borderId="19" xfId="0" applyFont="1" applyBorder="1" applyNumberFormat="1">
      <alignment horizontal="left" vertical="center" wrapText="1" indent="1"/>
    </xf>
    <xf numFmtId="0" fontId="46" fillId="0" borderId="27" xfId="0" applyFont="1" applyBorder="1" applyNumberFormat="1">
      <alignment horizontal="left" vertical="center" wrapText="1" indent="1"/>
    </xf>
    <xf numFmtId="0" fontId="0" fillId="0" borderId="0" xfId="0" applyFont="1" applyNumberFormat="1">
      <alignment horizontal="left" vertical="center"/>
    </xf>
    <xf numFmtId="0" fontId="0" fillId="35" borderId="12" xfId="0" applyFont="1" applyFill="1" applyBorder="1" applyNumberFormat="1">
      <alignment horizontal="right" vertical="center" wrapText="1" indent="1"/>
    </xf>
    <xf numFmtId="0" fontId="0" fillId="0" borderId="14" xfId="0" applyFont="1" applyBorder="1" applyNumberFormat="1">
      <alignment vertical="center"/>
    </xf>
    <xf numFmtId="0" fontId="22" fillId="0" borderId="0" xfId="0" applyFont="1" applyNumberFormat="1">
      <alignment horizontal="left" vertical="center" wrapText="1"/>
    </xf>
    <xf numFmtId="0" fontId="22" fillId="0" borderId="0" xfId="0" applyFont="1" applyNumberFormat="1">
      <alignment horizontal="right" vertical="center" wrapText="1"/>
    </xf>
    <xf numFmtId="0" fontId="22" fillId="0" borderId="0" xfId="0" applyFont="1" applyNumberFormat="1">
      <alignment horizontal="right" vertical="center" wrapText="1"/>
    </xf>
    <xf numFmtId="0" fontId="0" fillId="0" borderId="12" xfId="0" applyFont="1" applyBorder="1" applyNumberFormat="1">
      <alignment horizontal="center" vertical="center" wrapText="1"/>
    </xf>
    <xf numFmtId="0" fontId="80" fillId="35" borderId="19" xfId="0" applyFont="1" applyFill="1" applyBorder="1" applyNumberFormat="1">
      <alignment horizontal="center" vertical="center" wrapText="1"/>
    </xf>
    <xf numFmtId="0" fontId="22" fillId="35" borderId="12" xfId="0" applyFont="1" applyFill="1" applyBorder="1" applyNumberFormat="1">
      <alignment horizontal="left" vertical="center" wrapText="1"/>
    </xf>
    <xf numFmtId="4" fontId="22" fillId="34" borderId="12" xfId="0" applyFont="1" applyFill="1" applyBorder="1" applyNumberFormat="1">
      <alignment horizontal="left" vertical="center" wrapText="1"/>
    </xf>
    <xf numFmtId="0" fontId="22" fillId="0" borderId="0" xfId="0" applyFont="1" applyNumberFormat="1">
      <alignment horizontal="center" vertical="center" wrapText="1"/>
    </xf>
    <xf numFmtId="0" fontId="48" fillId="0" borderId="0" xfId="0" applyFont="1" applyNumberFormat="1">
      <alignment horizontal="center" vertical="center" wrapText="1"/>
    </xf>
    <xf numFmtId="504" fontId="0" fillId="39" borderId="12" xfId="0" applyFont="1" applyFill="1" applyBorder="1" applyNumberFormat="1">
      <alignment horizontal="center" vertical="center" wrapText="1"/>
      <protection locked="0"/>
    </xf>
    <xf numFmtId="49" fontId="22" fillId="0" borderId="12" xfId="0" applyFont="1" applyBorder="1" applyNumberFormat="1">
      <alignment horizontal="left" vertical="center" wrapText="1"/>
    </xf>
    <xf numFmtId="49" fontId="101" fillId="37" borderId="14" xfId="0" applyFont="1" applyFill="1" applyBorder="1" applyNumberFormat="1">
      <alignment horizontal="left" vertical="center"/>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47" fillId="0" borderId="0" xfId="0" applyFont="1" applyNumberFormat="1">
      <alignment horizontal="left" vertical="center"/>
    </xf>
    <xf numFmtId="49" fontId="0" fillId="0" borderId="24" xfId="0" applyFont="1" applyBorder="1" applyNumberFormat="1">
      <alignment vertical="top"/>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47" fillId="0" borderId="0" xfId="0" applyFont="1" applyNumberFormat="1">
      <alignment horizontal="left" vertical="center"/>
    </xf>
    <xf numFmtId="49" fontId="47" fillId="0" borderId="0" xfId="0" applyFont="1" applyNumberFormat="1">
      <alignment horizontal="left" vertical="top"/>
    </xf>
    <xf numFmtId="49" fontId="67" fillId="37" borderId="14" xfId="0" applyFont="1" applyFill="1" applyBorder="1" applyNumberFormat="1">
      <alignment horizontal="left" vertical="top"/>
    </xf>
    <xf numFmtId="49" fontId="109" fillId="37" borderId="15" xfId="0" applyFont="1" applyFill="1" applyBorder="1" applyNumberFormat="1">
      <alignment horizontal="left" vertical="center"/>
    </xf>
    <xf numFmtId="49" fontId="48" fillId="0" borderId="0" xfId="0" applyFont="1" applyNumberFormat="1">
      <alignment vertical="top"/>
    </xf>
    <xf numFmtId="0" fontId="22" fillId="0" borderId="0" xfId="0" applyFont="1" applyNumberFormat="1">
      <alignment horizontal="left" vertical="top" wrapText="1"/>
    </xf>
    <xf numFmtId="49" fontId="22" fillId="0" borderId="0" xfId="0" applyFont="1" applyNumberFormat="1">
      <alignment vertical="center" wrapText="1"/>
    </xf>
    <xf numFmtId="49" fontId="0" fillId="0" borderId="0" xfId="0" applyFont="1" applyNumberFormat="1">
      <alignment vertical="top"/>
    </xf>
    <xf numFmtId="49" fontId="0" fillId="0" borderId="12" xfId="0" applyFont="1" applyBorder="1" applyNumberFormat="1">
      <alignment vertical="top"/>
    </xf>
    <xf numFmtId="49" fontId="0" fillId="0" borderId="14" xfId="0" applyFont="1" applyBorder="1" applyNumberFormat="1">
      <alignment vertical="top"/>
    </xf>
    <xf numFmtId="49" fontId="0" fillId="0" borderId="12" xfId="0" applyFont="1" applyBorder="1" applyNumberFormat="1">
      <alignment horizontal="center" vertical="top"/>
    </xf>
    <xf numFmtId="49" fontId="0" fillId="0" borderId="14" xfId="0" applyFont="1" applyBorder="1" applyNumberFormat="1">
      <alignment horizontal="center" vertical="top"/>
    </xf>
    <xf numFmtId="49" fontId="0" fillId="0" borderId="12" xfId="0" applyFont="1" applyBorder="1" applyNumberFormat="1">
      <alignment vertical="top"/>
    </xf>
    <xf numFmtId="49" fontId="0" fillId="43" borderId="17" xfId="0" applyFont="1" applyFill="1" applyBorder="1" applyNumberFormat="1">
      <alignment vertical="top"/>
    </xf>
    <xf numFmtId="49" fontId="0" fillId="0" borderId="14" xfId="0" applyFont="1" applyBorder="1" applyNumberFormat="1">
      <alignment horizontal="center" vertical="top"/>
    </xf>
    <xf numFmtId="49" fontId="0" fillId="0" borderId="12" xfId="0" applyFont="1" applyBorder="1" applyNumberFormat="1">
      <alignment vertical="top"/>
    </xf>
    <xf numFmtId="49" fontId="0" fillId="0" borderId="14" xfId="0" applyFont="1" applyBorder="1" applyNumberFormat="1">
      <alignment vertical="top"/>
    </xf>
    <xf numFmtId="49" fontId="0" fillId="44" borderId="12" xfId="0" applyFont="1" applyFill="1" applyBorder="1" applyNumberFormat="1">
      <alignment vertical="top"/>
    </xf>
    <xf numFmtId="49" fontId="0" fillId="0" borderId="15" xfId="0" applyFont="1" applyBorder="1" applyNumberFormat="1">
      <alignment horizontal="center" vertical="top"/>
    </xf>
    <xf numFmtId="49" fontId="0" fillId="3" borderId="12" xfId="0" applyFont="1" applyFill="1" applyBorder="1" applyNumberFormat="1">
      <alignment vertical="top"/>
    </xf>
    <xf numFmtId="49" fontId="0" fillId="0" borderId="15" xfId="0" applyFont="1" applyBorder="1" applyNumberFormat="1">
      <alignment horizontal="center" vertical="top"/>
    </xf>
    <xf numFmtId="49" fontId="0" fillId="45" borderId="12" xfId="0" applyFont="1" applyFill="1" applyBorder="1" applyNumberFormat="1">
      <alignment vertical="top"/>
    </xf>
    <xf numFmtId="49" fontId="0" fillId="16" borderId="17" xfId="0" applyFont="1" applyFill="1" applyBorder="1" applyNumberFormat="1">
      <alignment vertical="top"/>
    </xf>
    <xf numFmtId="49" fontId="0" fillId="5" borderId="14" xfId="0" applyFont="1" applyFill="1" applyBorder="1" applyNumberFormat="1">
      <alignment vertical="top"/>
    </xf>
    <xf numFmtId="49" fontId="0" fillId="5" borderId="12" xfId="0" applyFont="1" applyFill="1" applyBorder="1" applyNumberFormat="1">
      <alignment vertical="top"/>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0" borderId="0" xfId="0" applyFont="1" applyNumberFormat="1">
      <alignment vertical="top"/>
    </xf>
    <xf numFmtId="49" fontId="0" fillId="0" borderId="0" xfId="0" applyFont="1" applyNumberFormat="1">
      <alignment vertical="top"/>
    </xf>
    <xf numFmtId="49" fontId="0" fillId="35" borderId="0" xfId="0" applyFont="1" applyFill="1" applyNumberFormat="1">
      <alignment vertical="top"/>
    </xf>
    <xf numFmtId="49" fontId="0" fillId="35" borderId="0" xfId="0" applyFont="1" applyFill="1" applyNumberFormat="1">
      <alignment vertical="top"/>
    </xf>
    <xf numFmtId="0" fontId="0" fillId="0" borderId="0" xfId="0" applyFont="1" applyNumberFormat="1">
      <alignment vertical="top"/>
    </xf>
    <xf numFmtId="0" fontId="0" fillId="0" borderId="0" xfId="0" applyFont="1" applyNumberFormat="1"/>
    <xf numFmtId="0" fontId="1" fillId="0" borderId="0" xfId="0" applyFont="1" applyNumberFormat="1"/>
    <xf numFmtId="0" fontId="29" fillId="0" borderId="0" xfId="0" applyFont="1" applyNumberFormat="1"/>
    <xf numFmtId="49" fontId="22" fillId="34" borderId="10" xfId="0" applyFont="1" applyFill="1" applyBorder="1" applyNumberFormat="1">
      <alignment horizontal="center" vertical="top"/>
    </xf>
    <xf numFmtId="49" fontId="38" fillId="0" borderId="11" xfId="0" applyFont="1" applyBorder="1" applyNumberFormat="1">
      <alignment vertical="top" wrapText="1"/>
    </xf>
    <xf numFmtId="0" fontId="0" fillId="0" borderId="11" xfId="0" applyFont="1" applyBorder="1" applyNumberFormat="1">
      <alignment vertical="top" wrapText="1"/>
    </xf>
    <xf numFmtId="0" fontId="46" fillId="0" borderId="18" xfId="0" applyFont="1" applyBorder="1" applyNumberFormat="1">
      <alignment vertical="top" wrapText="1"/>
    </xf>
    <xf numFmtId="0" fontId="0" fillId="0" borderId="0" xfId="0" applyFont="1" applyNumberFormat="1">
      <alignment vertical="top"/>
    </xf>
    <xf numFmtId="0" fontId="0" fillId="0" borderId="12" xfId="0" applyFont="1" applyBorder="1" applyNumberFormat="1">
      <alignment vertical="top" wrapText="1"/>
    </xf>
    <xf numFmtId="49" fontId="0" fillId="0" borderId="12" xfId="0" applyFont="1" applyBorder="1" applyNumberFormat="1">
      <alignment vertical="top" wrapText="1"/>
    </xf>
    <xf numFmtId="49" fontId="0" fillId="0" borderId="17" xfId="0" applyFont="1" applyBorder="1" applyNumberFormat="1">
      <alignment vertical="top"/>
    </xf>
    <xf numFmtId="49" fontId="0" fillId="0" borderId="0" xfId="0" applyFont="1" applyNumberFormat="1">
      <alignment vertical="top"/>
    </xf>
    <xf numFmtId="0" fontId="50" fillId="0" borderId="11" xfId="0" applyFont="1" applyBorder="1" applyNumberFormat="1">
      <alignment vertical="center" wrapText="1"/>
    </xf>
    <xf numFmtId="0" fontId="46" fillId="0" borderId="0" xfId="0" applyFont="1" applyNumberFormat="1">
      <alignment vertical="top" wrapText="1"/>
    </xf>
    <xf numFmtId="0" fontId="22" fillId="0" borderId="11" xfId="0" applyFont="1" applyBorder="1" applyNumberFormat="1">
      <alignment vertical="center" wrapText="1"/>
    </xf>
    <xf numFmtId="0" fontId="115" fillId="0" borderId="0" xfId="0" applyFont="1" applyNumberForma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102" fillId="0" borderId="0" xfId="0" applyFont="1" applyNumberFormat="1">
      <alignment vertical="center" wrapText="1"/>
    </xf>
    <xf numFmtId="0" fontId="102" fillId="0" borderId="0" xfId="0" applyFont="1" applyNumberFormat="1">
      <alignment horizontal="left" vertical="center" wrapText="1"/>
    </xf>
    <xf numFmtId="49" fontId="117" fillId="0" borderId="0" xfId="0" applyFont="1" applyNumberFormat="1">
      <alignment wrapText="1"/>
    </xf>
    <xf numFmtId="0" fontId="102" fillId="0" borderId="0" xfId="0" applyFont="1" applyNumberFormat="1">
      <alignment vertical="center"/>
    </xf>
    <xf numFmtId="0" fontId="46" fillId="0" borderId="0" xfId="0" applyFont="1" applyNumberFormat="1">
      <alignment horizontal="left" vertical="top" wrapText="1"/>
    </xf>
    <xf numFmtId="49" fontId="22" fillId="0" borderId="0" xfId="0" applyFont="1" applyNumberFormat="1">
      <alignment vertical="top" wrapText="1"/>
    </xf>
    <xf numFmtId="0" fontId="46" fillId="56" borderId="63" xfId="0" applyFont="1" applyFill="1" applyBorder="1" applyNumberFormat="1">
      <alignment horizontal="center" vertical="center" wrapText="1"/>
    </xf>
    <xf numFmtId="0" fontId="46" fillId="56" borderId="64" xfId="0" applyFont="1" applyFill="1" applyBorder="1" applyNumberFormat="1">
      <alignment horizontal="center" vertical="center" wrapText="1"/>
    </xf>
    <xf numFmtId="0" fontId="46" fillId="56" borderId="65" xfId="0" applyFont="1" applyFill="1" applyBorder="1" applyNumberFormat="1">
      <alignment horizontal="center" vertical="center" wrapText="1"/>
    </xf>
    <xf numFmtId="0" fontId="66" fillId="0" borderId="0" xfId="0" applyFont="1" applyNumberFormat="1">
      <alignment wrapText="1"/>
    </xf>
    <xf numFmtId="0" fontId="46" fillId="46" borderId="38" xfId="0" applyFont="1" applyFill="1" applyBorder="1" applyNumberFormat="1">
      <alignment horizontal="right" vertical="center" wrapText="1" indent="1"/>
    </xf>
    <xf numFmtId="0" fontId="46" fillId="46" borderId="66" xfId="0" applyFont="1" applyFill="1" applyBorder="1" applyNumberFormat="1">
      <alignment horizontal="right" vertical="center" wrapText="1" indent="1"/>
    </xf>
    <xf numFmtId="0" fontId="118" fillId="0" borderId="0" xfId="0" applyFont="1" applyNumberFormat="1">
      <alignment horizontal="left" vertical="center" wrapText="1"/>
    </xf>
    <xf numFmtId="0" fontId="119" fillId="0" borderId="0" xfId="0" applyFont="1" applyNumberFormat="1">
      <alignment vertical="center" wrapText="1"/>
    </xf>
    <xf numFmtId="0" fontId="66" fillId="0" borderId="38" xfId="0" applyFont="1" applyBorder="1" applyNumberFormat="1">
      <alignment wrapText="1"/>
    </xf>
    <xf numFmtId="0" fontId="66" fillId="0" borderId="0" xfId="0" applyFont="1" applyNumberFormat="1"/>
    <xf numFmtId="0" fontId="118" fillId="0" borderId="0" xfId="0" applyFont="1" applyNumberFormat="1"/>
    <xf numFmtId="0" fontId="120" fillId="0" borderId="0" xfId="0" applyFont="1" applyNumberFormat="1">
      <alignment wrapText="1"/>
    </xf>
    <xf numFmtId="0" fontId="0" fillId="36" borderId="60" xfId="0" applyFont="1" applyFill="1" applyBorder="1" applyNumberFormat="1">
      <alignment horizontal="center" vertical="center" wrapText="1"/>
    </xf>
    <xf numFmtId="0" fontId="120" fillId="0" borderId="38" xfId="0" applyFont="1" applyBorder="1" applyNumberFormat="1">
      <alignment vertical="center" wrapText="1"/>
    </xf>
    <xf numFmtId="0" fontId="120" fillId="0" borderId="0" xfId="0" applyFont="1" applyNumberFormat="1">
      <alignment vertical="center" wrapText="1"/>
    </xf>
    <xf numFmtId="0" fontId="0" fillId="53" borderId="60" xfId="0" applyFont="1" applyFill="1" applyBorder="1" applyNumberFormat="1">
      <alignment horizontal="center" vertical="center" wrapText="1"/>
    </xf>
    <xf numFmtId="0" fontId="120" fillId="0" borderId="38" xfId="0" applyFont="1" applyBorder="1" applyNumberFormat="1">
      <alignment horizontal="left" vertical="center" wrapText="1"/>
    </xf>
    <xf numFmtId="0" fontId="120" fillId="0" borderId="0" xfId="0" applyFont="1" applyNumberFormat="1">
      <alignment horizontal="left" vertical="center" wrapText="1"/>
    </xf>
    <xf numFmtId="0" fontId="0" fillId="34" borderId="60" xfId="0" applyFont="1" applyFill="1" applyBorder="1" applyNumberFormat="1">
      <alignment horizontal="center" vertical="center" wrapText="1"/>
    </xf>
    <xf numFmtId="0" fontId="0" fillId="39" borderId="60" xfId="0" applyFont="1" applyFill="1" applyBorder="1" applyNumberFormat="1">
      <alignment horizontal="center" vertical="center" wrapText="1"/>
    </xf>
    <xf numFmtId="0" fontId="46" fillId="46" borderId="0" xfId="0" applyFont="1" applyFill="1" applyNumberFormat="1">
      <alignment horizontal="right" vertical="center" wrapText="1" indent="1"/>
    </xf>
    <xf numFmtId="0" fontId="118" fillId="0" borderId="38" xfId="0" applyFont="1" applyBorder="1" applyNumberFormat="1">
      <alignment horizontal="left" vertical="center" wrapText="1"/>
    </xf>
    <xf numFmtId="0" fontId="118" fillId="0" borderId="61" xfId="0" applyFont="1" applyBorder="1" applyNumberFormat="1">
      <alignment horizontal="left" vertical="center" wrapText="1"/>
    </xf>
    <xf numFmtId="0" fontId="46" fillId="46" borderId="60" xfId="0" applyFont="1" applyFill="1" applyBorder="1" applyNumberFormat="1">
      <alignment horizontal="right" vertical="center" wrapText="1" indent="1"/>
    </xf>
    <xf numFmtId="0" fontId="46" fillId="46" borderId="67" xfId="0" applyFont="1" applyFill="1" applyBorder="1" applyNumberFormat="1">
      <alignment horizontal="right" vertical="center" wrapText="1" indent="1"/>
    </xf>
    <xf numFmtId="0" fontId="120" fillId="0" borderId="0" xfId="0" applyFont="1" applyNumberFormat="1"/>
    <xf numFmtId="0" fontId="120" fillId="0" borderId="38" xfId="0" applyFont="1" applyBorder="1" applyNumberFormat="1">
      <alignment wrapText="1"/>
    </xf>
    <xf numFmtId="0" fontId="120" fillId="0" borderId="0" xfId="0" applyFont="1" applyNumberFormat="1">
      <alignment vertical="top" wrapText="1"/>
    </xf>
    <xf numFmtId="0" fontId="46" fillId="46" borderId="62" xfId="0" applyFont="1" applyFill="1" applyBorder="1" applyNumberFormat="1">
      <alignment horizontal="right" vertical="center" wrapText="1" indent="1"/>
    </xf>
    <xf numFmtId="0" fontId="46" fillId="46" borderId="39" xfId="0" applyFont="1" applyFill="1" applyBorder="1" applyNumberFormat="1">
      <alignment horizontal="right" vertical="center" wrapText="1" indent="1"/>
    </xf>
    <xf numFmtId="0" fontId="66" fillId="0" borderId="62" xfId="0" applyFont="1" applyBorder="1" applyNumberFormat="1">
      <alignment wrapText="1"/>
    </xf>
    <xf numFmtId="0" fontId="66" fillId="0" borderId="39" xfId="0" applyFont="1" applyBorder="1" applyNumberFormat="1">
      <alignment wrapText="1"/>
    </xf>
    <xf numFmtId="0" fontId="66" fillId="0" borderId="39" xfId="0" applyFont="1" applyBorder="1" applyNumberFormat="1">
      <alignment vertical="center" wrapText="1"/>
    </xf>
    <xf numFmtId="0" fontId="116" fillId="0" borderId="0" xfId="0" applyFont="1" applyNumberFormat="1"/>
    <xf numFmtId="49" fontId="66" fillId="0" borderId="0" xfId="0" applyFont="1" applyNumberFormat="1">
      <alignment vertical="top" wrapText="1"/>
    </xf>
    <xf numFmtId="0" fontId="29" fillId="0" borderId="0" xfId="0" applyFont="1" applyNumberFormat="1"/>
    <xf numFmtId="0" fontId="63" fillId="0" borderId="0" xfId="0" applyFont="1" applyNumberFormat="1">
      <alignment vertical="center" wrapText="1"/>
    </xf>
    <xf numFmtId="0" fontId="91" fillId="0" borderId="0" xfId="0" applyFont="1" applyNumberFormat="1">
      <alignment horizontal="left" vertical="center" wrapText="1"/>
    </xf>
    <xf numFmtId="0" fontId="63" fillId="0" borderId="0" xfId="0" applyFont="1" applyNumberFormat="1">
      <alignment horizontal="left" vertical="center" wrapText="1"/>
    </xf>
    <xf numFmtId="0" fontId="63" fillId="0" borderId="0" xfId="0" applyFont="1" applyNumberFormat="1">
      <alignment vertical="center" wrapText="1"/>
    </xf>
    <xf numFmtId="0" fontId="32" fillId="0" borderId="0" xfId="0" applyFont="1" applyNumberFormat="1">
      <alignment horizontal="center" vertical="center" wrapText="1"/>
    </xf>
    <xf numFmtId="0" fontId="32" fillId="0" borderId="0" xfId="0" applyFont="1" applyNumberFormat="1">
      <alignment vertical="center" wrapText="1"/>
    </xf>
    <xf numFmtId="0" fontId="48" fillId="0" borderId="0" xfId="0" applyFont="1" applyNumberFormat="1">
      <alignment vertical="center" wrapText="1"/>
    </xf>
    <xf numFmtId="0" fontId="32" fillId="0" borderId="0" xfId="0" applyFont="1" applyNumberFormat="1">
      <alignment vertical="center" wrapText="1"/>
    </xf>
    <xf numFmtId="0" fontId="32" fillId="0" borderId="0" xfId="0" applyFont="1" applyNumberFormat="1">
      <alignment horizontal="left" vertical="center" wrapText="1"/>
    </xf>
    <xf numFmtId="0" fontId="22" fillId="0" borderId="0" xfId="0" applyFont="1" applyNumberFormat="1">
      <alignment horizontal="left" vertical="top" indent="1"/>
    </xf>
    <xf numFmtId="49" fontId="66" fillId="0" borderId="0" xfId="0" applyFont="1" applyNumberFormat="1">
      <alignment vertical="top"/>
    </xf>
    <xf numFmtId="49" fontId="22" fillId="0" borderId="0" xfId="0" applyFont="1" applyNumberFormat="1">
      <alignment vertical="center" wrapText="1"/>
    </xf>
    <xf numFmtId="49" fontId="47" fillId="0" borderId="0" xfId="0" applyFont="1" applyNumberFormat="1">
      <alignment vertical="center" wrapText="1"/>
    </xf>
    <xf numFmtId="0" fontId="0" fillId="0" borderId="0" xfId="0" applyFont="1" applyNumberFormat="1">
      <alignment horizontal="left" vertical="center" indent="1"/>
    </xf>
    <xf numFmtId="49" fontId="0" fillId="0" borderId="0" xfId="0" applyFont="1" applyNumberFormat="1">
      <alignment vertical="top"/>
    </xf>
    <xf numFmtId="49" fontId="47" fillId="0" borderId="0" xfId="0" applyFont="1" applyNumberFormat="1">
      <alignment vertical="top"/>
    </xf>
    <xf numFmtId="49" fontId="0" fillId="0" borderId="0" xfId="0" applyFont="1" applyNumberFormat="1">
      <alignment vertical="top"/>
    </xf>
    <xf numFmtId="0" fontId="22" fillId="0" borderId="0" xfId="0" applyFont="1" applyNumberFormat="1">
      <alignment vertical="center" wrapText="1"/>
    </xf>
    <xf numFmtId="0" fontId="60" fillId="0" borderId="0" xfId="0" applyFont="1" applyNumberFormat="1">
      <alignment vertical="center" wrapText="1"/>
    </xf>
    <xf numFmtId="0" fontId="91" fillId="0" borderId="0" xfId="0" applyFont="1" applyNumberFormat="1">
      <alignment horizontal="left" vertical="center" wrapText="1"/>
    </xf>
    <xf numFmtId="0" fontId="58" fillId="0" borderId="0" xfId="0" applyFont="1" applyNumberFormat="1">
      <alignment horizontal="left" vertical="center" wrapText="1"/>
    </xf>
    <xf numFmtId="0" fontId="59" fillId="0" borderId="0" xfId="0" applyFont="1" applyNumberFormat="1">
      <alignment vertical="center" wrapText="1"/>
    </xf>
    <xf numFmtId="0" fontId="60" fillId="35" borderId="0" xfId="0" applyFont="1" applyFill="1" applyNumberFormat="1">
      <alignment vertical="center" wrapText="1"/>
    </xf>
    <xf numFmtId="0" fontId="60" fillId="0" borderId="0" xfId="0" applyFont="1" applyNumberFormat="1">
      <alignment vertical="center" wrapText="1"/>
    </xf>
    <xf numFmtId="0" fontId="60" fillId="0" borderId="0" xfId="0" applyFont="1" applyNumberFormat="1">
      <alignment horizontal="right" vertical="center"/>
    </xf>
    <xf numFmtId="0" fontId="22" fillId="0" borderId="0" xfId="0" applyFont="1" applyNumberFormat="1">
      <alignment horizontal="center" vertical="center" wrapText="1"/>
    </xf>
    <xf numFmtId="0" fontId="22" fillId="0" borderId="0" xfId="0" applyFont="1" applyNumberFormat="1">
      <alignment vertical="center" wrapText="1"/>
    </xf>
    <xf numFmtId="0" fontId="88" fillId="0" borderId="0" xfId="0" applyFont="1" applyNumberFormat="1">
      <alignment vertical="center" wrapText="1"/>
    </xf>
    <xf numFmtId="0" fontId="60" fillId="0" borderId="0" xfId="0" applyFont="1" applyNumberFormat="1">
      <alignment vertical="center" wrapText="1"/>
    </xf>
    <xf numFmtId="0" fontId="34" fillId="35" borderId="0" xfId="0" applyFont="1" applyFill="1" applyNumberFormat="1">
      <alignment vertical="center" wrapText="1"/>
    </xf>
    <xf numFmtId="0" fontId="22" fillId="0" borderId="13" xfId="0" applyFont="1" applyBorder="1" applyNumberFormat="1">
      <alignment horizontal="center" vertical="center" wrapText="1"/>
    </xf>
    <xf numFmtId="0" fontId="22" fillId="0" borderId="14" xfId="0" applyFont="1" applyBorder="1" applyNumberFormat="1">
      <alignment horizontal="center" vertical="center" wrapText="1"/>
    </xf>
    <xf numFmtId="0" fontId="50" fillId="35" borderId="0" xfId="0" applyFont="1" applyFill="1" applyNumberFormat="1">
      <alignment vertical="center" wrapText="1"/>
    </xf>
    <xf numFmtId="0" fontId="96" fillId="0" borderId="0" xfId="0" applyFont="1" applyNumberFormat="1">
      <alignment vertical="center" wrapText="1"/>
    </xf>
    <xf numFmtId="0" fontId="60" fillId="35" borderId="0" xfId="0" applyFont="1" applyFill="1" applyNumberFormat="1">
      <alignment horizontal="right" vertical="center" wrapText="1" indent="1"/>
    </xf>
    <xf numFmtId="0" fontId="62" fillId="35" borderId="0" xfId="0" applyFont="1" applyFill="1" applyNumberFormat="1">
      <alignment horizontal="center" vertical="center" wrapText="1"/>
    </xf>
    <xf numFmtId="0" fontId="22" fillId="35" borderId="26" xfId="0" applyFont="1" applyFill="1" applyBorder="1" applyNumberFormat="1">
      <alignment horizontal="right" vertical="center" wrapText="1" indent="1"/>
    </xf>
    <xf numFmtId="0" fontId="0" fillId="34" borderId="12" xfId="0" applyFont="1" applyFill="1" applyBorder="1" applyNumberFormat="1">
      <alignment horizontal="left" vertical="center" wrapText="1" indent="1"/>
    </xf>
    <xf numFmtId="14" fontId="91" fillId="35" borderId="0" xfId="0" applyFont="1" applyFill="1" applyNumberFormat="1">
      <alignment horizontal="left" vertical="center" wrapText="1"/>
    </xf>
    <xf numFmtId="0" fontId="58" fillId="35" borderId="0" xfId="0" applyFont="1" applyFill="1" applyNumberFormat="1">
      <alignment horizontal="center" vertical="center" wrapText="1"/>
    </xf>
    <xf numFmtId="0" fontId="60" fillId="35" borderId="0" xfId="0" applyFont="1" applyFill="1" applyNumberFormat="1">
      <alignment horizontal="left" vertical="center" wrapText="1" indent="1"/>
    </xf>
    <xf numFmtId="0" fontId="22" fillId="35" borderId="0" xfId="0" applyFont="1" applyFill="1" applyNumberFormat="1">
      <alignment horizontal="center" vertical="center" wrapText="1"/>
    </xf>
    <xf numFmtId="0" fontId="88" fillId="0" borderId="0" xfId="0" applyFont="1" applyNumberFormat="1">
      <alignment horizontal="center" vertical="center" wrapText="1"/>
    </xf>
    <xf numFmtId="0" fontId="22" fillId="0" borderId="0" xfId="0" applyFont="1" applyNumberFormat="1">
      <alignment vertical="center" wrapText="1"/>
    </xf>
    <xf numFmtId="0" fontId="33" fillId="0" borderId="0" xfId="0" applyFont="1" applyNumberFormat="1">
      <alignment vertical="center" wrapText="1"/>
    </xf>
    <xf numFmtId="0" fontId="34" fillId="35" borderId="0" xfId="0" applyFont="1" applyFill="1" applyNumberFormat="1">
      <alignment vertical="center" wrapText="1"/>
    </xf>
    <xf numFmtId="0" fontId="22" fillId="35" borderId="26" xfId="0" applyFont="1" applyFill="1" applyBorder="1" applyNumberFormat="1">
      <alignment horizontal="right" vertical="center" wrapText="1" indent="1"/>
    </xf>
    <xf numFmtId="0" fontId="22" fillId="39" borderId="12" xfId="0" applyFont="1" applyFill="1" applyBorder="1" applyNumberFormat="1">
      <alignment horizontal="left" vertical="top" wrapText="1" indent="1"/>
      <protection locked="0"/>
    </xf>
    <xf numFmtId="0" fontId="22" fillId="0" borderId="0" xfId="0" applyFont="1" applyNumberFormat="1">
      <alignment horizontal="left" vertical="center" wrapText="1"/>
    </xf>
    <xf numFmtId="0" fontId="47" fillId="0" borderId="0" xfId="0" applyFont="1" applyNumberFormat="1">
      <alignment vertical="center" wrapText="1"/>
    </xf>
    <xf numFmtId="0" fontId="58" fillId="0" borderId="0" xfId="0" applyFont="1" applyNumberFormat="1">
      <alignment horizontal="left" vertical="center" wrapText="1"/>
    </xf>
    <xf numFmtId="0" fontId="59" fillId="0" borderId="0" xfId="0" applyFont="1" applyNumberFormat="1">
      <alignment vertical="center" wrapText="1"/>
    </xf>
    <xf numFmtId="49" fontId="22" fillId="40" borderId="12" xfId="0" applyFont="1" applyFill="1" applyBorder="1" applyNumberFormat="1">
      <alignment horizontal="left" vertical="center" wrapText="1" indent="1"/>
    </xf>
    <xf numFmtId="0" fontId="60" fillId="0" borderId="0" xfId="0" applyFont="1" applyNumberFormat="1">
      <alignment vertical="center" wrapText="1"/>
    </xf>
    <xf numFmtId="14" fontId="93" fillId="0" borderId="12" xfId="0" applyFont="1" applyBorder="1" applyNumberFormat="1">
      <alignment horizontal="center" vertical="center" wrapText="1"/>
    </xf>
    <xf numFmtId="504" fontId="0" fillId="39" borderId="12" xfId="0" applyFont="1" applyFill="1" applyBorder="1" applyNumberFormat="1">
      <alignment horizontal="left" vertical="center" wrapText="1" indent="1"/>
      <protection locked="0"/>
    </xf>
    <xf numFmtId="0" fontId="53" fillId="0" borderId="0" xfId="0" applyFont="1" applyNumberFormat="1">
      <alignment horizontal="left" vertical="center" indent="1"/>
    </xf>
    <xf numFmtId="0" fontId="22" fillId="35" borderId="0" xfId="0" applyFont="1" applyFill="1" applyNumberFormat="1">
      <alignment vertical="center" wrapText="1"/>
    </xf>
    <xf numFmtId="14" fontId="93" fillId="0" borderId="12" xfId="0" applyFont="1" applyBorder="1" applyNumberFormat="1">
      <alignment horizontal="left" vertical="center" wrapText="1"/>
    </xf>
    <xf numFmtId="49" fontId="22" fillId="35" borderId="26" xfId="0" applyFont="1" applyFill="1" applyBorder="1" applyNumberFormat="1">
      <alignment horizontal="right" vertical="center" wrapText="1" indent="1"/>
    </xf>
    <xf numFmtId="504" fontId="0" fillId="39" borderId="12" xfId="0" applyFont="1" applyFill="1" applyBorder="1" applyNumberFormat="1">
      <alignment horizontal="left" vertical="center" wrapText="1" indent="1"/>
      <protection locked="0"/>
    </xf>
    <xf numFmtId="49" fontId="47" fillId="0" borderId="0" xfId="0" applyFont="1" applyNumberFormat="1">
      <alignment vertical="center" wrapText="1"/>
    </xf>
    <xf numFmtId="0" fontId="0" fillId="39" borderId="12"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504" fontId="0" fillId="0" borderId="12" xfId="0" applyFont="1" applyBorder="1" applyNumberFormat="1">
      <alignment horizontal="left" vertical="center" wrapText="1" indent="1"/>
    </xf>
    <xf numFmtId="0" fontId="0" fillId="35" borderId="0" xfId="0" applyFont="1" applyFill="1" applyNumberFormat="1">
      <alignment horizontal="right" vertical="center" wrapText="1" indent="1"/>
    </xf>
    <xf numFmtId="0" fontId="96" fillId="0" borderId="0" xfId="0" applyFont="1" applyNumberFormat="1">
      <alignment horizontal="left" vertical="center" wrapText="1"/>
    </xf>
    <xf numFmtId="0" fontId="22" fillId="35" borderId="0" xfId="0" applyFont="1" applyFill="1" applyNumberFormat="1">
      <alignment horizontal="right" vertical="center" wrapText="1" indent="1"/>
    </xf>
    <xf numFmtId="0" fontId="22" fillId="0" borderId="0" xfId="0" applyFont="1" applyNumberFormat="1">
      <alignment horizontal="center" vertical="center" wrapText="1"/>
    </xf>
    <xf numFmtId="0" fontId="22" fillId="35" borderId="0" xfId="0" applyFont="1" applyFill="1" applyNumberFormat="1">
      <alignment horizontal="center" vertical="center" wrapText="1"/>
    </xf>
    <xf numFmtId="0" fontId="0" fillId="35" borderId="0" xfId="0" applyFont="1" applyFill="1" applyNumberFormat="1">
      <alignment horizontal="left" vertical="center" wrapText="1" indent="1"/>
    </xf>
    <xf numFmtId="49" fontId="22" fillId="39" borderId="12" xfId="0" applyFont="1" applyFill="1" applyBorder="1" applyNumberFormat="1">
      <alignment horizontal="left" vertical="center" wrapText="1" indent="1"/>
      <protection locked="0"/>
    </xf>
    <xf numFmtId="49" fontId="22" fillId="0" borderId="12" xfId="0" applyFont="1" applyBorder="1" applyNumberFormat="1">
      <alignment horizontal="left" vertical="center" wrapText="1" indent="1"/>
    </xf>
    <xf numFmtId="0" fontId="33" fillId="0" borderId="0" xfId="0" applyFont="1" applyNumberFormat="1">
      <alignment horizontal="center" vertical="center" wrapText="1"/>
    </xf>
    <xf numFmtId="0" fontId="35" fillId="35" borderId="0" xfId="0" applyFont="1" applyFill="1" applyNumberFormat="1">
      <alignment horizontal="center" vertical="center" wrapText="1"/>
    </xf>
    <xf numFmtId="49" fontId="22" fillId="34" borderId="12" xfId="0" applyFont="1" applyFill="1" applyBorder="1" applyNumberFormat="1">
      <alignment horizontal="left" vertical="center" wrapText="1" indent="1"/>
    </xf>
    <xf numFmtId="14" fontId="22" fillId="35" borderId="0" xfId="0" applyFont="1" applyFill="1" applyNumberFormat="1">
      <alignment horizontal="center" vertical="center" wrapText="1"/>
    </xf>
    <xf numFmtId="0" fontId="0" fillId="35" borderId="26" xfId="0" applyFont="1" applyFill="1" applyBorder="1" applyNumberFormat="1">
      <alignment horizontal="right" vertical="center" wrapText="1" indent="1"/>
    </xf>
    <xf numFmtId="0" fontId="22" fillId="0" borderId="0" xfId="0" applyFont="1" applyNumberFormat="1">
      <alignment vertical="center"/>
    </xf>
    <xf numFmtId="14" fontId="22" fillId="35" borderId="0" xfId="0" applyFont="1" applyFill="1" applyNumberFormat="1">
      <alignment horizontal="left" vertical="center" wrapText="1"/>
    </xf>
    <xf numFmtId="0" fontId="22" fillId="39" borderId="12" xfId="0" applyFont="1" applyFill="1" applyBorder="1" applyNumberFormat="1">
      <alignment horizontal="left" vertical="center" wrapText="1" indent="1"/>
      <protection locked="0"/>
    </xf>
    <xf numFmtId="0" fontId="61" fillId="35" borderId="0" xfId="0" applyFont="1" applyFill="1" applyNumberFormat="1">
      <alignment horizontal="right" vertical="center" wrapText="1" indent="1"/>
    </xf>
    <xf numFmtId="0" fontId="61" fillId="35" borderId="0" xfId="0" applyFont="1" applyFill="1" applyNumberFormat="1">
      <alignment horizontal="left" vertical="center" wrapText="1" indent="1"/>
    </xf>
    <xf numFmtId="49" fontId="22" fillId="40" borderId="12" xfId="0" applyFont="1" applyFill="1" applyBorder="1" applyNumberFormat="1">
      <alignment horizontal="left" vertical="center" wrapText="1" indent="1"/>
    </xf>
    <xf numFmtId="0" fontId="60" fillId="35" borderId="0" xfId="0" applyFont="1" applyFill="1" applyNumberFormat="1">
      <alignment vertical="center" wrapText="1"/>
    </xf>
    <xf numFmtId="0" fontId="61" fillId="35" borderId="0" xfId="0" applyFont="1" applyFill="1" applyNumberFormat="1">
      <alignment horizontal="right" vertical="center" wrapText="1" indent="1"/>
    </xf>
    <xf numFmtId="0" fontId="32" fillId="0" borderId="0" xfId="0" applyFont="1" applyNumberFormat="1">
      <alignment horizontal="left" vertical="center" wrapText="1"/>
    </xf>
    <xf numFmtId="49" fontId="124" fillId="0" borderId="12" xfId="0" applyFont="1" applyBorder="1" applyNumberFormat="1">
      <alignment horizontal="left" vertical="center" wrapText="1" indent="1"/>
    </xf>
    <xf numFmtId="0" fontId="32" fillId="0" borderId="0" xfId="0" applyFont="1" applyNumberFormat="1">
      <alignment horizontal="left" vertical="center" wrapText="1"/>
    </xf>
    <xf numFmtId="14" fontId="92" fillId="0" borderId="0" xfId="0" applyFont="1" applyNumberFormat="1">
      <alignment horizontal="center" vertical="center" wrapText="1"/>
    </xf>
    <xf numFmtId="0" fontId="33" fillId="0" borderId="0" xfId="0" applyFont="1" applyNumberFormat="1">
      <alignment vertical="center" wrapText="1"/>
    </xf>
    <xf numFmtId="0" fontId="32" fillId="0" borderId="0" xfId="0" applyFont="1" applyNumberFormat="1">
      <alignment horizontal="center" vertical="center" wrapText="1"/>
    </xf>
    <xf numFmtId="0" fontId="22" fillId="0" borderId="0" xfId="0" applyFont="1" applyNumberFormat="1">
      <alignment horizontal="center" vertical="center" wrapText="1"/>
    </xf>
    <xf numFmtId="0" fontId="47" fillId="0" borderId="0" xfId="0" applyFont="1" applyNumberFormat="1">
      <alignment horizontal="center" vertical="center" wrapText="1"/>
    </xf>
    <xf numFmtId="0" fontId="47" fillId="0" borderId="0" xfId="0" applyFont="1" applyNumberFormat="1">
      <alignment vertical="center" wrapText="1"/>
    </xf>
    <xf numFmtId="0" fontId="83" fillId="0" borderId="0" xfId="0" applyFont="1" applyNumberFormat="1">
      <alignment vertical="center" wrapText="1"/>
    </xf>
    <xf numFmtId="0" fontId="22" fillId="0" borderId="0" xfId="0" applyFont="1" applyNumberFormat="1">
      <alignment vertical="center" wrapText="1"/>
    </xf>
    <xf numFmtId="0" fontId="22" fillId="40" borderId="12" xfId="0" applyFont="1" applyFill="1" applyBorder="1" applyNumberFormat="1">
      <alignment horizontal="left" vertical="center" wrapText="1" indent="1"/>
    </xf>
    <xf numFmtId="504" fontId="0" fillId="0" borderId="11" xfId="0" applyFont="1" applyBorder="1" applyNumberFormat="1">
      <alignment horizontal="left" vertical="center" wrapText="1" indent="1"/>
    </xf>
    <xf numFmtId="0" fontId="22" fillId="40" borderId="12" xfId="0" applyFont="1" applyFill="1" applyBorder="1" applyNumberFormat="1">
      <alignment horizontal="left" vertical="center" wrapText="1" indent="1"/>
    </xf>
    <xf numFmtId="0" fontId="22" fillId="39" borderId="12" xfId="0" applyFont="1" applyFill="1" applyBorder="1" applyNumberFormat="1">
      <alignment horizontal="left" vertical="center" wrapText="1" indent="1"/>
      <protection locked="0"/>
    </xf>
    <xf numFmtId="49" fontId="22" fillId="40" borderId="12" xfId="0" applyFont="1" applyFill="1" applyBorder="1" applyNumberFormat="1">
      <alignment horizontal="left" vertical="center" wrapText="1" indent="1"/>
    </xf>
    <xf numFmtId="0" fontId="91" fillId="0" borderId="0" xfId="0" applyFont="1" applyNumberFormat="1">
      <alignment horizontal="left" vertical="center" wrapText="1"/>
    </xf>
    <xf numFmtId="49" fontId="32" fillId="0" borderId="0" xfId="0" applyFont="1" applyNumberFormat="1">
      <alignment horizontal="left" vertical="center" wrapText="1"/>
    </xf>
    <xf numFmtId="49" fontId="34" fillId="35" borderId="0" xfId="0" applyFont="1" applyFill="1" applyNumberFormat="1">
      <alignment horizontal="center" vertical="center" wrapText="1"/>
    </xf>
    <xf numFmtId="0" fontId="22" fillId="0" borderId="0" xfId="0" applyFont="1" applyNumberFormat="1">
      <alignment horizontal="left" vertical="center" wrapText="1" indent="4"/>
    </xf>
    <xf numFmtId="0" fontId="22" fillId="0" borderId="0" xfId="0" applyFont="1" applyNumberFormat="1">
      <alignment horizontal="left" vertical="center" wrapText="1" indent="1"/>
    </xf>
    <xf numFmtId="49" fontId="22" fillId="39" borderId="12" xfId="0" applyFont="1" applyFill="1" applyBorder="1" applyNumberFormat="1">
      <alignment horizontal="left" vertical="center" wrapText="1" indent="1"/>
      <protection locked="0"/>
    </xf>
    <xf numFmtId="49" fontId="27" fillId="39" borderId="12" xfId="0" applyFont="1" applyFill="1" applyBorder="1" applyNumberFormat="1">
      <alignment horizontal="left" vertical="center" wrapText="1" indent="1"/>
      <protection locked="0"/>
    </xf>
    <xf numFmtId="0" fontId="0" fillId="0" borderId="0" xfId="0" applyFont="1" applyNumberFormat="1">
      <alignment horizontal="center" vertical="center" wrapText="1"/>
    </xf>
    <xf numFmtId="49" fontId="22" fillId="35" borderId="0" xfId="0" applyFont="1" applyFill="1" applyNumberFormat="1">
      <alignment horizontal="right" vertical="center" wrapText="1" indent="1"/>
    </xf>
    <xf numFmtId="49" fontId="47" fillId="0" borderId="0" xfId="0" applyFont="1" applyNumberFormat="1">
      <alignment horizontal="center" vertical="center" wrapText="1"/>
    </xf>
    <xf numFmtId="49" fontId="22" fillId="0" borderId="0" xfId="0" applyFont="1" applyNumberFormat="1">
      <alignment horizontal="center" vertical="center" wrapText="1"/>
    </xf>
    <xf numFmtId="49" fontId="0" fillId="35" borderId="0" xfId="0" applyFont="1" applyFill="1" applyNumberFormat="1">
      <alignment horizontal="right" vertical="center" wrapText="1" indent="1"/>
    </xf>
    <xf numFmtId="0" fontId="50" fillId="0" borderId="0" xfId="0" applyFont="1" applyNumberFormat="1">
      <alignment vertical="top" wrapText="1"/>
    </xf>
    <xf numFmtId="0" fontId="33" fillId="0" borderId="0" xfId="0" applyFont="1" applyNumberFormat="1">
      <alignment vertical="center" wrapText="1"/>
    </xf>
    <xf numFmtId="0" fontId="91" fillId="0" borderId="0" xfId="0" applyFont="1" applyNumberFormat="1">
      <alignment horizontal="left" vertical="center" wrapText="1"/>
    </xf>
    <xf numFmtId="0" fontId="32" fillId="0" borderId="0" xfId="0" applyFont="1" applyNumberFormat="1">
      <alignment horizontal="left" vertical="center" wrapText="1"/>
    </xf>
    <xf numFmtId="0" fontId="33" fillId="0" borderId="0" xfId="0" applyFont="1" applyNumberFormat="1">
      <alignment vertical="center" wrapText="1"/>
    </xf>
    <xf numFmtId="0" fontId="22" fillId="0" borderId="0" xfId="0" applyFont="1" applyNumberFormat="1">
      <alignment horizontal="center" vertical="center" wrapText="1"/>
    </xf>
    <xf numFmtId="0" fontId="32" fillId="0" borderId="0" xfId="0" applyFont="1" applyNumberFormat="1">
      <alignment horizontal="center" vertical="center" wrapText="1"/>
    </xf>
    <xf numFmtId="0" fontId="47" fillId="0" borderId="0" xfId="0" applyFont="1" applyNumberFormat="1">
      <alignment vertical="center" wrapText="1"/>
    </xf>
    <xf numFmtId="0" fontId="48" fillId="0" borderId="0" xfId="0" applyFont="1" applyNumberFormat="1">
      <alignment vertical="center" wrapText="1"/>
    </xf>
    <xf numFmtId="0" fontId="72" fillId="0" borderId="0" xfId="0" applyFont="1" applyNumberFormat="1">
      <alignment vertical="center" wrapText="1"/>
    </xf>
    <xf numFmtId="0" fontId="48" fillId="0" borderId="0" xfId="0" applyFont="1" applyNumberFormat="1">
      <alignment vertical="center" wrapText="1"/>
    </xf>
    <xf numFmtId="0" fontId="48" fillId="0" borderId="0" xfId="0" applyFont="1" applyNumberFormat="1">
      <alignment horizontal="center" vertical="center" wrapText="1"/>
    </xf>
    <xf numFmtId="0" fontId="48" fillId="0" borderId="0" xfId="0" applyFont="1" applyNumberFormat="1">
      <alignment horizontal="left" vertical="center" indent="1"/>
    </xf>
    <xf numFmtId="0" fontId="48" fillId="0" borderId="0" xfId="0" applyFont="1" applyNumberFormat="1">
      <alignment horizontal="center" vertical="center" wrapText="1"/>
    </xf>
    <xf numFmtId="0" fontId="48" fillId="0" borderId="0" xfId="0" applyFont="1" applyNumberFormat="1">
      <alignment horizontal="left" vertical="center" wrapText="1" indent="1"/>
    </xf>
    <xf numFmtId="0" fontId="48" fillId="0" borderId="0" xfId="0" applyFont="1" applyNumberFormat="1">
      <alignment horizontal="left" vertical="center" indent="1"/>
    </xf>
    <xf numFmtId="0" fontId="48" fillId="0" borderId="0" xfId="0" applyFont="1" applyNumberFormat="1">
      <alignment vertical="center" wrapText="1"/>
    </xf>
    <xf numFmtId="0" fontId="56" fillId="0" borderId="0" xfId="0" applyFont="1" applyNumberFormat="1">
      <alignment vertical="center" wrapText="1"/>
    </xf>
    <xf numFmtId="0" fontId="22" fillId="0" borderId="0" xfId="0" applyFont="1" applyNumberFormat="1">
      <alignment horizontal="left" vertical="center" wrapText="1" indent="1"/>
    </xf>
    <xf numFmtId="0" fontId="47" fillId="0" borderId="0" xfId="0" applyFont="1" applyNumberFormat="1">
      <alignment horizontal="left" vertical="center" wrapText="1" indent="1"/>
    </xf>
    <xf numFmtId="0" fontId="56" fillId="0" borderId="0" xfId="0" applyFont="1" applyNumberFormat="1">
      <alignment horizontal="left" vertical="center" wrapText="1" indent="1"/>
    </xf>
    <xf numFmtId="0" fontId="57" fillId="0" borderId="0" xfId="0" applyFont="1" applyNumberFormat="1">
      <alignment horizontal="left" vertical="center" indent="1"/>
    </xf>
    <xf numFmtId="0" fontId="56" fillId="0" borderId="0" xfId="0" applyFont="1" applyNumberFormat="1">
      <alignment vertical="center" wrapText="1"/>
    </xf>
    <xf numFmtId="0" fontId="42" fillId="0" borderId="0" xfId="0" applyFont="1" applyNumberFormat="1">
      <alignment vertical="center" wrapText="1"/>
    </xf>
    <xf numFmtId="0" fontId="22" fillId="0" borderId="0" xfId="0" applyFont="1" applyNumberFormat="1">
      <alignment vertical="center" wrapText="1"/>
    </xf>
    <xf numFmtId="0" fontId="47" fillId="0" borderId="0" xfId="0" applyFont="1" applyNumberFormat="1">
      <alignment vertical="center" wrapText="1"/>
    </xf>
    <xf numFmtId="0" fontId="37" fillId="0" borderId="0" xfId="0" applyFont="1" applyNumberFormat="1">
      <alignment horizontal="center" vertical="center" wrapText="1"/>
    </xf>
    <xf numFmtId="0" fontId="22" fillId="0" borderId="0" xfId="0" applyFont="1" applyNumberFormat="1">
      <alignment vertical="center" wrapText="1"/>
    </xf>
    <xf numFmtId="0" fontId="22" fillId="0" borderId="0" xfId="0" applyFont="1" applyNumberFormat="1">
      <alignment vertical="center" wrapText="1"/>
    </xf>
    <xf numFmtId="0" fontId="22" fillId="0" borderId="0" xfId="0" applyFont="1" applyNumberFormat="1">
      <alignment horizontal="right" vertical="center" wrapText="1"/>
    </xf>
    <xf numFmtId="0" fontId="48" fillId="0" borderId="0" xfId="0" applyFont="1" applyNumberFormat="1">
      <alignment vertical="center"/>
    </xf>
    <xf numFmtId="0" fontId="48" fillId="0" borderId="0" xfId="0" applyFont="1" applyNumberFormat="1">
      <alignment vertical="center"/>
    </xf>
    <xf numFmtId="0" fontId="55" fillId="0" borderId="0" xfId="0" applyFont="1" applyNumberFormat="1">
      <alignment vertical="center"/>
    </xf>
    <xf numFmtId="0" fontId="42" fillId="0" borderId="0" xfId="0" applyFont="1" applyNumberFormat="1">
      <alignment vertical="center" wrapText="1"/>
    </xf>
    <xf numFmtId="0" fontId="22" fillId="0" borderId="15" xfId="0" applyFont="1" applyBorder="1" applyNumberFormat="1">
      <alignment horizontal="left" vertical="center" wrapText="1" indent="1"/>
    </xf>
    <xf numFmtId="4" fontId="22" fillId="0" borderId="0" xfId="0" applyFont="1" applyNumberFormat="1">
      <alignment horizontal="right" vertical="center" wrapText="1"/>
    </xf>
    <xf numFmtId="0" fontId="22" fillId="0" borderId="0" xfId="0" applyFont="1" applyNumberFormat="1">
      <alignment horizontal="left" vertical="center" wrapText="1" indent="1"/>
    </xf>
    <xf numFmtId="49" fontId="22" fillId="0" borderId="0" xfId="0" applyFont="1" applyNumberFormat="1">
      <alignment vertical="top"/>
    </xf>
    <xf numFmtId="49" fontId="47" fillId="0" borderId="0" xfId="0" applyFont="1" applyNumberFormat="1">
      <alignment vertical="top"/>
    </xf>
    <xf numFmtId="49" fontId="22" fillId="0" borderId="0" xfId="0" applyFont="1" applyNumberFormat="1">
      <alignment vertical="top"/>
    </xf>
    <xf numFmtId="49" fontId="22" fillId="0" borderId="0" xfId="0" applyFont="1" applyNumberFormat="1">
      <alignment horizontal="center" vertical="center" wrapText="1"/>
    </xf>
    <xf numFmtId="4" fontId="22" fillId="0" borderId="0" xfId="0" applyFont="1" applyNumberFormat="1">
      <alignment horizontal="center" vertical="center" wrapText="1"/>
    </xf>
    <xf numFmtId="0" fontId="22" fillId="0" borderId="0" xfId="0" applyFont="1" applyNumberFormat="1">
      <alignment vertical="center" wrapText="1"/>
    </xf>
    <xf numFmtId="0" fontId="22" fillId="0" borderId="14" xfId="0" applyFont="1" applyBorder="1" applyNumberFormat="1">
      <alignment horizontal="center" vertical="center" wrapText="1"/>
    </xf>
    <xf numFmtId="0" fontId="22" fillId="0" borderId="15" xfId="0" applyFont="1" applyBorder="1" applyNumberFormat="1">
      <alignment horizontal="center" vertical="center" wrapText="1"/>
    </xf>
    <xf numFmtId="0" fontId="22" fillId="0" borderId="13" xfId="0" applyFont="1" applyBorder="1" applyNumberFormat="1">
      <alignment horizontal="center" vertical="center" wrapText="1"/>
    </xf>
    <xf numFmtId="4" fontId="22" fillId="0" borderId="12" xfId="0" applyFont="1" applyBorder="1" applyNumberFormat="1">
      <alignment horizontal="center" vertical="center" wrapText="1"/>
    </xf>
    <xf numFmtId="501" fontId="22" fillId="0" borderId="14" xfId="0" applyFont="1" applyBorder="1" applyNumberFormat="1">
      <alignment horizontal="center" vertical="center" wrapText="1"/>
    </xf>
    <xf numFmtId="501" fontId="22" fillId="0" borderId="12" xfId="0" applyFont="1" applyBorder="1" applyNumberFormat="1">
      <alignment horizontal="center" vertical="center" wrapText="1"/>
    </xf>
    <xf numFmtId="0" fontId="36" fillId="0" borderId="0" xfId="0" applyFont="1" applyNumberFormat="1">
      <alignment horizontal="center" vertical="center" wrapText="1"/>
    </xf>
    <xf numFmtId="49" fontId="36" fillId="0" borderId="15" xfId="0" applyFont="1" applyBorder="1" applyNumberFormat="1">
      <alignment horizontal="center" vertical="center" wrapText="1"/>
    </xf>
    <xf numFmtId="49" fontId="36" fillId="0" borderId="15" xfId="0" applyFont="1" applyBorder="1" applyNumberFormat="1">
      <alignment horizontal="center" vertical="center" wrapText="1"/>
    </xf>
    <xf numFmtId="0" fontId="47" fillId="0" borderId="0" xfId="0" applyFont="1" applyNumberFormat="1">
      <alignment vertical="center"/>
    </xf>
    <xf numFmtId="0" fontId="47" fillId="0" borderId="0" xfId="0" applyFont="1" applyNumberFormat="1">
      <alignment vertical="center"/>
    </xf>
    <xf numFmtId="0" fontId="54" fillId="0" borderId="0" xfId="0" applyFont="1" applyNumberFormat="1">
      <alignment vertical="center"/>
    </xf>
    <xf numFmtId="49" fontId="22" fillId="37" borderId="19" xfId="0" applyFont="1" applyFill="1" applyBorder="1" applyNumberFormat="1">
      <alignment horizontal="center" vertical="center" wrapText="1"/>
    </xf>
    <xf numFmtId="49" fontId="47" fillId="37" borderId="19" xfId="0" applyFont="1" applyFill="1" applyBorder="1" applyNumberFormat="1">
      <alignment horizontal="left" vertical="center" wrapText="1"/>
    </xf>
    <xf numFmtId="49" fontId="47" fillId="37" borderId="20" xfId="0" applyFont="1" applyFill="1" applyBorder="1" applyNumberFormat="1">
      <alignment horizontal="left" vertical="center" wrapText="1"/>
    </xf>
    <xf numFmtId="0" fontId="48" fillId="0" borderId="22" xfId="0" applyFont="1" applyBorder="1" applyNumberFormat="1">
      <alignment vertical="center"/>
    </xf>
    <xf numFmtId="0" fontId="22" fillId="0" borderId="0" xfId="0" applyFont="1" applyNumberFormat="1">
      <alignment horizontal="center" vertical="center" wrapText="1"/>
    </xf>
    <xf numFmtId="0" fontId="37" fillId="0" borderId="0" xfId="0" applyFont="1" applyNumberFormat="1">
      <alignment horizontal="center" vertical="center" wrapText="1"/>
    </xf>
    <xf numFmtId="0" fontId="22" fillId="0" borderId="12" xfId="0" applyFont="1" applyBorder="1" applyNumberFormat="1">
      <alignment horizontal="center" vertical="center" wrapText="1"/>
    </xf>
    <xf numFmtId="0" fontId="48" fillId="0" borderId="12" xfId="0" applyFont="1" applyBorder="1" applyNumberFormat="1">
      <alignment horizontal="center" vertical="center" wrapText="1"/>
    </xf>
    <xf numFmtId="49" fontId="22" fillId="39" borderId="12" xfId="0" applyFont="1" applyFill="1" applyBorder="1" applyNumberFormat="1">
      <alignment vertical="center" wrapText="1"/>
      <protection locked="0"/>
    </xf>
    <xf numFmtId="49" fontId="47" fillId="0" borderId="12" xfId="0" applyFont="1" applyBorder="1" applyNumberFormat="1">
      <alignment horizontal="left" vertical="center" wrapText="1"/>
    </xf>
    <xf numFmtId="0" fontId="48" fillId="0" borderId="0" xfId="0" applyFont="1" applyNumberFormat="1">
      <alignment vertical="center"/>
    </xf>
    <xf numFmtId="0" fontId="48" fillId="0" borderId="0" xfId="0" applyFont="1" applyNumberFormat="1">
      <alignment vertical="center"/>
    </xf>
    <xf numFmtId="0" fontId="42" fillId="0" borderId="0" xfId="0" applyFont="1" applyNumberFormat="1">
      <alignment vertical="center" wrapText="1"/>
    </xf>
    <xf numFmtId="49" fontId="0" fillId="0" borderId="0" xfId="0" applyFont="1" applyNumberFormat="1">
      <alignment vertical="top"/>
    </xf>
    <xf numFmtId="0" fontId="36" fillId="0" borderId="24" xfId="0" applyFont="1" applyBorder="1" applyNumberFormat="1">
      <alignment vertical="top" wrapText="1"/>
    </xf>
    <xf numFmtId="0" fontId="22" fillId="0" borderId="23" xfId="0" applyFont="1" applyBorder="1" applyNumberFormat="1">
      <alignment horizontal="center" vertical="center" wrapText="1"/>
    </xf>
    <xf numFmtId="0" fontId="48" fillId="0" borderId="23" xfId="0" applyFont="1" applyBorder="1" applyNumberFormat="1">
      <alignment horizontal="center" vertical="center" wrapText="1"/>
    </xf>
    <xf numFmtId="14" fontId="22" fillId="40" borderId="23" xfId="0" applyFont="1" applyFill="1" applyBorder="1" applyNumberFormat="1">
      <alignment horizontal="left" vertical="center" wrapText="1" indent="1"/>
    </xf>
    <xf numFmtId="49" fontId="22" fillId="34" borderId="23" xfId="0" applyFont="1" applyFill="1" applyBorder="1" applyNumberFormat="1">
      <alignment horizontal="center" vertical="center" wrapText="1"/>
    </xf>
    <xf numFmtId="0" fontId="74" fillId="0" borderId="0" xfId="0" applyFont="1" applyNumberFormat="1">
      <alignment vertical="center" wrapText="1"/>
    </xf>
    <xf numFmtId="49" fontId="47" fillId="0" borderId="0" xfId="0" applyFont="1" applyNumberFormat="1">
      <alignment vertical="top"/>
    </xf>
    <xf numFmtId="49" fontId="48" fillId="0" borderId="0" xfId="0" applyFont="1" applyNumberFormat="1">
      <alignment vertical="top"/>
    </xf>
    <xf numFmtId="49" fontId="0" fillId="0" borderId="0" xfId="0" applyFont="1" applyNumberFormat="1">
      <alignment vertical="top"/>
    </xf>
    <xf numFmtId="0" fontId="0" fillId="0" borderId="0" xfId="0" applyFont="1" applyNumberFormat="1">
      <alignment vertical="center" wrapText="1"/>
    </xf>
    <xf numFmtId="0" fontId="36" fillId="0" borderId="0" xfId="0" applyFont="1" applyNumberFormat="1">
      <alignment vertical="top" wrapText="1"/>
    </xf>
    <xf numFmtId="49" fontId="50" fillId="37" borderId="14" xfId="0" applyFont="1" applyFill="1" applyBorder="1" applyNumberFormat="1">
      <alignment horizontal="right" vertical="center" wrapText="1"/>
    </xf>
    <xf numFmtId="49" fontId="50" fillId="37" borderId="15" xfId="0" applyFont="1" applyFill="1" applyBorder="1" applyNumberFormat="1">
      <alignment horizontal="right" vertical="center" wrapText="1"/>
    </xf>
    <xf numFmtId="49" fontId="40" fillId="37" borderId="15" xfId="0" applyFont="1" applyFill="1" applyBorder="1" applyNumberFormat="1">
      <alignment horizontal="left" vertical="center" indent="1"/>
    </xf>
    <xf numFmtId="49" fontId="0" fillId="37" borderId="15" xfId="0" applyFont="1" applyFill="1" applyBorder="1" applyNumberFormat="1">
      <alignment horizontal="right" vertical="center" wrapText="1"/>
    </xf>
    <xf numFmtId="49" fontId="0" fillId="37" borderId="13" xfId="0" applyFont="1" applyFill="1" applyBorder="1" applyNumberFormat="1">
      <alignment horizontal="right" vertical="center" wrapText="1"/>
    </xf>
    <xf numFmtId="49" fontId="22" fillId="37" borderId="14"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40" fillId="37" borderId="15" xfId="0" applyFont="1" applyFill="1" applyBorder="1" applyNumberFormat="1">
      <alignment horizontal="left" vertical="center"/>
    </xf>
    <xf numFmtId="49" fontId="22" fillId="37" borderId="13" xfId="0" applyFont="1" applyFill="1" applyBorder="1" applyNumberFormat="1">
      <alignment horizontal="right" vertical="center" wrapText="1"/>
    </xf>
    <xf numFmtId="0" fontId="37" fillId="0" borderId="0" xfId="0" applyFont="1" applyNumberFormat="1">
      <alignment horizontal="center" vertical="center" wrapText="1"/>
    </xf>
    <xf numFmtId="0" fontId="22" fillId="0" borderId="21" xfId="0" applyFont="1" applyBorder="1" applyNumberFormat="1">
      <alignment vertical="center" wrapText="1"/>
    </xf>
    <xf numFmtId="0" fontId="45" fillId="0" borderId="0" xfId="0" applyFont="1" applyNumberFormat="1">
      <alignment vertical="center" wrapText="1"/>
    </xf>
    <xf numFmtId="0" fontId="94" fillId="0" borderId="0" xfId="0" applyFont="1" applyNumberFormat="1">
      <alignment vertical="center" wrapText="1"/>
    </xf>
    <xf numFmtId="0" fontId="51" fillId="0" borderId="0" xfId="0" applyFont="1" applyNumberFormat="1">
      <alignment horizontal="center" vertical="center" wrapText="1"/>
    </xf>
    <xf numFmtId="0" fontId="45" fillId="0" borderId="0" xfId="0" applyFont="1" applyNumberFormat="1">
      <alignment vertical="center" wrapText="1"/>
    </xf>
    <xf numFmtId="49" fontId="0" fillId="0" borderId="0" xfId="0" applyFont="1" applyNumberFormat="1">
      <alignment vertical="top"/>
    </xf>
    <xf numFmtId="0" fontId="37" fillId="0" borderId="0" xfId="0" applyFont="1" applyNumberFormat="1">
      <alignment horizontal="center" vertical="center" wrapText="1"/>
    </xf>
    <xf numFmtId="0" fontId="48" fillId="0" borderId="0" xfId="0" applyFont="1" applyNumberFormat="1">
      <alignment vertical="center"/>
    </xf>
    <xf numFmtId="0" fontId="55" fillId="0" borderId="0" xfId="0" applyFont="1" applyNumberFormat="1">
      <alignment vertical="center"/>
    </xf>
    <xf numFmtId="0" fontId="0" fillId="0" borderId="0" xfId="0" applyFont="1" applyNumberFormat="1">
      <alignment vertical="center"/>
    </xf>
    <xf numFmtId="0" fontId="22" fillId="0" borderId="0" xfId="0" applyFont="1" applyNumberFormat="1">
      <alignment vertical="center"/>
    </xf>
    <xf numFmtId="0" fontId="22" fillId="0" borderId="20" xfId="0" applyFont="1" applyBorder="1" applyNumberFormat="1">
      <alignment horizontal="left" vertical="center" wrapText="1" indent="1"/>
    </xf>
    <xf numFmtId="0" fontId="22" fillId="0" borderId="17" xfId="0" applyFont="1" applyBorder="1" applyNumberFormat="1">
      <alignment horizontal="left" vertical="center" wrapText="1" indent="1"/>
    </xf>
    <xf numFmtId="0" fontId="22" fillId="0" borderId="37" xfId="0" applyFont="1" applyBorder="1" applyNumberFormat="1">
      <alignment horizontal="left" vertical="center" wrapText="1" indent="1"/>
    </xf>
    <xf numFmtId="0" fontId="47" fillId="0" borderId="0" xfId="0" applyFont="1" applyNumberFormat="1">
      <alignment vertical="center"/>
    </xf>
    <xf numFmtId="0" fontId="41" fillId="0" borderId="0" xfId="0" applyFont="1" applyNumberFormat="1">
      <alignment vertical="center"/>
    </xf>
    <xf numFmtId="0" fontId="22" fillId="0" borderId="29" xfId="0" applyFont="1" applyBorder="1" applyNumberFormat="1">
      <alignment horizontal="left" vertical="center" indent="1"/>
    </xf>
    <xf numFmtId="0" fontId="22" fillId="0" borderId="23" xfId="0" applyFont="1" applyBorder="1" applyNumberFormat="1">
      <alignment horizontal="left" vertical="center" indent="1"/>
    </xf>
    <xf numFmtId="0" fontId="22" fillId="0" borderId="30" xfId="0" applyFont="1" applyBorder="1" applyNumberFormat="1">
      <alignment horizontal="left" vertical="center" indent="1"/>
    </xf>
    <xf numFmtId="0" fontId="86" fillId="0" borderId="0" xfId="0" applyFont="1" applyNumberFormat="1">
      <alignment vertical="center"/>
    </xf>
    <xf numFmtId="0" fontId="49" fillId="0" borderId="0" xfId="0" applyFont="1" applyNumberFormat="1">
      <alignment vertical="center"/>
    </xf>
    <xf numFmtId="0" fontId="108" fillId="0" borderId="0" xfId="0" applyFont="1" applyNumberFormat="1">
      <alignment vertical="center"/>
    </xf>
    <xf numFmtId="0" fontId="41" fillId="0" borderId="0" xfId="0" applyFont="1" applyNumberFormat="1">
      <alignment vertical="center"/>
    </xf>
    <xf numFmtId="0" fontId="22" fillId="0" borderId="0" xfId="0" applyFont="1" applyNumberFormat="1">
      <alignment horizontal="center" vertical="center" wrapText="1"/>
    </xf>
    <xf numFmtId="0" fontId="22" fillId="0" borderId="0" xfId="0" applyFont="1" applyNumberFormat="1">
      <alignment vertical="center" wrapText="1"/>
    </xf>
    <xf numFmtId="0" fontId="86" fillId="0" borderId="0" xfId="0" applyFont="1" applyNumberFormat="1">
      <alignment vertical="center"/>
    </xf>
    <xf numFmtId="0" fontId="49" fillId="0" borderId="0" xfId="0" applyFont="1" applyNumberFormat="1">
      <alignment vertical="center"/>
    </xf>
    <xf numFmtId="0" fontId="108" fillId="0" borderId="0" xfId="0" applyFont="1" applyNumberFormat="1">
      <alignment vertical="center"/>
    </xf>
    <xf numFmtId="0" fontId="41" fillId="0" borderId="0" xfId="0" applyFont="1" applyNumberFormat="1">
      <alignment vertical="center"/>
    </xf>
    <xf numFmtId="0" fontId="0" fillId="0" borderId="0" xfId="0" applyFont="1" applyNumberFormat="1">
      <alignment horizontal="left" vertical="center" wrapText="1" indent="2"/>
    </xf>
    <xf numFmtId="0" fontId="0" fillId="0" borderId="0" xfId="0" applyFont="1" applyNumberFormat="1">
      <alignment horizontal="left" vertical="center" indent="2"/>
    </xf>
    <xf numFmtId="0" fontId="31" fillId="0" borderId="0" xfId="0" applyFont="1" applyNumberFormat="1">
      <alignment vertical="center"/>
    </xf>
    <xf numFmtId="0" fontId="22" fillId="42" borderId="0" xfId="0" applyFont="1" applyFill="1" applyNumberFormat="1">
      <alignment horizontal="center" vertical="center" wrapText="1"/>
    </xf>
    <xf numFmtId="0" fontId="22" fillId="0" borderId="0" xfId="0" applyFont="1" applyNumberFormat="1">
      <alignment vertical="center" wrapText="1"/>
    </xf>
    <xf numFmtId="0" fontId="22" fillId="0" borderId="12" xfId="0" applyFont="1" applyBorder="1" applyNumberFormat="1">
      <alignment horizontal="center" vertical="center" wrapText="1"/>
    </xf>
    <xf numFmtId="0" fontId="75" fillId="0" borderId="37" xfId="0" applyFont="1" applyBorder="1" applyNumberFormat="1">
      <alignment horizontal="center" vertical="center" wrapText="1"/>
    </xf>
    <xf numFmtId="0" fontId="75" fillId="0" borderId="19" xfId="0" applyFont="1" applyBorder="1" applyNumberFormat="1">
      <alignment horizontal="center" vertical="center" wrapText="1"/>
    </xf>
    <xf numFmtId="0" fontId="75" fillId="0" borderId="12" xfId="0" applyFont="1" applyBorder="1" applyNumberFormat="1">
      <alignment horizontal="center" vertical="center" wrapText="1"/>
    </xf>
    <xf numFmtId="0" fontId="22" fillId="0" borderId="0" xfId="0" applyFont="1" applyNumberFormat="1">
      <alignment horizontal="center" vertical="center" wrapText="1"/>
    </xf>
    <xf numFmtId="0" fontId="82" fillId="0" borderId="0" xfId="0" applyFont="1" applyNumberFormat="1">
      <alignment horizontal="center" vertical="center" wrapText="1"/>
    </xf>
    <xf numFmtId="0" fontId="22" fillId="0" borderId="12" xfId="0" applyFont="1" applyBorder="1" applyNumberFormat="1">
      <alignment horizontal="center" vertical="center" wrapText="1"/>
    </xf>
    <xf numFmtId="0" fontId="22" fillId="0" borderId="71" xfId="0" applyFont="1" applyBorder="1" applyNumberFormat="1">
      <alignment horizontal="center" vertical="center" wrapText="1"/>
    </xf>
    <xf numFmtId="0" fontId="22" fillId="0" borderId="72" xfId="0" applyFont="1" applyBorder="1" applyNumberFormat="1">
      <alignment horizontal="center" vertical="center" wrapText="1"/>
    </xf>
    <xf numFmtId="0" fontId="47" fillId="0" borderId="22" xfId="0" applyFont="1" applyBorder="1" applyNumberFormat="1">
      <alignment vertical="center"/>
    </xf>
    <xf numFmtId="0" fontId="0" fillId="0" borderId="0" xfId="0" applyFont="1" applyNumberFormat="1">
      <alignment vertical="center"/>
    </xf>
    <xf numFmtId="49" fontId="36" fillId="0" borderId="0" xfId="0" applyFont="1" applyNumberFormat="1">
      <alignment horizontal="center" vertical="center" wrapText="1"/>
    </xf>
    <xf numFmtId="49" fontId="36" fillId="0" borderId="12" xfId="0" applyFont="1" applyBorder="1" applyNumberFormat="1">
      <alignment horizontal="center" vertical="center" wrapText="1"/>
    </xf>
    <xf numFmtId="49" fontId="36" fillId="0" borderId="69" xfId="0" applyFont="1" applyBorder="1" applyNumberFormat="1">
      <alignment horizontal="center" vertical="center" wrapText="1"/>
    </xf>
    <xf numFmtId="49" fontId="36" fillId="0" borderId="70" xfId="0" applyFont="1" applyBorder="1" applyNumberFormat="1">
      <alignment horizontal="center" vertical="center" wrapText="1"/>
    </xf>
    <xf numFmtId="49" fontId="36" fillId="0" borderId="14" xfId="0" applyFont="1" applyBorder="1" applyNumberFormat="1">
      <alignment horizontal="center" vertical="center" wrapText="1"/>
    </xf>
    <xf numFmtId="49" fontId="36" fillId="0" borderId="13" xfId="0" applyFont="1" applyBorder="1" applyNumberFormat="1">
      <alignment horizontal="center" vertical="center" wrapText="1"/>
    </xf>
    <xf numFmtId="0" fontId="47" fillId="0" borderId="22" xfId="0" applyFont="1" applyBorder="1" applyNumberFormat="1">
      <alignment vertical="center"/>
    </xf>
    <xf numFmtId="0" fontId="48" fillId="0" borderId="0" xfId="0" applyFont="1" applyNumberFormat="1">
      <alignment vertical="center"/>
    </xf>
    <xf numFmtId="0" fontId="48" fillId="0" borderId="0" xfId="0" applyFont="1" applyNumberFormat="1">
      <alignment vertical="center"/>
    </xf>
    <xf numFmtId="0" fontId="22" fillId="0" borderId="0" xfId="0" applyFont="1" applyNumberFormat="1">
      <alignment vertical="center"/>
    </xf>
    <xf numFmtId="0" fontId="47" fillId="0" borderId="0" xfId="0" applyFont="1" applyNumberFormat="1">
      <alignment vertical="center"/>
    </xf>
    <xf numFmtId="0" fontId="0" fillId="0" borderId="0" xfId="0" applyFont="1" applyNumberFormat="1">
      <alignment vertical="center"/>
    </xf>
    <xf numFmtId="0" fontId="48" fillId="0" borderId="0" xfId="0" applyFont="1" applyNumberFormat="1">
      <alignment horizontal="center" vertical="center"/>
    </xf>
    <xf numFmtId="0" fontId="22" fillId="0" borderId="0" xfId="0" applyFont="1" applyNumberFormat="1">
      <alignment horizontal="center" vertical="center" wrapText="1"/>
    </xf>
    <xf numFmtId="0" fontId="22" fillId="37" borderId="14"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41" xfId="0" applyFont="1" applyFill="1" applyBorder="1" applyNumberFormat="1">
      <alignment horizontal="center" vertical="center" wrapText="1"/>
    </xf>
    <xf numFmtId="49" fontId="0" fillId="37" borderId="15" xfId="0" applyFont="1" applyFill="1" applyBorder="1" applyNumberFormat="1">
      <alignment horizontal="left" vertical="center"/>
    </xf>
    <xf numFmtId="0" fontId="0" fillId="37" borderId="13" xfId="0" applyFont="1" applyFill="1" applyBorder="1" applyNumberFormat="1">
      <alignment vertical="center"/>
    </xf>
    <xf numFmtId="49" fontId="0" fillId="0" borderId="0" xfId="0" applyFont="1" applyNumberFormat="1">
      <alignment vertical="top"/>
    </xf>
    <xf numFmtId="0" fontId="37"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pplyNumberFormat="1">
      <alignment horizontal="left" vertical="center" wrapText="1" indent="2"/>
    </xf>
    <xf numFmtId="49" fontId="22" fillId="40" borderId="23" xfId="0" applyFont="1" applyFill="1" applyBorder="1" applyNumberFormat="1">
      <alignment horizontal="center" vertical="center" wrapText="1"/>
    </xf>
    <xf numFmtId="14" fontId="81" fillId="0" borderId="68" xfId="0" applyFont="1" applyBorder="1" applyNumberFormat="1">
      <alignment horizontal="center" vertical="center" wrapText="1"/>
    </xf>
    <xf numFmtId="0" fontId="22" fillId="0" borderId="68" xfId="0" applyFont="1" applyBorder="1" applyNumberFormat="1">
      <alignment horizontal="center" vertical="center" wrapText="1"/>
    </xf>
    <xf numFmtId="0" fontId="22" fillId="40" borderId="17" xfId="0" applyFont="1" applyFill="1" applyBorder="1" applyNumberFormat="1">
      <alignment horizontal="left" vertical="center" wrapText="1" indent="1"/>
    </xf>
    <xf numFmtId="49" fontId="22" fillId="40" borderId="12" xfId="0" applyFont="1" applyFill="1" applyBorder="1" applyNumberFormat="1">
      <alignment horizontal="center" vertical="center" wrapText="1"/>
    </xf>
    <xf numFmtId="49" fontId="22" fillId="0" borderId="17" xfId="0" applyFont="1" applyBorder="1" applyNumberFormat="1">
      <alignment horizontal="center" vertical="center" wrapText="1"/>
    </xf>
    <xf numFmtId="49" fontId="22" fillId="0" borderId="12" xfId="0" applyFont="1" applyBorder="1" applyNumberFormat="1">
      <alignment horizontal="center" vertical="center" wrapText="1"/>
    </xf>
    <xf numFmtId="49" fontId="75" fillId="0" borderId="12" xfId="0" applyFont="1" applyBorder="1" applyNumberFormat="1">
      <alignment horizontal="left" vertical="center" wrapText="1" indent="1"/>
    </xf>
    <xf numFmtId="0" fontId="47" fillId="0" borderId="22" xfId="0" applyFont="1" applyBorder="1" applyNumberFormat="1">
      <alignment vertical="center"/>
    </xf>
    <xf numFmtId="0" fontId="48" fillId="0" borderId="0" xfId="0" applyFont="1" applyNumberFormat="1">
      <alignment vertical="center"/>
    </xf>
    <xf numFmtId="0" fontId="22" fillId="0" borderId="0" xfId="0" applyFont="1" applyNumberFormat="1">
      <alignment vertical="center"/>
    </xf>
    <xf numFmtId="0" fontId="47" fillId="0" borderId="0" xfId="0" applyFont="1" applyNumberFormat="1">
      <alignment vertical="center"/>
    </xf>
    <xf numFmtId="0" fontId="0" fillId="0" borderId="0" xfId="0" applyFont="1" applyNumberFormat="1">
      <alignment vertical="center"/>
    </xf>
    <xf numFmtId="0" fontId="22" fillId="40" borderId="36" xfId="0" applyFont="1" applyFill="1" applyBorder="1" applyNumberFormat="1">
      <alignment horizontal="left" vertical="center" wrapText="1" indent="2"/>
    </xf>
    <xf numFmtId="0" fontId="22" fillId="40" borderId="23" xfId="0" applyFont="1" applyFill="1" applyBorder="1" applyNumberFormat="1">
      <alignment horizontal="left" vertical="center" wrapText="1" indent="1"/>
    </xf>
    <xf numFmtId="49" fontId="40" fillId="37" borderId="13" xfId="0" applyFont="1" applyFill="1" applyBorder="1" applyNumberFormat="1">
      <alignment horizontal="left" vertical="center" indent="1"/>
    </xf>
    <xf numFmtId="0" fontId="22" fillId="40" borderId="23" xfId="0" applyFont="1" applyFill="1" applyBorder="1" applyNumberFormat="1">
      <alignment horizontal="left" vertical="center" wrapText="1" indent="2"/>
    </xf>
    <xf numFmtId="49" fontId="50" fillId="37" borderId="42" xfId="0" applyFont="1" applyFill="1" applyBorder="1" applyNumberFormat="1">
      <alignment horizontal="right" vertical="center" wrapText="1"/>
    </xf>
    <xf numFmtId="49" fontId="50" fillId="37" borderId="43" xfId="0" applyFont="1" applyFill="1" applyBorder="1" applyNumberFormat="1">
      <alignment horizontal="right" vertical="center" wrapText="1"/>
    </xf>
    <xf numFmtId="49" fontId="40" fillId="37" borderId="15" xfId="0" applyFont="1" applyFill="1" applyBorder="1" applyNumberFormat="1">
      <alignment horizontal="left" vertical="center" indent="1"/>
    </xf>
    <xf numFmtId="49" fontId="50" fillId="37" borderId="13" xfId="0" applyFont="1" applyFill="1" applyBorder="1" applyNumberFormat="1">
      <alignment horizontal="right" vertical="center" wrapText="1"/>
    </xf>
    <xf numFmtId="0" fontId="75" fillId="42" borderId="0" xfId="0" applyFont="1" applyFill="1" applyNumberFormat="1">
      <alignment vertical="top"/>
    </xf>
    <xf numFmtId="49" fontId="22" fillId="0" borderId="0" xfId="0" applyFont="1" applyNumberFormat="1">
      <alignment vertical="center" wrapText="1"/>
    </xf>
    <xf numFmtId="49" fontId="22" fillId="0" borderId="0" xfId="0" applyFont="1" applyNumberFormat="1">
      <alignment horizontal="center" vertical="center" wrapText="1"/>
    </xf>
    <xf numFmtId="49" fontId="40" fillId="37" borderId="15" xfId="0" applyFont="1" applyFill="1" applyBorder="1" applyNumberFormat="1">
      <alignment horizontal="left" vertical="center" indent="2"/>
    </xf>
    <xf numFmtId="0" fontId="22" fillId="0" borderId="0" xfId="0" applyFont="1" applyNumberFormat="1">
      <alignment vertical="center"/>
    </xf>
    <xf numFmtId="0" fontId="47" fillId="0" borderId="0" xfId="0" applyFont="1" applyNumberFormat="1">
      <alignment vertical="center"/>
    </xf>
    <xf numFmtId="0" fontId="22" fillId="0" borderId="0" xfId="0" applyFont="1" applyNumberFormat="1">
      <alignment vertical="center"/>
    </xf>
    <xf numFmtId="0" fontId="48" fillId="0" borderId="0" xfId="0" applyFont="1" applyNumberFormat="1">
      <alignment vertical="center"/>
    </xf>
    <xf numFmtId="0" fontId="0" fillId="0" borderId="0" xfId="0" applyFont="1" applyNumberFormat="1">
      <alignment vertical="center"/>
    </xf>
    <xf numFmtId="0" fontId="49" fillId="0" borderId="0" xfId="0" applyFont="1" applyNumberFormat="1">
      <alignment vertical="center"/>
    </xf>
    <xf numFmtId="0" fontId="22" fillId="0" borderId="20" xfId="0" applyFont="1" applyBorder="1" applyNumberFormat="1">
      <alignment horizontal="left" vertical="top" wrapText="1" indent="1"/>
    </xf>
    <xf numFmtId="0" fontId="22" fillId="0" borderId="17" xfId="0" applyFont="1" applyBorder="1" applyNumberFormat="1">
      <alignment horizontal="left" vertical="top" wrapText="1" indent="1"/>
    </xf>
    <xf numFmtId="0" fontId="22" fillId="0" borderId="37" xfId="0" applyFont="1" applyBorder="1" applyNumberFormat="1">
      <alignment horizontal="left" vertical="top" wrapText="1" indent="1"/>
    </xf>
    <xf numFmtId="0" fontId="64" fillId="0" borderId="0" xfId="0" applyFont="1" applyNumberFormat="1">
      <alignment vertical="center" wrapText="1"/>
    </xf>
    <xf numFmtId="0" fontId="46" fillId="0" borderId="0" xfId="0" applyFont="1" applyNumberFormat="1">
      <alignment vertical="center" wrapText="1"/>
    </xf>
    <xf numFmtId="0" fontId="46" fillId="0" borderId="0" xfId="0" applyFont="1" applyNumberFormat="1">
      <alignment vertical="center" wrapText="1"/>
    </xf>
    <xf numFmtId="0" fontId="108" fillId="0" borderId="0" xfId="0" applyFont="1" applyNumberFormat="1">
      <alignment vertical="center"/>
    </xf>
    <xf numFmtId="0" fontId="41" fillId="0" borderId="0" xfId="0" applyFont="1" applyNumberFormat="1">
      <alignment vertical="center"/>
    </xf>
    <xf numFmtId="0" fontId="22" fillId="0" borderId="27" xfId="0" applyFont="1" applyBorder="1" applyNumberFormat="1">
      <alignment horizontal="left" vertical="center" indent="1"/>
    </xf>
    <xf numFmtId="0" fontId="67" fillId="0" borderId="0" xfId="0" applyFont="1" applyNumberFormat="1">
      <alignment vertical="center"/>
    </xf>
    <xf numFmtId="0" fontId="48" fillId="0" borderId="0" xfId="0" applyFont="1" applyNumberFormat="1">
      <alignment vertical="center"/>
    </xf>
    <xf numFmtId="0" fontId="72" fillId="0" borderId="24" xfId="0" applyFont="1" applyBorder="1" applyNumberFormat="1">
      <alignment horizontal="left" vertical="center" wrapText="1" indent="1"/>
    </xf>
    <xf numFmtId="0" fontId="72" fillId="0" borderId="36" xfId="0" applyFont="1" applyBorder="1" applyNumberFormat="1">
      <alignment horizontal="left" vertical="center" wrapText="1" indent="1"/>
    </xf>
    <xf numFmtId="0" fontId="72" fillId="0" borderId="22" xfId="0" applyFont="1" applyBorder="1" applyNumberFormat="1">
      <alignment horizontal="left" vertical="center" wrapText="1" indent="1"/>
    </xf>
    <xf numFmtId="0" fontId="67" fillId="0" borderId="0" xfId="0" applyFont="1" applyNumberFormat="1">
      <alignment vertical="center"/>
    </xf>
    <xf numFmtId="0" fontId="22" fillId="0" borderId="0" xfId="0" applyFont="1" applyNumberFormat="1">
      <alignment vertical="center"/>
    </xf>
    <xf numFmtId="0" fontId="67" fillId="0" borderId="0" xfId="0" applyFont="1" applyNumberFormat="1">
      <alignment vertical="center"/>
    </xf>
    <xf numFmtId="0" fontId="31" fillId="0" borderId="0" xfId="0" applyFont="1" applyNumberFormat="1">
      <alignment vertical="center"/>
    </xf>
    <xf numFmtId="0" fontId="41" fillId="0" borderId="0" xfId="0" applyFont="1" applyNumberFormat="1">
      <alignment vertical="center"/>
    </xf>
    <xf numFmtId="0" fontId="0"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0" xfId="0" applyFont="1" applyNumberFormat="1">
      <alignment vertical="center"/>
    </xf>
    <xf numFmtId="49" fontId="48" fillId="35" borderId="0" xfId="0" applyFont="1" applyFill="1" applyNumberFormat="1">
      <alignment horizontal="center" vertical="center" wrapText="1"/>
    </xf>
    <xf numFmtId="49" fontId="48" fillId="35" borderId="27" xfId="0" applyFont="1" applyFill="1" applyBorder="1" applyNumberFormat="1">
      <alignment horizontal="center" vertical="center" wrapText="1"/>
    </xf>
    <xf numFmtId="0" fontId="48" fillId="0" borderId="0" xfId="0" applyFont="1" applyNumberFormat="1">
      <alignment vertical="center"/>
    </xf>
    <xf numFmtId="0" fontId="37" fillId="0" borderId="0" xfId="0" applyFont="1" applyNumberFormat="1">
      <alignment horizontal="center" vertical="center" wrapText="1"/>
    </xf>
    <xf numFmtId="0" fontId="48" fillId="0" borderId="12" xfId="0" applyFont="1" applyBorder="1" applyNumberFormat="1">
      <alignment horizontal="center" vertical="center"/>
    </xf>
    <xf numFmtId="0" fontId="22" fillId="0" borderId="12" xfId="0" applyFont="1" applyBorder="1" applyNumberFormat="1">
      <alignment horizontal="center" vertical="center" wrapText="1"/>
    </xf>
    <xf numFmtId="0" fontId="0" fillId="0" borderId="12" xfId="0" applyFont="1" applyBorder="1" applyNumberFormat="1">
      <alignment horizontal="center" vertical="center"/>
    </xf>
    <xf numFmtId="49" fontId="22" fillId="0" borderId="12" xfId="0" applyFont="1" applyBorder="1" applyNumberFormat="1">
      <alignment horizontal="center" vertical="center" wrapText="1"/>
    </xf>
    <xf numFmtId="49" fontId="22" fillId="0" borderId="12" xfId="0" applyFont="1" applyBorder="1" applyNumberFormat="1">
      <alignment horizontal="center" vertical="center" wrapText="1"/>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12" xfId="0" applyFont="1" applyBorder="1" applyNumberFormat="1">
      <alignment horizontal="center" vertical="center" wrapText="1"/>
    </xf>
    <xf numFmtId="49" fontId="22" fillId="0" borderId="12" xfId="0" applyFont="1" applyBorder="1" applyNumberFormat="1">
      <alignment horizontal="center" vertical="center" wrapText="1"/>
    </xf>
    <xf numFmtId="49" fontId="0" fillId="0" borderId="12" xfId="0" applyFont="1" applyBorder="1" applyNumberFormat="1">
      <alignment horizontal="left" vertical="center"/>
    </xf>
    <xf numFmtId="0" fontId="0" fillId="0" borderId="0" xfId="0" applyFont="1" applyNumberFormat="1">
      <alignment vertical="center"/>
    </xf>
    <xf numFmtId="49" fontId="0" fillId="0" borderId="0" xfId="0" applyFont="1" applyNumberFormat="1">
      <alignment vertical="center"/>
    </xf>
    <xf numFmtId="0" fontId="0" fillId="0" borderId="12" xfId="0" applyFont="1" applyBorder="1" applyNumberFormat="1">
      <alignment horizontal="center" vertical="top"/>
    </xf>
    <xf numFmtId="0" fontId="22" fillId="0" borderId="12" xfId="0" applyFont="1" applyBorder="1" applyNumberFormat="1">
      <alignment horizontal="left" vertical="top" wrapText="1"/>
    </xf>
    <xf numFmtId="0" fontId="22" fillId="40" borderId="17" xfId="0" applyFont="1" applyFill="1" applyBorder="1" applyNumberFormat="1">
      <alignment horizontal="center" vertical="top" wrapText="1"/>
    </xf>
    <xf numFmtId="0" fontId="0" fillId="0" borderId="37" xfId="0" applyFont="1" applyBorder="1" applyNumberFormat="1">
      <alignment horizontal="center" vertical="center"/>
    </xf>
    <xf numFmtId="0" fontId="0" fillId="0" borderId="19" xfId="0" applyFont="1" applyBorder="1" applyNumberFormat="1">
      <alignment horizontal="center" vertical="center"/>
    </xf>
    <xf numFmtId="49" fontId="22"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0" fillId="0" borderId="19" xfId="0" applyFont="1" applyBorder="1" applyNumberFormat="1">
      <alignment horizontal="left"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22" fillId="0" borderId="20" xfId="0" applyFont="1" applyBorder="1" applyNumberFormat="1">
      <alignment horizontal="left" vertical="center" wrapText="1"/>
    </xf>
    <xf numFmtId="0" fontId="22" fillId="0" borderId="0" xfId="0" applyFont="1" applyNumberFormat="1">
      <alignment horizontal="left" vertical="center" indent="1"/>
    </xf>
    <xf numFmtId="0" fontId="0" fillId="0" borderId="0" xfId="0" applyFont="1" applyNumberFormat="1">
      <alignment vertical="center"/>
    </xf>
    <xf numFmtId="0" fontId="0" fillId="0" borderId="0" xfId="0" applyFont="1" applyNumberFormat="1">
      <alignment vertical="center"/>
    </xf>
    <xf numFmtId="0" fontId="22" fillId="40" borderId="36" xfId="0" applyFont="1" applyFill="1" applyBorder="1" applyNumberFormat="1">
      <alignment horizontal="center" vertical="top" wrapText="1"/>
    </xf>
    <xf numFmtId="0" fontId="0" fillId="0" borderId="22" xfId="0" applyFont="1" applyBorder="1" applyNumberFormat="1">
      <alignment horizontal="center" vertical="center"/>
    </xf>
    <xf numFmtId="0" fontId="0" fillId="0" borderId="0" xfId="0" applyFont="1" applyNumberFormat="1">
      <alignment horizontal="center" vertical="center"/>
    </xf>
    <xf numFmtId="49" fontId="22" fillId="0" borderId="0" xfId="0" applyFont="1" applyNumberFormat="1">
      <alignment horizontal="left" vertical="center" wrapText="1"/>
    </xf>
    <xf numFmtId="49" fontId="22" fillId="0" borderId="0" xfId="0" applyFont="1" applyNumberFormat="1">
      <alignment horizontal="center" vertical="center" wrapText="1"/>
    </xf>
    <xf numFmtId="0" fontId="0" fillId="0" borderId="0" xfId="0" applyFont="1" applyNumberFormat="1">
      <alignment horizontal="left" vertical="center" wrapText="1"/>
    </xf>
    <xf numFmtId="49" fontId="0" fillId="0" borderId="0" xfId="0" applyFont="1" applyNumberFormat="1">
      <alignment horizontal="left" vertical="center" wrapText="1"/>
    </xf>
    <xf numFmtId="0" fontId="40" fillId="0" borderId="0" xfId="0" applyFont="1" applyNumberFormat="1">
      <alignment horizontal="left" vertical="center"/>
    </xf>
    <xf numFmtId="0" fontId="40" fillId="0" borderId="24" xfId="0" applyFont="1" applyBorder="1" applyNumberFormat="1">
      <alignment horizontal="left" vertical="center"/>
    </xf>
    <xf numFmtId="49" fontId="0" fillId="0" borderId="0" xfId="0" applyFont="1" applyNumberFormat="1">
      <alignment horizontal="left" vertical="top"/>
    </xf>
    <xf numFmtId="49" fontId="22" fillId="0" borderId="0" xfId="0" applyFont="1" applyNumberFormat="1">
      <alignment horizontal="center" vertical="center" wrapText="1"/>
    </xf>
    <xf numFmtId="0" fontId="0" fillId="0" borderId="0" xfId="0" applyFont="1" applyNumberFormat="1">
      <alignment vertical="center"/>
    </xf>
    <xf numFmtId="0" fontId="0" fillId="0" borderId="0" xfId="0" applyFont="1" applyNumberFormat="1">
      <alignment vertical="center"/>
    </xf>
    <xf numFmtId="49" fontId="0" fillId="0" borderId="12" xfId="0" applyFont="1" applyBorder="1" applyNumberFormat="1">
      <alignment vertical="top"/>
    </xf>
    <xf numFmtId="49" fontId="0" fillId="0" borderId="12" xfId="0" applyFont="1" applyBorder="1" applyNumberFormat="1">
      <alignment horizontal="left" vertical="top"/>
    </xf>
    <xf numFmtId="0" fontId="22" fillId="40" borderId="23" xfId="0" applyFont="1" applyFill="1" applyBorder="1" applyNumberFormat="1">
      <alignment horizontal="center" vertical="top" wrapText="1"/>
    </xf>
    <xf numFmtId="0" fontId="40" fillId="0" borderId="30" xfId="0" applyFont="1" applyBorder="1" applyNumberFormat="1">
      <alignment horizontal="left" vertical="center"/>
    </xf>
    <xf numFmtId="0" fontId="40" fillId="0" borderId="27" xfId="0" applyFont="1" applyBorder="1" applyNumberFormat="1">
      <alignment horizontal="left" vertical="center"/>
    </xf>
    <xf numFmtId="0" fontId="0" fillId="0" borderId="27" xfId="0" applyFont="1" applyBorder="1" applyNumberFormat="1">
      <alignment vertical="center"/>
    </xf>
    <xf numFmtId="0" fontId="40" fillId="0" borderId="29" xfId="0" applyFont="1" applyBorder="1" applyNumberFormat="1">
      <alignment horizontal="left" vertical="center"/>
    </xf>
    <xf numFmtId="0" fontId="22" fillId="39" borderId="12" xfId="0" applyFont="1" applyFill="1" applyBorder="1" applyNumberFormat="1">
      <alignment horizontal="left" vertical="top" wrapText="1"/>
      <protection locked="0"/>
    </xf>
    <xf numFmtId="0" fontId="22" fillId="40" borderId="12" xfId="0" applyFont="1" applyFill="1" applyBorder="1" applyNumberFormat="1">
      <alignment horizontal="left" vertical="top" wrapText="1"/>
    </xf>
    <xf numFmtId="0" fontId="0" fillId="0" borderId="12" xfId="0" applyFont="1" applyBorder="1" applyNumberFormat="1">
      <alignment horizontal="center" vertical="center"/>
    </xf>
    <xf numFmtId="49" fontId="22" fillId="36" borderId="12" xfId="0" applyFont="1" applyFill="1" applyBorder="1" applyNumberFormat="1">
      <alignment horizontal="left" vertical="center" wrapText="1"/>
      <protection locked="0"/>
    </xf>
    <xf numFmtId="49" fontId="22" fillId="40" borderId="17" xfId="0" applyFont="1" applyFill="1" applyBorder="1" applyNumberFormat="1">
      <alignment horizontal="center" vertical="center" wrapText="1"/>
    </xf>
    <xf numFmtId="49" fontId="22" fillId="0" borderId="12" xfId="0" applyFont="1" applyBorder="1" applyNumberFormat="1">
      <alignment horizontal="center" vertical="center" wrapText="1"/>
    </xf>
    <xf numFmtId="0" fontId="0" fillId="40" borderId="12" xfId="0" applyFont="1" applyFill="1" applyBorder="1" applyNumberFormat="1">
      <alignment horizontal="left" vertical="center" wrapText="1"/>
    </xf>
    <xf numFmtId="49" fontId="0" fillId="35" borderId="12" xfId="0" applyFont="1" applyFill="1" applyBorder="1" applyNumberFormat="1">
      <alignment horizontal="left" vertical="center" wrapText="1"/>
    </xf>
    <xf numFmtId="49" fontId="22" fillId="40" borderId="12" xfId="0" applyFont="1" applyFill="1" applyBorder="1" applyNumberFormat="1">
      <alignment horizontal="center" vertical="center" wrapText="1"/>
    </xf>
    <xf numFmtId="49" fontId="22" fillId="0" borderId="0" xfId="0" applyFont="1" applyNumberFormat="1">
      <alignment horizontal="left" vertical="center" indent="1"/>
    </xf>
    <xf numFmtId="0" fontId="0" fillId="0" borderId="0" xfId="0" applyFont="1" applyNumberFormat="1">
      <alignment vertical="center"/>
    </xf>
    <xf numFmtId="0" fontId="22" fillId="39" borderId="12" xfId="0" applyFont="1" applyFill="1" applyBorder="1" applyNumberFormat="1">
      <alignment horizontal="left" vertical="top" wrapText="1"/>
      <protection locked="0"/>
    </xf>
    <xf numFmtId="49" fontId="22" fillId="40" borderId="36" xfId="0" applyFont="1" applyFill="1" applyBorder="1" applyNumberFormat="1">
      <alignment horizontal="center" vertical="center" wrapText="1"/>
    </xf>
    <xf numFmtId="0" fontId="40" fillId="37" borderId="14"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3" xfId="0" applyFont="1" applyFill="1" applyBorder="1" applyNumberFormat="1">
      <alignment horizontal="left" vertical="center"/>
    </xf>
    <xf numFmtId="0" fontId="0" fillId="39" borderId="12" xfId="0" applyFont="1" applyFill="1" applyBorder="1" applyNumberFormat="1">
      <alignment horizontal="left" vertical="top"/>
      <protection locked="0"/>
    </xf>
    <xf numFmtId="49" fontId="0" fillId="40" borderId="12" xfId="0" applyFont="1" applyFill="1" applyBorder="1" applyNumberFormat="1">
      <alignment horizontal="left" vertical="top"/>
    </xf>
    <xf numFmtId="49" fontId="0" fillId="0" borderId="12" xfId="0" applyFont="1" applyBorder="1" applyNumberFormat="1">
      <alignment vertical="top"/>
    </xf>
    <xf numFmtId="49" fontId="0" fillId="36" borderId="12" xfId="0" applyFont="1" applyFill="1" applyBorder="1" applyNumberFormat="1">
      <alignment horizontal="left" vertical="top"/>
      <protection locked="0"/>
    </xf>
    <xf numFmtId="49" fontId="0" fillId="40" borderId="12" xfId="0" applyFont="1" applyFill="1" applyBorder="1" applyNumberFormat="1">
      <alignment horizontal="left" vertical="center" wrapText="1"/>
    </xf>
    <xf numFmtId="49" fontId="22" fillId="40" borderId="23" xfId="0" applyFont="1" applyFill="1" applyBorder="1" applyNumberFormat="1">
      <alignment horizontal="center" vertical="center" wrapText="1"/>
    </xf>
    <xf numFmtId="0" fontId="40" fillId="37" borderId="14"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40" fillId="37" borderId="13" xfId="0" applyFont="1" applyFill="1" applyBorder="1" applyNumberFormat="1">
      <alignment horizontal="left" vertical="center"/>
    </xf>
    <xf numFmtId="0" fontId="40" fillId="37" borderId="14"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40" fillId="37" borderId="13" xfId="0" applyFont="1" applyFill="1" applyBorder="1" applyNumberFormat="1">
      <alignment horizontal="left" vertical="center"/>
    </xf>
    <xf numFmtId="0" fontId="40" fillId="37" borderId="14"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40" fillId="37" borderId="13" xfId="0" applyFont="1" applyFill="1" applyBorder="1" applyNumberFormat="1">
      <alignment horizontal="left" vertical="center"/>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0" fillId="0" borderId="0" xfId="0" applyFont="1" applyNumberFormat="1">
      <alignment vertical="center"/>
    </xf>
    <xf numFmtId="0" fontId="40" fillId="0" borderId="0" xfId="0" applyFont="1" applyNumberFormat="1">
      <alignment horizontal="left" vertical="center"/>
    </xf>
    <xf numFmtId="0" fontId="40" fillId="0" borderId="24" xfId="0" applyFont="1" applyBorder="1" applyNumberFormat="1">
      <alignment horizontal="left" vertical="center"/>
    </xf>
    <xf numFmtId="49" fontId="22" fillId="0" borderId="0" xfId="0" applyFont="1" applyNumberFormat="1">
      <alignment horizontal="center" vertical="center" wrapText="1"/>
    </xf>
    <xf numFmtId="0" fontId="40" fillId="0" borderId="27" xfId="0" applyFont="1" applyBorder="1" applyNumberFormat="1">
      <alignment horizontal="left" vertical="center"/>
    </xf>
    <xf numFmtId="0" fontId="40" fillId="0" borderId="29" xfId="0" applyFont="1" applyBorder="1" applyNumberFormat="1">
      <alignment horizontal="left" vertical="center"/>
    </xf>
    <xf numFmtId="0" fontId="0" fillId="0" borderId="0" xfId="0" applyFont="1" applyNumberFormat="1">
      <alignment vertical="center"/>
    </xf>
    <xf numFmtId="0" fontId="0" fillId="0" borderId="17" xfId="0" applyFont="1" applyBorder="1" applyNumberFormat="1">
      <alignment horizontal="center" vertical="top"/>
    </xf>
    <xf numFmtId="0" fontId="22" fillId="0" borderId="17" xfId="0" applyFont="1" applyBorder="1" applyNumberFormat="1">
      <alignment horizontal="left" vertical="top" wrapText="1"/>
    </xf>
    <xf numFmtId="0" fontId="0" fillId="0" borderId="0" xfId="0" applyFont="1" applyNumberFormat="1">
      <alignment vertical="center"/>
    </xf>
    <xf numFmtId="0" fontId="0" fillId="0" borderId="36" xfId="0" applyFont="1" applyBorder="1" applyNumberFormat="1">
      <alignment horizontal="center" vertical="top"/>
    </xf>
    <xf numFmtId="0" fontId="22" fillId="0" borderId="36" xfId="0" applyFont="1" applyBorder="1" applyNumberFormat="1">
      <alignment horizontal="left" vertical="top" wrapText="1"/>
    </xf>
    <xf numFmtId="0" fontId="0" fillId="0" borderId="23" xfId="0" applyFont="1" applyBorder="1" applyNumberFormat="1">
      <alignment horizontal="center" vertical="top"/>
    </xf>
    <xf numFmtId="0" fontId="22" fillId="0" borderId="23" xfId="0" applyFont="1" applyBorder="1" applyNumberFormat="1">
      <alignment horizontal="left" vertical="top"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40" fillId="0" borderId="0" xfId="0" applyFont="1" applyNumberFormat="1">
      <alignment horizontal="left" vertical="center"/>
    </xf>
    <xf numFmtId="0" fontId="40" fillId="0" borderId="24" xfId="0" applyFont="1" applyBorder="1" applyNumberFormat="1">
      <alignment horizontal="left" vertical="center"/>
    </xf>
    <xf numFmtId="49" fontId="22" fillId="0" borderId="0" xfId="0" applyFont="1" applyNumberFormat="1">
      <alignment horizontal="center" vertical="center" wrapText="1"/>
    </xf>
    <xf numFmtId="0" fontId="40" fillId="0" borderId="27" xfId="0" applyFont="1" applyBorder="1" applyNumberFormat="1">
      <alignment horizontal="left" vertical="center"/>
    </xf>
    <xf numFmtId="0" fontId="40" fillId="0" borderId="29" xfId="0" applyFont="1" applyBorder="1" applyNumberFormat="1">
      <alignment horizontal="left" vertical="center"/>
    </xf>
    <xf numFmtId="0" fontId="0" fillId="0" borderId="0" xfId="0" applyFont="1" applyNumberFormat="1">
      <alignment horizontal="left" vertical="top" wrapText="1"/>
    </xf>
    <xf numFmtId="0" fontId="0" fillId="0" borderId="0" xfId="0" applyFont="1" applyNumberFormat="1" quotePrefix="1">
      <alignment horizontal="left" vertical="top" wrapText="1" indent="1"/>
    </xf>
    <xf numFmtId="0" fontId="0" fillId="0" borderId="0" xfId="0" applyFont="1" applyNumberFormat="1">
      <alignment horizontal="left" vertical="top" wrapText="1" indent="1"/>
    </xf>
    <xf numFmtId="0" fontId="0" fillId="0" borderId="0" xfId="0" applyFont="1" applyNumberFormat="1">
      <alignment horizontal="left" vertical="top" wrapText="1"/>
    </xf>
    <xf numFmtId="0" fontId="0" fillId="0" borderId="0" xfId="0" applyFont="1" applyNumberFormat="1">
      <alignment horizontal="left" vertical="top" wrapText="1"/>
    </xf>
    <xf numFmtId="0" fontId="0" fillId="0" borderId="0" xfId="0" applyFont="1" applyNumberFormat="1">
      <alignment vertical="top" wrapText="1"/>
    </xf>
    <xf numFmtId="0" fontId="0" fillId="0" borderId="0" xfId="0" applyFont="1" applyNumberFormat="1">
      <alignment vertical="center"/>
    </xf>
    <xf numFmtId="0" fontId="0" fillId="0" borderId="0" xfId="0" applyFont="1" applyNumberFormat="1">
      <alignment vertical="center"/>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40" fillId="0" borderId="0" xfId="0" applyFont="1" applyNumberFormat="1">
      <alignment horizontal="left" vertical="center"/>
    </xf>
    <xf numFmtId="0" fontId="40" fillId="0" borderId="24" xfId="0" applyFont="1" applyBorder="1" applyNumberFormat="1">
      <alignment horizontal="left" vertical="center"/>
    </xf>
    <xf numFmtId="49" fontId="22" fillId="0" borderId="0" xfId="0" applyFont="1" applyNumberFormat="1">
      <alignment horizontal="center" vertical="center" wrapText="1"/>
    </xf>
    <xf numFmtId="0" fontId="40" fillId="0" borderId="27" xfId="0" applyFont="1" applyBorder="1" applyNumberFormat="1">
      <alignment horizontal="left" vertical="center"/>
    </xf>
    <xf numFmtId="0" fontId="40" fillId="0" borderId="29" xfId="0" applyFont="1" applyBorder="1" applyNumberFormat="1">
      <alignment horizontal="left" vertical="center"/>
    </xf>
    <xf numFmtId="0" fontId="48" fillId="0" borderId="0" xfId="0" applyFont="1" applyNumberFormat="1">
      <alignment vertical="center"/>
    </xf>
    <xf numFmtId="0" fontId="0" fillId="0" borderId="0" xfId="0" applyFont="1" applyNumberFormat="1">
      <alignment vertical="center"/>
    </xf>
    <xf numFmtId="49" fontId="48" fillId="0" borderId="0" xfId="0" applyFont="1" applyNumberFormat="1">
      <alignment vertical="top"/>
    </xf>
    <xf numFmtId="49" fontId="48" fillId="0" borderId="0" xfId="0" applyFont="1" applyNumberFormat="1">
      <alignment horizontal="center" vertical="center"/>
    </xf>
    <xf numFmtId="49" fontId="48" fillId="0" borderId="0" xfId="0" applyFont="1" applyNumberFormat="1">
      <alignment horizontal="center" vertical="center"/>
    </xf>
    <xf numFmtId="49" fontId="47" fillId="0" borderId="0" xfId="0" applyFont="1" applyNumberFormat="1">
      <alignment horizontal="center" vertical="center"/>
    </xf>
    <xf numFmtId="49" fontId="67" fillId="0" borderId="0" xfId="0" applyFont="1" applyNumberFormat="1">
      <alignment vertical="top"/>
    </xf>
    <xf numFmtId="49" fontId="0" fillId="0" borderId="0" xfId="0" applyFont="1" applyNumberFormat="1">
      <alignment vertical="top"/>
    </xf>
    <xf numFmtId="49" fontId="32" fillId="0" borderId="0" xfId="0" applyFont="1" applyNumberFormat="1">
      <alignment vertical="top"/>
    </xf>
    <xf numFmtId="49" fontId="67" fillId="0" borderId="0" xfId="0" applyFont="1" applyNumberFormat="1">
      <alignment vertical="top"/>
    </xf>
    <xf numFmtId="0" fontId="32" fillId="0" borderId="0" xfId="0" applyFont="1" applyNumberFormat="1">
      <alignment vertical="center" wrapText="1"/>
    </xf>
    <xf numFmtId="0" fontId="22" fillId="0" borderId="0" xfId="0" applyFont="1" applyNumberFormat="1">
      <alignment vertical="center" wrapText="1"/>
    </xf>
    <xf numFmtId="0" fontId="37" fillId="0" borderId="0" xfId="0" applyFont="1" applyNumberFormat="1">
      <alignment horizontal="center" vertical="center" wrapText="1"/>
    </xf>
    <xf numFmtId="0" fontId="22" fillId="0" borderId="19" xfId="0" applyFont="1" applyBorder="1" applyNumberFormat="1">
      <alignment horizontal="left" vertical="center" wrapText="1" indent="1"/>
    </xf>
    <xf numFmtId="0" fontId="46" fillId="0" borderId="0" xfId="0" applyFont="1" applyNumberFormat="1">
      <alignment horizontal="left" vertical="center" wrapText="1" indent="1"/>
    </xf>
    <xf numFmtId="0" fontId="42" fillId="0" borderId="0" xfId="0" applyFont="1" applyNumberFormat="1">
      <alignment vertical="center"/>
    </xf>
    <xf numFmtId="0" fontId="113" fillId="0" borderId="0" xfId="0" applyFont="1" applyNumberFormat="1">
      <alignment vertical="center" wrapText="1"/>
    </xf>
    <xf numFmtId="0" fontId="114" fillId="0" borderId="0" xfId="0" applyFont="1" applyNumberFormat="1">
      <alignment vertical="center" wrapText="1"/>
    </xf>
    <xf numFmtId="0" fontId="32" fillId="0" borderId="0" xfId="0" applyFont="1" applyNumberFormat="1">
      <alignment vertical="center" wrapText="1"/>
    </xf>
    <xf numFmtId="0" fontId="22" fillId="0" borderId="0" xfId="0" applyFont="1" applyNumberFormat="1">
      <alignment vertical="center" wrapText="1"/>
    </xf>
    <xf numFmtId="0" fontId="22" fillId="0" borderId="27" xfId="0" applyFont="1" applyBorder="1" applyNumberFormat="1">
      <alignment horizontal="left" vertical="center" wrapText="1" indent="1"/>
    </xf>
    <xf numFmtId="0" fontId="42" fillId="0" borderId="0" xfId="0" applyFont="1" applyNumberFormat="1">
      <alignment vertical="center" wrapText="1"/>
    </xf>
    <xf numFmtId="0" fontId="22" fillId="0" borderId="37" xfId="0" applyFont="1" applyBorder="1" applyNumberFormat="1">
      <alignment horizontal="center" vertical="center" wrapText="1"/>
    </xf>
    <xf numFmtId="0" fontId="22" fillId="0" borderId="20" xfId="0" applyFont="1" applyBorder="1" applyNumberFormat="1">
      <alignment horizontal="center" vertical="center" wrapText="1"/>
    </xf>
    <xf numFmtId="0" fontId="22" fillId="0" borderId="36" xfId="0" applyFont="1" applyBorder="1" applyNumberFormat="1">
      <alignment horizontal="center" vertical="center" wrapText="1"/>
    </xf>
    <xf numFmtId="0" fontId="22" fillId="0" borderId="17" xfId="0" applyFont="1" applyBorder="1" applyNumberFormat="1">
      <alignment horizontal="center" vertical="center" wrapText="1"/>
    </xf>
    <xf numFmtId="0" fontId="22" fillId="0" borderId="37" xfId="0" applyFont="1" applyBorder="1" applyNumberFormat="1">
      <alignment horizontal="center" vertical="center" wrapText="1"/>
    </xf>
    <xf numFmtId="0" fontId="22" fillId="0" borderId="15"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17" xfId="0" applyFont="1" applyBorder="1" applyNumberFormat="1">
      <alignment horizontal="center" vertical="center" wrapText="1"/>
    </xf>
    <xf numFmtId="0" fontId="22" fillId="0" borderId="17" xfId="0" applyFont="1" applyBorder="1" applyNumberFormat="1">
      <alignment horizontal="center" vertical="center" wrapText="1"/>
    </xf>
    <xf numFmtId="0" fontId="22" fillId="0" borderId="22" xfId="0" applyFont="1" applyBorder="1" applyNumberFormat="1">
      <alignment horizontal="center" vertical="center" wrapText="1"/>
    </xf>
    <xf numFmtId="0" fontId="22" fillId="0" borderId="24" xfId="0" applyFont="1" applyBorder="1" applyNumberFormat="1">
      <alignment horizontal="center" vertical="center" wrapText="1"/>
    </xf>
    <xf numFmtId="0" fontId="22" fillId="0" borderId="22" xfId="0" applyFont="1" applyBorder="1" applyNumberFormat="1">
      <alignment horizontal="center" vertical="center" wrapText="1"/>
    </xf>
    <xf numFmtId="0" fontId="22" fillId="0" borderId="36" xfId="0" applyFont="1" applyBorder="1" applyNumberFormat="1">
      <alignment horizontal="center" vertical="center" wrapText="1"/>
    </xf>
    <xf numFmtId="0" fontId="22" fillId="0" borderId="30" xfId="0" applyFont="1" applyBorder="1" applyNumberFormat="1">
      <alignment horizontal="center" vertical="center" wrapText="1"/>
    </xf>
    <xf numFmtId="0" fontId="22" fillId="0" borderId="29" xfId="0" applyFont="1" applyBorder="1" applyNumberFormat="1">
      <alignment horizontal="center" vertical="center" wrapText="1"/>
    </xf>
    <xf numFmtId="0" fontId="22" fillId="0" borderId="17" xfId="0" applyFont="1" applyBorder="1" applyNumberFormat="1">
      <alignment horizontal="center" vertical="center" wrapText="1"/>
    </xf>
    <xf numFmtId="0" fontId="22" fillId="0" borderId="37" xfId="0" applyFont="1" applyBorder="1" applyNumberFormat="1">
      <alignment horizontal="center" vertical="center" wrapText="1"/>
    </xf>
    <xf numFmtId="49" fontId="22" fillId="0" borderId="0" xfId="0" applyFont="1" applyNumberFormat="1">
      <alignment vertical="top"/>
    </xf>
    <xf numFmtId="49" fontId="22" fillId="0" borderId="12" xfId="0" applyFont="1" applyBorder="1" applyNumberFormat="1">
      <alignment horizontal="center" vertical="center"/>
    </xf>
    <xf numFmtId="0" fontId="22" fillId="0" borderId="12" xfId="0" applyFont="1" applyBorder="1" applyNumberFormat="1">
      <alignment horizontal="left" vertical="center" wrapText="1"/>
    </xf>
    <xf numFmtId="49" fontId="22" fillId="40" borderId="17" xfId="0" applyFont="1" applyFill="1" applyBorder="1" applyNumberFormat="1">
      <alignment horizontal="center" vertical="center" wrapText="1"/>
    </xf>
    <xf numFmtId="49" fontId="22" fillId="0" borderId="37" xfId="0" applyFont="1" applyBorder="1" applyNumberFormat="1">
      <alignment vertical="center" wrapText="1"/>
    </xf>
    <xf numFmtId="0" fontId="22" fillId="0" borderId="19" xfId="0" applyFont="1" applyBorder="1" applyNumberFormat="1">
      <alignment horizontal="center" vertical="center"/>
    </xf>
    <xf numFmtId="49" fontId="22" fillId="0" borderId="19" xfId="0" applyFont="1" applyBorder="1" applyNumberForma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7"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pplyNumberFormat="1">
      <alignment horizontal="left" vertical="center" wrapText="1"/>
    </xf>
    <xf numFmtId="49" fontId="22" fillId="0" borderId="19" xfId="0" applyFont="1" applyBorder="1" applyNumberFormat="1">
      <alignment horizontal="center" vertical="center" wrapText="1"/>
    </xf>
    <xf numFmtId="49" fontId="22" fillId="0" borderId="19" xfId="0" applyFont="1" applyBorder="1" applyNumberFormat="1">
      <alignment vertical="center" wrapText="1"/>
    </xf>
    <xf numFmtId="49" fontId="22" fillId="40" borderId="36" xfId="0" applyFont="1" applyFill="1" applyBorder="1" applyNumberFormat="1">
      <alignment horizontal="center" vertical="center" wrapText="1"/>
    </xf>
    <xf numFmtId="49" fontId="22" fillId="0" borderId="22" xfId="0" applyFont="1" applyBorder="1" applyNumberFormat="1">
      <alignment vertical="center" wrapText="1"/>
    </xf>
    <xf numFmtId="0" fontId="22" fillId="0" borderId="0" xfId="0" applyFont="1" applyNumberFormat="1">
      <alignment horizontal="center" vertical="center"/>
    </xf>
    <xf numFmtId="0" fontId="22" fillId="0" borderId="0" xfId="0" applyFont="1" applyNumberFormat="1">
      <alignment horizontal="lef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7"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pplyNumberFormat="1">
      <alignment horizontal="left" vertical="center" wrapText="1"/>
    </xf>
    <xf numFmtId="0" fontId="40" fillId="0" borderId="0" xfId="0" applyFont="1" applyNumberFormat="1">
      <alignment horizontal="left" vertical="center"/>
    </xf>
    <xf numFmtId="0" fontId="40" fillId="0" borderId="0" xfId="0" applyFont="1" applyNumberFormat="1">
      <alignment horizontal="left" vertical="center"/>
    </xf>
    <xf numFmtId="0" fontId="40" fillId="0" borderId="24" xfId="0" applyFont="1" applyBorder="1" applyNumberFormat="1">
      <alignment horizontal="left" vertical="center"/>
    </xf>
    <xf numFmtId="49" fontId="22" fillId="0" borderId="0" xfId="0" applyFont="1" applyNumberFormat="1">
      <alignment horizontal="center" vertical="center" wrapText="1"/>
    </xf>
    <xf numFmtId="49" fontId="37" fillId="0" borderId="0" xfId="0" applyFont="1" applyNumberFormat="1">
      <alignment horizontal="center" vertical="center" wrapText="1"/>
    </xf>
    <xf numFmtId="0" fontId="40" fillId="0" borderId="0" xfId="0" applyFont="1" applyNumberFormat="1">
      <alignment vertical="center"/>
    </xf>
    <xf numFmtId="0" fontId="40" fillId="0" borderId="22" xfId="0" applyFont="1" applyBorder="1" applyNumberFormat="1">
      <alignment horizontal="left" vertical="center"/>
    </xf>
    <xf numFmtId="49" fontId="22" fillId="0" borderId="17" xfId="0" applyFont="1" applyBorder="1" applyNumberFormat="1">
      <alignment horizontal="center" vertical="center"/>
    </xf>
    <xf numFmtId="0" fontId="22" fillId="0" borderId="17" xfId="0" applyFont="1" applyBorder="1" applyNumberFormat="1">
      <alignment horizontal="left" vertical="center" wrapText="1"/>
    </xf>
    <xf numFmtId="0" fontId="22" fillId="0" borderId="37" xfId="0" applyFont="1" applyBorder="1" applyNumberFormat="1">
      <alignment horizontal="left" vertical="center" wrapText="1"/>
    </xf>
    <xf numFmtId="49" fontId="67" fillId="0" borderId="30" xfId="0" applyFont="1" applyBorder="1" applyNumberFormat="1">
      <alignment vertical="top"/>
    </xf>
    <xf numFmtId="49" fontId="67" fillId="0" borderId="27" xfId="0" applyFont="1" applyBorder="1" applyNumberFormat="1">
      <alignment vertical="top"/>
    </xf>
    <xf numFmtId="0" fontId="40" fillId="0" borderId="27" xfId="0" applyFont="1" applyBorder="1" applyNumberFormat="1">
      <alignment horizontal="left" vertical="center"/>
    </xf>
    <xf numFmtId="0" fontId="40" fillId="0" borderId="29" xfId="0" applyFont="1" applyBorder="1" applyNumberFormat="1">
      <alignment horizontal="left" vertical="center"/>
    </xf>
    <xf numFmtId="0" fontId="22" fillId="0" borderId="0" xfId="0" applyFont="1" applyNumberFormat="1">
      <alignment horizontal="left" vertical="center" wrapText="1"/>
    </xf>
    <xf numFmtId="0" fontId="22" fillId="0" borderId="14" xfId="0" applyFont="1" applyBorder="1" applyNumberFormat="1">
      <alignment horizontal="left" vertical="center" wrapText="1"/>
    </xf>
    <xf numFmtId="49" fontId="32" fillId="0" borderId="0" xfId="0" applyFont="1" applyNumberFormat="1">
      <alignment vertical="top"/>
    </xf>
    <xf numFmtId="0" fontId="22" fillId="35" borderId="0" xfId="0" applyFont="1" applyFill="1" applyNumberFormat="1"/>
    <xf numFmtId="0" fontId="0" fillId="35" borderId="0" xfId="0" applyFont="1" applyFill="1" applyNumberFormat="1"/>
    <xf numFmtId="0" fontId="61" fillId="35" borderId="0" xfId="0" applyFont="1" applyFill="1" applyNumberFormat="1"/>
    <xf numFmtId="0" fontId="48" fillId="35" borderId="0" xfId="0" applyFont="1" applyFill="1" applyNumberFormat="1"/>
    <xf numFmtId="0" fontId="61" fillId="35" borderId="0" xfId="0" applyFont="1" applyFill="1" applyNumberFormat="1">
      <alignment horizontal="center"/>
    </xf>
    <xf numFmtId="0" fontId="61" fillId="35" borderId="0" xfId="0" applyFont="1" applyFill="1" applyNumberFormat="1"/>
    <xf numFmtId="0" fontId="90" fillId="0" borderId="0" xfId="0" applyFont="1" applyNumberFormat="1">
      <alignment vertical="center"/>
    </xf>
    <xf numFmtId="0" fontId="89" fillId="0" borderId="0" xfId="0" applyFont="1" applyNumberFormat="1">
      <alignment vertical="center"/>
    </xf>
    <xf numFmtId="0" fontId="73" fillId="35" borderId="0" xfId="0" applyFont="1" applyFill="1" applyNumberFormat="1">
      <alignment horizontal="right" vertical="center"/>
    </xf>
    <xf numFmtId="0" fontId="22" fillId="35" borderId="0" xfId="0" applyFont="1" applyFill="1" applyNumberFormat="1">
      <alignment vertical="center" wrapText="1"/>
    </xf>
    <xf numFmtId="0" fontId="48" fillId="35" borderId="0" xfId="0" applyFont="1" applyFill="1" applyNumberFormat="1">
      <alignment vertical="center" wrapText="1"/>
    </xf>
    <xf numFmtId="0" fontId="22" fillId="35" borderId="0" xfId="0" applyFont="1" applyFill="1" applyNumberFormat="1">
      <alignment horizontal="center" vertical="center" wrapText="1"/>
    </xf>
    <xf numFmtId="0" fontId="93" fillId="35" borderId="0" xfId="0" applyFont="1" applyFill="1" applyNumberFormat="1">
      <alignment horizontal="left" vertical="center"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0" fillId="35" borderId="12" xfId="0" applyFont="1" applyFill="1" applyBorder="1" applyNumberFormat="1">
      <alignment horizontal="center" vertical="center" wrapText="1"/>
    </xf>
    <xf numFmtId="0" fontId="22" fillId="35" borderId="12" xfId="0" applyFont="1" applyFill="1" applyBorder="1" applyNumberFormat="1">
      <alignment horizontal="center" vertical="center" wrapText="1"/>
    </xf>
    <xf numFmtId="0" fontId="36" fillId="35" borderId="0" xfId="0" applyFont="1" applyFill="1" applyNumberFormat="1">
      <alignment horizontal="center" vertical="center"/>
    </xf>
    <xf numFmtId="49" fontId="48" fillId="0" borderId="12" xfId="0" applyFont="1" applyBorder="1" applyNumberFormat="1">
      <alignment horizontal="center" vertical="center"/>
    </xf>
    <xf numFmtId="0" fontId="48" fillId="0" borderId="12" xfId="0" applyFont="1" applyBorder="1" applyNumberFormat="1">
      <alignment vertical="center" wrapText="1"/>
    </xf>
    <xf numFmtId="0" fontId="48" fillId="0" borderId="12" xfId="0" applyFont="1" applyBorder="1" applyNumberFormat="1">
      <alignment horizontal="left" vertical="center" wrapText="1"/>
    </xf>
    <xf numFmtId="0" fontId="65" fillId="35" borderId="0" xfId="0" applyFont="1" applyFill="1" applyNumberFormat="1"/>
    <xf numFmtId="49" fontId="0" fillId="35" borderId="12" xfId="0" applyFont="1" applyFill="1" applyBorder="1" applyNumberFormat="1">
      <alignment horizontal="center" vertical="center"/>
    </xf>
    <xf numFmtId="0" fontId="0" fillId="35" borderId="12" xfId="0" applyFont="1" applyFill="1" applyBorder="1" applyNumberFormat="1">
      <alignment vertical="center" wrapText="1"/>
    </xf>
    <xf numFmtId="0" fontId="0" fillId="0" borderId="12" xfId="0" applyFont="1" applyBorder="1" applyNumberFormat="1">
      <alignment horizontal="center" vertical="center" wrapText="1"/>
    </xf>
    <xf numFmtId="0" fontId="22" fillId="35" borderId="12" xfId="0" applyFont="1" applyFill="1" applyBorder="1" applyNumberFormat="1">
      <alignment vertical="center" wrapText="1"/>
    </xf>
    <xf numFmtId="0" fontId="0" fillId="35" borderId="12" xfId="0" applyFont="1" applyFill="1" applyBorder="1" applyNumberFormat="1">
      <alignment horizontal="left" vertical="center" wrapText="1" indent="1"/>
    </xf>
    <xf numFmtId="49" fontId="0" fillId="39" borderId="12" xfId="0" applyFont="1" applyFill="1" applyBorder="1" applyNumberFormat="1">
      <alignment horizontal="left" vertical="center" wrapText="1"/>
      <protection locked="0"/>
    </xf>
    <xf numFmtId="0" fontId="48" fillId="0" borderId="12" xfId="0" applyFont="1" applyBorder="1" applyNumberFormat="1">
      <alignment horizontal="left" vertical="center" wrapText="1" indent="1"/>
    </xf>
    <xf numFmtId="49" fontId="22" fillId="35" borderId="0" xfId="0" applyFont="1" applyFill="1" applyNumberFormat="1">
      <alignment horizontal="center" vertical="center" wrapText="1"/>
    </xf>
    <xf numFmtId="0" fontId="22" fillId="35" borderId="24" xfId="0" applyFont="1" applyFill="1" applyBorder="1" applyNumberFormat="1">
      <alignment horizontal="center" vertical="center" wrapText="1"/>
    </xf>
    <xf numFmtId="0" fontId="90" fillId="0" borderId="0" xfId="0" applyFont="1" applyNumberFormat="1">
      <alignment vertical="center" wrapText="1"/>
    </xf>
    <xf numFmtId="0" fontId="0" fillId="35" borderId="12" xfId="0" applyFont="1" applyFill="1" applyBorder="1" applyNumberFormat="1">
      <alignment horizontal="center" vertical="center"/>
    </xf>
    <xf numFmtId="0" fontId="0" fillId="35" borderId="12" xfId="0" applyFont="1" applyFill="1" applyBorder="1" applyNumberFormat="1">
      <alignment horizontal="left" vertical="center" wrapText="1" indent="2"/>
    </xf>
    <xf numFmtId="49" fontId="0" fillId="0" borderId="12" xfId="0" applyFont="1" applyBorder="1" applyNumberFormat="1">
      <alignment horizontal="left" vertical="center" wrapText="1"/>
    </xf>
    <xf numFmtId="49" fontId="22" fillId="35" borderId="0" xfId="0" applyFont="1" applyFill="1" applyNumberFormat="1">
      <alignment vertical="center" wrapText="1"/>
    </xf>
    <xf numFmtId="0" fontId="22" fillId="35" borderId="24" xfId="0" applyFont="1" applyFill="1" applyBorder="1" applyNumberFormat="1">
      <alignment vertical="center" wrapText="1"/>
    </xf>
    <xf numFmtId="0" fontId="22" fillId="37" borderId="14" xfId="0" applyFont="1" applyFill="1" applyBorder="1" applyNumberFormat="1">
      <alignment horizontal="center"/>
    </xf>
    <xf numFmtId="49" fontId="40" fillId="37" borderId="15" xfId="0" applyFont="1" applyFill="1" applyBorder="1" applyNumberFormat="1">
      <alignment horizontal="left" vertical="center" indent="1"/>
    </xf>
    <xf numFmtId="0" fontId="73" fillId="37" borderId="15" xfId="0" applyFont="1" applyFill="1" applyBorder="1" applyNumberFormat="1">
      <alignment horizontal="left" vertical="center"/>
    </xf>
    <xf numFmtId="0" fontId="73" fillId="37" borderId="13" xfId="0" applyFont="1" applyFill="1" applyBorder="1" applyNumberFormat="1">
      <alignment horizontal="left" vertical="center"/>
    </xf>
    <xf numFmtId="0" fontId="48" fillId="35" borderId="0" xfId="0" applyFont="1" applyFill="1" applyNumberFormat="1"/>
    <xf numFmtId="49" fontId="48" fillId="35" borderId="12" xfId="0" applyFont="1" applyFill="1" applyBorder="1" applyNumberFormat="1">
      <alignment horizontal="center" vertical="center"/>
    </xf>
    <xf numFmtId="0" fontId="48" fillId="35" borderId="12" xfId="0" applyFont="1" applyFill="1" applyBorder="1" applyNumberFormat="1">
      <alignment vertical="center" wrapText="1"/>
    </xf>
    <xf numFmtId="0" fontId="48" fillId="0" borderId="12" xfId="0" applyFont="1" applyBorder="1" applyNumberFormat="1">
      <alignment horizontal="center" vertical="center" wrapText="1"/>
    </xf>
    <xf numFmtId="0" fontId="48" fillId="35" borderId="12" xfId="0" applyFont="1" applyFill="1" applyBorder="1" applyNumberFormat="1">
      <alignment horizontal="left" vertical="center" wrapText="1" indent="1"/>
    </xf>
    <xf numFmtId="0" fontId="48" fillId="35" borderId="12" xfId="0" applyFont="1" applyFill="1" applyBorder="1" applyNumberFormat="1">
      <alignment horizontal="left" vertical="center" wrapText="1" indent="2"/>
    </xf>
    <xf numFmtId="49" fontId="48" fillId="0" borderId="12" xfId="0" applyFont="1" applyBorder="1" applyNumberFormat="1">
      <alignment horizontal="left" vertical="center" wrapText="1"/>
    </xf>
    <xf numFmtId="49" fontId="48" fillId="0" borderId="12" xfId="0" applyFont="1" applyBorder="1" applyNumberFormat="1">
      <alignment horizontal="left" vertical="center" wrapText="1"/>
    </xf>
    <xf numFmtId="0" fontId="0" fillId="35" borderId="12" xfId="0" applyFont="1" applyFill="1" applyBorder="1" applyNumberFormat="1">
      <alignment horizontal="left" vertical="center" wrapText="1"/>
    </xf>
    <xf numFmtId="49" fontId="0" fillId="36" borderId="12" xfId="0" applyFont="1" applyFill="1" applyBorder="1" applyNumberFormat="1">
      <alignment horizontal="left" vertical="center" wrapText="1"/>
      <protection locked="0"/>
    </xf>
    <xf numFmtId="0" fontId="0" fillId="35" borderId="17" xfId="0" applyFont="1" applyFill="1" applyBorder="1" applyNumberFormat="1">
      <alignment horizontal="left" vertical="center" wrapText="1"/>
    </xf>
    <xf numFmtId="0" fontId="22" fillId="35" borderId="17" xfId="0" applyFont="1" applyFill="1" applyBorder="1" applyNumberFormat="1">
      <alignment horizontal="left" vertical="top" wrapText="1"/>
    </xf>
    <xf numFmtId="49" fontId="0" fillId="0" borderId="12" xfId="0" applyFont="1" applyBorder="1" applyNumberFormat="1">
      <alignment horizontal="left" vertical="center" wrapText="1" indent="1"/>
    </xf>
    <xf numFmtId="0" fontId="22" fillId="35" borderId="36" xfId="0" applyFont="1" applyFill="1" applyBorder="1" applyNumberFormat="1">
      <alignment horizontal="left" vertical="top" wrapText="1"/>
    </xf>
    <xf numFmtId="0" fontId="37" fillId="35" borderId="0" xfId="0" applyFont="1" applyFill="1" applyNumberFormat="1">
      <alignment horizontal="center" vertical="center"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0" fontId="22" fillId="35" borderId="23" xfId="0" applyFont="1" applyFill="1" applyBorder="1" applyNumberFormat="1">
      <alignment horizontal="left" vertical="top" wrapText="1"/>
    </xf>
    <xf numFmtId="0" fontId="52" fillId="35" borderId="0" xfId="0" applyFont="1" applyFill="1" applyNumberFormat="1"/>
    <xf numFmtId="49" fontId="22" fillId="39" borderId="12" xfId="0" applyFont="1" applyFill="1" applyBorder="1" applyNumberFormat="1" quotePrefix="1">
      <alignment horizontal="left" vertical="center" wrapText="1"/>
      <protection locked="0"/>
    </xf>
    <xf numFmtId="49" fontId="22" fillId="36" borderId="12" xfId="0" applyFont="1" applyFill="1" applyBorder="1" applyNumberFormat="1">
      <alignment horizontal="left" vertical="center" wrapText="1"/>
      <protection locked="0"/>
    </xf>
    <xf numFmtId="49" fontId="22" fillId="40" borderId="12"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0" fillId="35" borderId="14" xfId="0" applyFont="1" applyFill="1" applyBorder="1" applyNumberFormat="1">
      <alignment horizontal="left" vertical="center" wrapText="1" indent="1"/>
    </xf>
    <xf numFmtId="49" fontId="22" fillId="40" borderId="14" xfId="0" applyFont="1" applyFill="1" applyBorder="1" applyNumberFormat="1">
      <alignment horizontal="left" vertical="center" wrapText="1"/>
    </xf>
    <xf numFmtId="0" fontId="0" fillId="35" borderId="12" xfId="0" applyFont="1" applyFill="1" applyBorder="1" applyNumberFormat="1">
      <alignment vertical="top" wrapText="1"/>
    </xf>
    <xf numFmtId="49" fontId="22" fillId="35" borderId="0" xfId="0" applyFont="1" applyFill="1" applyNumberFormat="1">
      <alignment horizontal="center" vertical="center" wrapText="1"/>
    </xf>
    <xf numFmtId="0" fontId="0" fillId="35" borderId="14" xfId="0" applyFont="1" applyFill="1" applyBorder="1" applyNumberFormat="1">
      <alignment horizontal="left" vertical="center" wrapText="1"/>
    </xf>
    <xf numFmtId="0" fontId="0" fillId="35" borderId="23" xfId="0" applyFont="1" applyFill="1" applyBorder="1" applyNumberFormat="1">
      <alignment vertical="center" wrapText="1"/>
    </xf>
    <xf numFmtId="0" fontId="76" fillId="35" borderId="0" xfId="0" applyFont="1" applyFill="1" applyNumberFormat="1"/>
    <xf numFmtId="0" fontId="22" fillId="0" borderId="0" xfId="0" applyFont="1" applyNumberFormat="1">
      <alignment vertical="top" wrapText="1"/>
    </xf>
    <xf numFmtId="0" fontId="48" fillId="0" borderId="0" xfId="0" applyFont="1" applyNumberFormat="1">
      <alignment vertical="center" wrapText="1"/>
    </xf>
    <xf numFmtId="0" fontId="45" fillId="0" borderId="0" xfId="0" applyFont="1" applyNumberFormat="1">
      <alignment horizontal="right" vertical="top" wrapText="1"/>
    </xf>
    <xf numFmtId="0" fontId="45" fillId="0" borderId="0" xfId="0" applyFont="1" applyNumberFormat="1">
      <alignment horizontal="left" vertical="top" wrapText="1" indent="1"/>
    </xf>
    <xf numFmtId="0" fontId="45" fillId="0" borderId="0" xfId="0" applyFont="1" applyNumberFormat="1">
      <alignment vertical="center" wrapText="1"/>
    </xf>
    <xf numFmtId="0" fontId="76" fillId="35" borderId="0" xfId="0" applyFont="1" applyFill="1" applyNumberFormat="1"/>
    <xf numFmtId="0" fontId="75" fillId="35" borderId="0" xfId="0" applyFont="1" applyFill="1" applyNumberFormat="1">
      <alignment horizontal="center"/>
    </xf>
    <xf numFmtId="0" fontId="75" fillId="35" borderId="0" xfId="0" applyFont="1" applyFill="1" applyNumberFormat="1"/>
    <xf numFmtId="0" fontId="77" fillId="35" borderId="0" xfId="0" applyFont="1" applyFill="1" applyNumberFormat="1">
      <alignment horizontal="right" vertical="center"/>
    </xf>
    <xf numFmtId="0" fontId="78" fillId="35" borderId="0" xfId="0" applyFont="1" applyFill="1" applyNumberFormat="1">
      <alignment vertical="center"/>
    </xf>
    <xf numFmtId="0" fontId="77" fillId="35" borderId="0" xfId="0" applyFont="1" applyFill="1" applyNumberFormat="1">
      <alignment horizontal="right" vertical="top"/>
    </xf>
    <xf numFmtId="0" fontId="78" fillId="35" borderId="0" xfId="0" applyFont="1" applyFill="1" applyNumberFormat="1">
      <alignment vertical="center" wrapText="1"/>
    </xf>
    <xf numFmtId="0" fontId="0" fillId="35" borderId="0" xfId="0" applyFont="1" applyFill="1" applyNumberFormat="1">
      <alignment horizontal="center"/>
    </xf>
    <xf numFmtId="0" fontId="22" fillId="35" borderId="0" xfId="0" applyFont="1" applyFill="1" applyNumberFormat="1"/>
    <xf numFmtId="0" fontId="0" fillId="35" borderId="0" xfId="0" applyFont="1" applyFill="1" applyNumberFormat="1"/>
    <xf numFmtId="0" fontId="0" fillId="35" borderId="0" xfId="0" applyFont="1" applyFill="1" applyNumberFormat="1">
      <alignment horizontal="center"/>
    </xf>
    <xf numFmtId="0" fontId="47" fillId="0" borderId="0" xfId="0" applyFont="1" applyNumberFormat="1">
      <alignment horizontal="center" vertical="center" wrapText="1"/>
    </xf>
    <xf numFmtId="0" fontId="22" fillId="0" borderId="0" xfId="0" applyFont="1" applyNumberFormat="1">
      <alignment vertical="center" wrapText="1"/>
    </xf>
    <xf numFmtId="0" fontId="88" fillId="0" borderId="0" xfId="0" applyFont="1" applyNumberFormat="1">
      <alignment vertical="center" wrapText="1"/>
    </xf>
    <xf numFmtId="0" fontId="88" fillId="35" borderId="0" xfId="0" applyFont="1" applyFill="1" applyNumberFormat="1">
      <alignment horizontal="center" vertical="center" wrapText="1"/>
    </xf>
    <xf numFmtId="0" fontId="88" fillId="35" borderId="0" xfId="0" applyFont="1" applyFill="1" applyNumberFormat="1">
      <alignment horizontal="right" vertical="center" wrapText="1"/>
    </xf>
    <xf numFmtId="0" fontId="88" fillId="0" borderId="0" xfId="0" applyFont="1" applyNumberFormat="1">
      <alignment vertical="center" wrapText="1"/>
    </xf>
    <xf numFmtId="0" fontId="37" fillId="35" borderId="0" xfId="0" applyFont="1" applyFill="1" applyNumberFormat="1">
      <alignment horizontal="center" vertical="center" wrapText="1"/>
    </xf>
    <xf numFmtId="0" fontId="46" fillId="0" borderId="0" xfId="0" applyFont="1" applyNumberFormat="1">
      <alignment horizontal="left" vertical="center" wrapText="1" indent="3"/>
    </xf>
    <xf numFmtId="0" fontId="64" fillId="0" borderId="0" xfId="0" applyFont="1" applyNumberFormat="1">
      <alignment horizontal="center" vertical="center" wrapText="1"/>
    </xf>
    <xf numFmtId="0" fontId="64" fillId="0" borderId="0" xfId="0" applyFont="1" applyNumberFormat="1">
      <alignment vertical="center" wrapText="1"/>
    </xf>
    <xf numFmtId="0" fontId="32" fillId="0" borderId="0" xfId="0" applyFont="1" applyNumberFormat="1">
      <alignment vertical="center" wrapText="1"/>
    </xf>
    <xf numFmtId="0" fontId="37" fillId="35" borderId="0" xfId="0" applyFont="1" applyFill="1" applyNumberFormat="1">
      <alignment horizontal="center" vertical="center" wrapText="1"/>
    </xf>
    <xf numFmtId="0" fontId="22" fillId="0" borderId="29" xfId="0" applyFont="1" applyBorder="1" applyNumberFormat="1">
      <alignment horizontal="left" vertical="center" wrapText="1" indent="1"/>
    </xf>
    <xf numFmtId="0" fontId="22" fillId="0" borderId="23" xfId="0" applyFont="1" applyBorder="1" applyNumberFormat="1">
      <alignment horizontal="left" vertical="center" wrapText="1" indent="1"/>
    </xf>
    <xf numFmtId="0" fontId="22" fillId="0" borderId="30" xfId="0" applyFont="1" applyBorder="1" applyNumberFormat="1">
      <alignment horizontal="left" vertical="center" wrapText="1" indent="1"/>
    </xf>
    <xf numFmtId="0" fontId="58" fillId="0" borderId="0" xfId="0" applyFont="1" applyNumberFormat="1">
      <alignment vertical="center" wrapText="1"/>
    </xf>
    <xf numFmtId="0" fontId="79" fillId="35" borderId="0" xfId="0" applyFont="1" applyFill="1" applyNumberFormat="1">
      <alignment horizontal="center" vertical="center" wrapText="1"/>
    </xf>
    <xf numFmtId="0" fontId="60" fillId="0" borderId="0" xfId="0" applyFont="1" applyNumberFormat="1">
      <alignment horizontal="left" vertical="center" wrapText="1" indent="1"/>
    </xf>
    <xf numFmtId="0" fontId="22" fillId="0" borderId="0" xfId="0" applyFont="1" applyNumberFormat="1">
      <alignment horizontal="right" vertical="center"/>
    </xf>
    <xf numFmtId="0" fontId="48" fillId="0" borderId="0" xfId="0" applyFont="1" applyNumberFormat="1">
      <alignment vertical="center" wrapText="1"/>
    </xf>
    <xf numFmtId="0" fontId="60" fillId="0" borderId="0" xfId="0" applyFont="1" applyNumberFormat="1">
      <alignment vertical="center" wrapText="1"/>
    </xf>
    <xf numFmtId="0" fontId="0" fillId="0" borderId="14" xfId="0" applyFont="1" applyBorder="1" applyNumberFormat="1">
      <alignment horizontal="center" vertical="center" wrapText="1"/>
    </xf>
    <xf numFmtId="0" fontId="0" fillId="0" borderId="15" xfId="0" applyFont="1" applyBorder="1" applyNumberFormat="1">
      <alignment horizontal="center" vertical="center" wrapText="1"/>
    </xf>
    <xf numFmtId="0" fontId="0" fillId="0" borderId="13" xfId="0" applyFont="1" applyBorder="1" applyNumberFormat="1">
      <alignment horizontal="center" vertical="center" wrapText="1"/>
    </xf>
    <xf numFmtId="0" fontId="0" fillId="0" borderId="12"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37" xfId="0" applyFont="1" applyBorder="1" applyNumberFormat="1">
      <alignment horizontal="center" vertical="center" wrapText="1"/>
    </xf>
    <xf numFmtId="0" fontId="0" fillId="0" borderId="20" xfId="0" applyFont="1" applyBorder="1" applyNumberFormat="1">
      <alignment horizontal="center" vertical="center" wrapText="1"/>
    </xf>
    <xf numFmtId="0" fontId="0" fillId="0" borderId="20"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30" xfId="0" applyFont="1" applyBorder="1" applyNumberFormat="1">
      <alignment horizontal="center" vertical="center" wrapText="1"/>
    </xf>
    <xf numFmtId="0" fontId="0" fillId="0" borderId="12" xfId="0" applyFont="1" applyBorder="1" applyNumberFormat="1">
      <alignment horizontal="center" vertical="center" wrapText="1"/>
    </xf>
    <xf numFmtId="0" fontId="0" fillId="0" borderId="14" xfId="0" applyFont="1" applyBorder="1" applyNumberFormat="1">
      <alignment horizontal="center" vertical="center" wrapText="1"/>
    </xf>
    <xf numFmtId="0" fontId="0" fillId="0" borderId="29" xfId="0" applyFont="1" applyBorder="1" applyNumberFormat="1">
      <alignment horizontal="center" vertical="center" wrapText="1"/>
    </xf>
    <xf numFmtId="0" fontId="0" fillId="0" borderId="29"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23" xfId="0" applyFont="1" applyBorder="1" applyNumberFormat="1">
      <alignment horizontal="center" vertical="center" wrapText="1"/>
    </xf>
    <xf numFmtId="0" fontId="36" fillId="35" borderId="0" xfId="0" applyFont="1" applyFill="1" applyNumberFormat="1">
      <alignment horizontal="center" vertical="center" wrapText="1"/>
    </xf>
    <xf numFmtId="49" fontId="36" fillId="35" borderId="0" xfId="0" applyFont="1" applyFill="1" applyNumberFormat="1">
      <alignment horizontal="center" vertical="center" wrapText="1"/>
    </xf>
    <xf numFmtId="0" fontId="72" fillId="0" borderId="0" xfId="0" applyFont="1" applyNumberFormat="1">
      <alignment vertical="center" wrapText="1"/>
    </xf>
    <xf numFmtId="0" fontId="80" fillId="35" borderId="0" xfId="0" applyFont="1" applyFill="1" applyNumberFormat="1">
      <alignment horizontal="center" vertical="center" wrapText="1"/>
    </xf>
    <xf numFmtId="49" fontId="72" fillId="0" borderId="17" xfId="0" applyFont="1" applyBorder="1" applyNumberFormat="1">
      <alignment horizontal="left" vertical="center" wrapText="1"/>
    </xf>
    <xf numFmtId="49" fontId="72" fillId="0" borderId="12" xfId="0" applyFont="1" applyBorder="1" applyNumberFormat="1">
      <alignment horizontal="left" vertical="center" wrapText="1"/>
    </xf>
    <xf numFmtId="49" fontId="0" fillId="0" borderId="12" xfId="0" applyFont="1" applyBorder="1" applyNumberFormat="1">
      <alignment vertical="top" wrapText="1"/>
    </xf>
    <xf numFmtId="49" fontId="0" fillId="0" borderId="12" xfId="0" applyFont="1" applyBorder="1" applyNumberFormat="1">
      <alignment horizontal="center" vertical="center" wrapText="1"/>
    </xf>
    <xf numFmtId="49" fontId="0" fillId="36" borderId="12" xfId="0" applyFont="1" applyFill="1" applyBorder="1" applyNumberFormat="1">
      <alignment horizontal="left" vertical="center" wrapText="1"/>
      <protection locked="0"/>
    </xf>
    <xf numFmtId="0" fontId="22" fillId="40" borderId="14" xfId="0" applyFont="1" applyFill="1" applyBorder="1" applyNumberFormat="1">
      <alignment horizontal="left" vertical="center" wrapText="1"/>
    </xf>
    <xf numFmtId="49" fontId="36" fillId="35" borderId="12" xfId="0" applyFont="1" applyFill="1" applyBorder="1" applyNumberFormat="1">
      <alignment horizontal="center" vertical="center" wrapText="1"/>
    </xf>
    <xf numFmtId="4" fontId="0" fillId="39" borderId="12" xfId="0" applyFont="1" applyFill="1" applyBorder="1" applyNumberFormat="1">
      <alignment horizontal="right" vertical="center" wrapText="1"/>
      <protection locked="0"/>
    </xf>
    <xf numFmtId="3" fontId="0" fillId="39" borderId="12" xfId="0" applyFont="1" applyFill="1" applyBorder="1" applyNumberFormat="1">
      <alignment horizontal="right" vertical="center" wrapText="1"/>
      <protection locked="0"/>
    </xf>
    <xf numFmtId="4" fontId="0" fillId="39" borderId="13" xfId="0" applyFont="1" applyFill="1" applyBorder="1" applyNumberFormat="1">
      <alignment horizontal="right" vertical="center" wrapText="1"/>
      <protection locked="0"/>
    </xf>
    <xf numFmtId="0" fontId="0" fillId="36" borderId="12" xfId="0" applyFont="1" applyFill="1" applyBorder="1" applyNumberFormat="1">
      <alignment horizontal="right" vertical="center" wrapText="1"/>
      <protection locked="0"/>
    </xf>
    <xf numFmtId="3" fontId="0" fillId="0" borderId="13" xfId="0" applyFont="1" applyBorder="1" applyNumberFormat="1">
      <alignment horizontal="right" vertical="center" wrapText="1"/>
    </xf>
    <xf numFmtId="0" fontId="0" fillId="0" borderId="17" xfId="0" applyFont="1" applyBorder="1" applyNumberFormat="1">
      <alignment horizontal="left" vertical="top" wrapText="1"/>
    </xf>
    <xf numFmtId="49" fontId="50" fillId="37" borderId="14" xfId="0" applyFont="1" applyFill="1" applyBorder="1" applyNumberFormat="1">
      <alignment horizontal="center" vertical="center"/>
    </xf>
    <xf numFmtId="0" fontId="40" fillId="37" borderId="15" xfId="0" applyFont="1" applyFill="1" applyBorder="1" applyNumberFormat="1">
      <alignment vertical="center"/>
    </xf>
    <xf numFmtId="49" fontId="40" fillId="37" borderId="15" xfId="0" applyFont="1" applyFill="1" applyBorder="1" applyNumberFormat="1">
      <alignment vertical="center"/>
    </xf>
    <xf numFmtId="49" fontId="73" fillId="37" borderId="15" xfId="0" applyFont="1" applyFill="1" applyBorder="1" applyNumberFormat="1">
      <alignment vertical="center"/>
    </xf>
    <xf numFmtId="49" fontId="73" fillId="37" borderId="13" xfId="0" applyFont="1" applyFill="1" applyBorder="1" applyNumberFormat="1">
      <alignment vertical="center"/>
    </xf>
    <xf numFmtId="0" fontId="0" fillId="0" borderId="23" xfId="0" applyFont="1" applyBorder="1" applyNumberFormat="1">
      <alignment horizontal="left" vertical="top" wrapText="1"/>
    </xf>
    <xf numFmtId="0" fontId="32" fillId="0" borderId="0" xfId="0" applyFont="1" applyNumberFormat="1">
      <alignment vertical="center" wrapText="1"/>
    </xf>
    <xf numFmtId="0" fontId="37" fillId="0" borderId="0" xfId="0" applyFont="1" applyNumberFormat="1">
      <alignment horizontal="center" vertical="center" wrapText="1"/>
    </xf>
    <xf numFmtId="0" fontId="22" fillId="0" borderId="0" xfId="0" applyFont="1" applyNumberFormat="1">
      <alignment vertical="center" wrapText="1"/>
    </xf>
    <xf numFmtId="0" fontId="42" fillId="0" borderId="0" xfId="0" applyFont="1" applyNumberFormat="1">
      <alignment vertical="center" wrapText="1"/>
    </xf>
    <xf numFmtId="0" fontId="22" fillId="0" borderId="0" xfId="0" applyFont="1" applyNumberFormat="1">
      <alignment vertical="center" wrapText="1"/>
    </xf>
    <xf numFmtId="0" fontId="37" fillId="35" borderId="0" xfId="0" applyFont="1" applyFill="1" applyNumberFormat="1">
      <alignment horizontal="center" vertical="center" wrapText="1"/>
    </xf>
    <xf numFmtId="49" fontId="0" fillId="0" borderId="37" xfId="0" applyFont="1" applyBorder="1" applyNumberFormat="1">
      <alignment horizontal="center" vertical="center" wrapText="1"/>
    </xf>
    <xf numFmtId="0" fontId="22" fillId="40" borderId="19" xfId="0" applyFont="1" applyFill="1" applyBorder="1" applyNumberFormat="1">
      <alignment horizontal="left" vertical="center" wrapText="1"/>
    </xf>
    <xf numFmtId="0" fontId="37" fillId="35"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49" fontId="22" fillId="39" borderId="12" xfId="0" applyFont="1" applyFill="1" applyBorder="1" applyNumberFormat="1">
      <alignment horizontal="left" vertical="center" wrapText="1"/>
      <protection locked="0"/>
    </xf>
    <xf numFmtId="3" fontId="22" fillId="39" borderId="12" xfId="0" applyFont="1" applyFill="1" applyBorder="1" applyNumberFormat="1">
      <alignment horizontal="right" vertical="center" wrapText="1"/>
      <protection locked="0"/>
    </xf>
    <xf numFmtId="0" fontId="48" fillId="0" borderId="0" xfId="0" applyFont="1" applyNumberFormat="1">
      <alignment vertical="center" wrapText="1"/>
    </xf>
    <xf numFmtId="0" fontId="48" fillId="0" borderId="0" xfId="0" applyFont="1" applyNumberFormat="1">
      <alignment vertical="center"/>
    </xf>
    <xf numFmtId="0" fontId="22" fillId="0" borderId="0" xfId="0" applyFont="1" applyNumberFormat="1">
      <alignment vertical="center" wrapText="1"/>
    </xf>
    <xf numFmtId="49" fontId="0" fillId="0" borderId="30" xfId="0" applyFont="1" applyBorder="1" applyNumberFormat="1">
      <alignment horizontal="center" vertical="center" wrapText="1"/>
    </xf>
    <xf numFmtId="0" fontId="22" fillId="40" borderId="27" xfId="0" applyFont="1" applyFill="1" applyBorder="1" applyNumberFormat="1">
      <alignment horizontal="left" vertical="center" wrapText="1"/>
    </xf>
    <xf numFmtId="0" fontId="48" fillId="0" borderId="0" xfId="0" applyFont="1" applyNumberFormat="1">
      <alignment vertical="center" wrapText="1"/>
    </xf>
    <xf numFmtId="0" fontId="88" fillId="0" borderId="0" xfId="0" applyFont="1" applyNumberFormat="1">
      <alignment vertical="center" wrapText="1"/>
    </xf>
    <xf numFmtId="0" fontId="37" fillId="35" borderId="0" xfId="0" applyFont="1" applyFill="1" applyNumberFormat="1">
      <alignment horizontal="center" vertical="center" wrapText="1"/>
    </xf>
    <xf numFmtId="0" fontId="22" fillId="0" borderId="19" xfId="0" applyFont="1" applyBorder="1" applyNumberFormat="1">
      <alignment horizontal="left" vertical="top" wrapText="1" indent="1"/>
    </xf>
    <xf numFmtId="0" fontId="64" fillId="0" borderId="0" xfId="0" applyFont="1" applyNumberFormat="1">
      <alignment vertical="center" wrapText="1"/>
    </xf>
    <xf numFmtId="0" fontId="58" fillId="0" borderId="0" xfId="0" applyFont="1" applyNumberFormat="1">
      <alignment vertical="center" wrapText="1"/>
    </xf>
    <xf numFmtId="0" fontId="60" fillId="0" borderId="0" xfId="0" applyFont="1" applyNumberFormat="1">
      <alignment vertical="center" wrapText="1"/>
    </xf>
    <xf numFmtId="0" fontId="22" fillId="0" borderId="23" xfId="0" applyFont="1" applyBorder="1" applyNumberFormat="1">
      <alignment horizontal="center" vertical="center" wrapText="1"/>
    </xf>
    <xf numFmtId="0" fontId="37" fillId="35"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0" fontId="32" fillId="0" borderId="0" xfId="0" applyFont="1" applyNumberFormat="1">
      <alignment vertical="center" wrapText="1"/>
    </xf>
    <xf numFmtId="0" fontId="60" fillId="35" borderId="0" xfId="0" applyFont="1" applyFill="1" applyNumberFormat="1">
      <alignment vertical="center" wrapText="1"/>
    </xf>
    <xf numFmtId="0" fontId="60" fillId="35" borderId="0" xfId="0" applyFont="1" applyFill="1" applyNumberFormat="1">
      <alignment horizontal="right" vertical="center"/>
    </xf>
    <xf numFmtId="0" fontId="60" fillId="35" borderId="0" xfId="0" applyFont="1" applyFill="1" applyNumberFormat="1">
      <alignment horizontal="right" vertical="center" wrapText="1"/>
    </xf>
    <xf numFmtId="0" fontId="22" fillId="0" borderId="20" xfId="0" applyFont="1" applyBorder="1" applyNumberFormat="1">
      <alignment horizontal="left" vertical="center" wrapText="1" indent="1"/>
    </xf>
    <xf numFmtId="0" fontId="22" fillId="0" borderId="17" xfId="0" applyFont="1" applyBorder="1" applyNumberFormat="1">
      <alignment horizontal="left" vertical="center" wrapText="1" indent="1"/>
    </xf>
    <xf numFmtId="0" fontId="22" fillId="0" borderId="37" xfId="0" applyFont="1" applyBorder="1" applyNumberFormat="1">
      <alignment horizontal="left" vertical="center" wrapText="1" indent="1"/>
    </xf>
    <xf numFmtId="0" fontId="46" fillId="0" borderId="0" xfId="0" applyFont="1" applyNumberFormat="1">
      <alignment horizontal="center" vertical="center" wrapText="1"/>
    </xf>
    <xf numFmtId="4" fontId="60" fillId="0" borderId="0" xfId="0" applyFont="1" applyNumberFormat="1">
      <alignment horizontal="right" vertical="center" wrapText="1"/>
    </xf>
    <xf numFmtId="0" fontId="22" fillId="35" borderId="12" xfId="0" applyFont="1" applyFill="1" applyBorder="1" applyNumberFormat="1">
      <alignment horizontal="center" vertical="center" wrapText="1"/>
    </xf>
    <xf numFmtId="0" fontId="22" fillId="35" borderId="12" xfId="0" applyFont="1" applyFill="1" applyBorder="1" applyNumberFormat="1">
      <alignment horizontal="center" vertical="center" wrapText="1"/>
    </xf>
    <xf numFmtId="0" fontId="22" fillId="0" borderId="12" xfId="0" applyFont="1" applyBorder="1" applyNumberFormat="1">
      <alignment horizontal="center" vertical="center" wrapText="1"/>
    </xf>
    <xf numFmtId="0" fontId="0" fillId="0" borderId="12" xfId="0" applyFont="1" applyBorder="1" applyNumberFormat="1">
      <alignment horizontal="center" vertical="center" wrapText="1"/>
    </xf>
    <xf numFmtId="49" fontId="36" fillId="35" borderId="15" xfId="0" applyFont="1" applyFill="1" applyBorder="1" applyNumberFormat="1">
      <alignment horizontal="center" vertical="center" wrapText="1"/>
    </xf>
    <xf numFmtId="49" fontId="36" fillId="35" borderId="15" xfId="0" applyFont="1" applyFill="1" applyBorder="1" applyNumberFormat="1">
      <alignment horizontal="center" vertical="center" wrapText="1"/>
    </xf>
    <xf numFmtId="0" fontId="37" fillId="35" borderId="0" xfId="0" applyFont="1" applyFill="1" applyNumberFormat="1">
      <alignment horizontal="center" vertical="center" wrapText="1"/>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49" fontId="22" fillId="0" borderId="12" xfId="0" applyFont="1" applyBorder="1" applyNumberFormat="1">
      <alignment horizontal="left" vertical="center" wrapText="1"/>
    </xf>
    <xf numFmtId="49" fontId="22" fillId="0" borderId="0" xfId="0" applyFont="1" applyNumberFormat="1">
      <alignment vertical="top"/>
    </xf>
    <xf numFmtId="0" fontId="37" fillId="35" borderId="24" xfId="0" applyFont="1" applyFill="1" applyBorder="1" applyNumberFormat="1">
      <alignment vertical="top"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49" fontId="53" fillId="37" borderId="13" xfId="0" applyFont="1" applyFill="1" applyBorder="1" applyNumberFormat="1">
      <alignment horizontal="left" vertical="center" wrapText="1"/>
    </xf>
    <xf numFmtId="0" fontId="0" fillId="0" borderId="36" xfId="0" applyFont="1" applyBorder="1" applyNumberFormat="1">
      <alignment horizontal="left" vertical="top" wrapText="1"/>
    </xf>
    <xf numFmtId="0" fontId="48" fillId="0" borderId="0" xfId="0" applyFont="1" applyNumberFormat="1">
      <alignment horizontal="left" vertical="center" wrapText="1"/>
    </xf>
    <xf numFmtId="49" fontId="48" fillId="0" borderId="0" xfId="0" applyFont="1" applyNumberFormat="1">
      <alignment horizontal="left" vertical="center" wrapText="1"/>
    </xf>
    <xf numFmtId="0" fontId="37" fillId="35" borderId="0" xfId="0" applyFont="1" applyFill="1" applyNumberFormat="1">
      <alignment vertical="top" wrapText="1"/>
    </xf>
    <xf numFmtId="0" fontId="48" fillId="35" borderId="23" xfId="0" applyFont="1" applyFill="1" applyBorder="1" applyNumberFormat="1">
      <alignment horizontal="center" vertical="center" wrapText="1"/>
    </xf>
    <xf numFmtId="14" fontId="22" fillId="40" borderId="23" xfId="0" applyFont="1" applyFill="1" applyBorder="1" applyNumberFormat="1">
      <alignment horizontal="left" vertical="center" wrapText="1"/>
    </xf>
    <xf numFmtId="14" fontId="22" fillId="40" borderId="12" xfId="0" applyFont="1" applyFill="1" applyBorder="1" applyNumberFormat="1">
      <alignment horizontal="center" vertical="center" wrapText="1"/>
    </xf>
    <xf numFmtId="49" fontId="53" fillId="39" borderId="12" xfId="0" applyFont="1" applyFill="1" applyBorder="1" applyNumberFormat="1">
      <alignment horizontal="left" vertical="center" wrapText="1"/>
      <protection locked="0"/>
    </xf>
    <xf numFmtId="49" fontId="50" fillId="37" borderId="15" xfId="0" applyFont="1" applyFill="1" applyBorder="1" applyNumberFormat="1">
      <alignment horizontal="center" vertical="center"/>
    </xf>
    <xf numFmtId="49" fontId="73" fillId="37" borderId="15" xfId="0" applyFont="1" applyFill="1" applyBorder="1" applyNumberFormat="1">
      <alignment horizontal="left" vertical="center" indent="1"/>
    </xf>
    <xf numFmtId="49" fontId="73" fillId="37" borderId="13" xfId="0" applyFont="1" applyFill="1" applyBorder="1" applyNumberFormat="1">
      <alignment horizontal="left" vertical="center" indent="1"/>
    </xf>
    <xf numFmtId="0" fontId="79" fillId="0" borderId="0" xfId="0" applyFont="1" applyNumberFormat="1">
      <alignment horizontal="center" vertical="center" wrapText="1"/>
    </xf>
    <xf numFmtId="0" fontId="45" fillId="0" borderId="0" xfId="0" applyFont="1" applyNumberFormat="1">
      <alignment vertical="top" wrapText="1"/>
    </xf>
    <xf numFmtId="0" fontId="22" fillId="0" borderId="0" xfId="0" applyFont="1" applyNumberFormat="1">
      <alignment horizontal="right" vertical="top" wrapText="1"/>
    </xf>
    <xf numFmtId="0" fontId="45" fillId="0" borderId="0" xfId="0" applyFont="1" applyNumberFormat="1">
      <alignment vertical="top"/>
    </xf>
    <xf numFmtId="0" fontId="22" fillId="0" borderId="0" xfId="0" applyFont="1" applyNumberFormat="1">
      <alignment vertical="center" wrapText="1"/>
    </xf>
    <xf numFmtId="0" fontId="47" fillId="0" borderId="0" xfId="0" applyFont="1" applyNumberFormat="1">
      <alignment horizontal="left" vertical="center" indent="1"/>
    </xf>
    <xf numFmtId="0" fontId="47" fillId="0" borderId="12" xfId="0" applyFont="1" applyBorder="1" applyNumberFormat="1">
      <alignment horizontal="center" vertical="center"/>
    </xf>
    <xf numFmtId="0" fontId="47" fillId="0" borderId="0" xfId="0" applyFont="1" applyNumberFormat="1">
      <alignment horizontal="center" vertical="center"/>
    </xf>
    <xf numFmtId="0" fontId="47" fillId="0" borderId="0" xfId="0" applyFont="1" applyNumberFormat="1">
      <alignment horizontal="left" vertical="center" wrapText="1"/>
    </xf>
    <xf numFmtId="49" fontId="22" fillId="0" borderId="0" xfId="0" applyFont="1" applyNumberFormat="1">
      <alignment vertical="center" wrapText="1"/>
    </xf>
    <xf numFmtId="49" fontId="22" fillId="0" borderId="0" xfId="0" applyFont="1" applyNumberFormat="1">
      <alignment vertical="top"/>
    </xf>
    <xf numFmtId="49" fontId="22" fillId="0" borderId="24" xfId="0" applyFont="1" applyBorder="1" applyNumberFormat="1">
      <alignment vertical="top"/>
    </xf>
    <xf numFmtId="0" fontId="22" fillId="35" borderId="12" xfId="0" applyFont="1" applyFill="1" applyBorder="1" applyNumberFormat="1">
      <alignment horizontal="left" vertical="center" wrapText="1"/>
    </xf>
    <xf numFmtId="0" fontId="22" fillId="0" borderId="12" xfId="0" applyFont="1" applyBorder="1" applyNumberFormat="1">
      <alignment vertical="center" wrapText="1"/>
    </xf>
    <xf numFmtId="0" fontId="22" fillId="0" borderId="12" xfId="0" applyFont="1" applyBorder="1" applyNumberFormat="1">
      <alignment horizontal="left" vertical="center" wrapText="1" indent="6"/>
    </xf>
    <xf numFmtId="0" fontId="22" fillId="34" borderId="14" xfId="0" applyFont="1" applyFill="1" applyBorder="1" applyNumberFormat="1">
      <alignment horizontal="left" vertical="center" wrapText="1"/>
    </xf>
    <xf numFmtId="0" fontId="22" fillId="34" borderId="15" xfId="0" applyFont="1" applyFill="1" applyBorder="1" applyNumberFormat="1">
      <alignment horizontal="left" vertical="center" wrapText="1"/>
    </xf>
    <xf numFmtId="0" fontId="22" fillId="34" borderId="13" xfId="0" applyFont="1" applyFill="1" applyBorder="1" applyNumberFormat="1">
      <alignment horizontal="left" vertical="center" wrapText="1"/>
    </xf>
    <xf numFmtId="0" fontId="45" fillId="0" borderId="12" xfId="0" applyFont="1" applyBorder="1" applyNumberFormat="1">
      <alignment vertical="top" wrapText="1"/>
    </xf>
    <xf numFmtId="0" fontId="47" fillId="0" borderId="14" xfId="0" applyFont="1" applyBorder="1" applyNumberFormat="1">
      <alignment horizontal="center" vertical="center"/>
    </xf>
    <xf numFmtId="0" fontId="22" fillId="0" borderId="0" xfId="0" applyFont="1" applyNumberFormat="1">
      <alignment horizontal="center" vertical="center" wrapText="1"/>
    </xf>
    <xf numFmtId="0" fontId="42" fillId="35" borderId="0" xfId="0" applyFont="1" applyFill="1" applyNumberFormat="1">
      <alignment horizontal="center" vertical="center" wrapText="1"/>
    </xf>
    <xf numFmtId="0" fontId="22" fillId="0" borderId="24" xfId="0" applyFont="1" applyBorder="1" applyNumberFormat="1">
      <alignment vertical="center" wrapText="1"/>
    </xf>
    <xf numFmtId="0" fontId="22" fillId="35" borderId="12" xfId="0" applyFont="1" applyFill="1" applyBorder="1" applyNumberFormat="1">
      <alignment horizontal="left" vertical="center" wrapText="1" indent="1"/>
    </xf>
    <xf numFmtId="0" fontId="37" fillId="0" borderId="0" xfId="0" applyFont="1" applyNumberFormat="1">
      <alignment vertical="center" wrapText="1"/>
    </xf>
    <xf numFmtId="0" fontId="22" fillId="35" borderId="12" xfId="0" applyFont="1" applyFill="1" applyBorder="1" applyNumberFormat="1">
      <alignment horizontal="left" vertical="center" wrapText="1" indent="2"/>
    </xf>
    <xf numFmtId="0" fontId="22" fillId="35" borderId="12" xfId="0" applyFont="1" applyFill="1" applyBorder="1" applyNumberFormat="1">
      <alignment horizontal="left" vertical="center" wrapText="1" indent="3"/>
    </xf>
    <xf numFmtId="0" fontId="47" fillId="0" borderId="12" xfId="0" applyFont="1" applyBorder="1" applyNumberFormat="1">
      <alignment horizontal="center" vertical="center" wrapText="1"/>
    </xf>
    <xf numFmtId="0" fontId="47" fillId="0" borderId="0" xfId="0" applyFont="1" applyNumberFormat="1">
      <alignment vertical="center" wrapText="1"/>
    </xf>
    <xf numFmtId="0" fontId="48" fillId="0" borderId="0" xfId="0" applyFont="1" applyNumberFormat="1">
      <alignment horizontal="center" vertical="center" wrapText="1"/>
    </xf>
    <xf numFmtId="0" fontId="48" fillId="0" borderId="0" xfId="0" applyFont="1" applyNumberFormat="1">
      <alignment horizontal="center" vertical="center" wrapText="1"/>
    </xf>
    <xf numFmtId="0" fontId="48" fillId="0" borderId="24" xfId="0" applyFont="1" applyBorder="1" applyNumberFormat="1">
      <alignment horizontal="center" vertical="center" wrapText="1"/>
    </xf>
    <xf numFmtId="0" fontId="22" fillId="35" borderId="12" xfId="0" applyFont="1" applyFill="1" applyBorder="1" applyNumberFormat="1">
      <alignment horizontal="left" vertical="center" wrapText="1" indent="4"/>
    </xf>
    <xf numFmtId="0" fontId="22" fillId="40" borderId="14" xfId="0" applyFont="1" applyFill="1" applyBorder="1" applyNumberFormat="1">
      <alignment horizontal="left" vertical="center" wrapText="1"/>
    </xf>
    <xf numFmtId="0" fontId="22" fillId="40" borderId="15" xfId="0" applyFont="1" applyFill="1" applyBorder="1" applyNumberFormat="1">
      <alignment horizontal="left" vertical="center" wrapText="1"/>
    </xf>
    <xf numFmtId="0" fontId="22" fillId="40" borderId="13" xfId="0" applyFont="1" applyFill="1" applyBorder="1" applyNumberFormat="1">
      <alignment horizontal="left" vertical="center" wrapText="1"/>
    </xf>
    <xf numFmtId="0" fontId="47" fillId="0" borderId="14" xfId="0" applyFont="1" applyBorder="1" applyNumberFormat="1">
      <alignment horizontal="center" vertical="center" wrapText="1"/>
    </xf>
    <xf numFmtId="0" fontId="47" fillId="0" borderId="0" xfId="0" applyFont="1" applyNumberFormat="1">
      <alignment vertical="center" wrapText="1"/>
    </xf>
    <xf numFmtId="0" fontId="48" fillId="0" borderId="24" xfId="0" applyFont="1" applyBorder="1" applyNumberFormat="1">
      <alignment vertical="center" wrapText="1"/>
    </xf>
    <xf numFmtId="0" fontId="22" fillId="35" borderId="12" xfId="0" applyFont="1" applyFill="1" applyBorder="1" applyNumberFormat="1">
      <alignment horizontal="left" vertical="center" wrapText="1" indent="5"/>
    </xf>
    <xf numFmtId="0" fontId="22" fillId="40" borderId="12" xfId="0" applyFont="1" applyFill="1" applyBorder="1" applyNumberFormat="1">
      <alignment horizontal="left" vertical="center" wrapText="1" indent="6"/>
    </xf>
    <xf numFmtId="4" fontId="22" fillId="36" borderId="12" xfId="0" applyFont="1" applyFill="1" applyBorder="1" applyNumberFormat="1">
      <alignment horizontal="right" vertical="center" wrapText="1"/>
      <protection locked="0"/>
    </xf>
    <xf numFmtId="4" fontId="22" fillId="0" borderId="12" xfId="0" applyFont="1" applyBorder="1" applyNumberFormat="1">
      <alignment horizontal="right" vertical="center" wrapText="1"/>
    </xf>
    <xf numFmtId="502" fontId="22" fillId="36" borderId="12" xfId="0" applyFont="1" applyFill="1" applyBorder="1" applyNumberFormat="1">
      <alignment horizontal="right" vertical="center" wrapText="1"/>
      <protection locked="0"/>
    </xf>
    <xf numFmtId="504" fontId="0" fillId="39" borderId="12" xfId="0" applyFont="1" applyFill="1" applyBorder="1" applyNumberFormat="1">
      <alignment horizontal="center" vertical="center" wrapText="1"/>
      <protection locked="0"/>
    </xf>
    <xf numFmtId="0" fontId="45" fillId="0" borderId="17" xfId="0" applyFont="1" applyBorder="1" applyNumberFormat="1">
      <alignment horizontal="left" vertical="top" wrapText="1"/>
    </xf>
    <xf numFmtId="49" fontId="22" fillId="0" borderId="12" xfId="0" applyFont="1" applyBorder="1" applyNumberFormat="1">
      <alignment horizontal="left" vertical="center" wrapText="1"/>
    </xf>
    <xf numFmtId="4" fontId="48" fillId="0" borderId="12" xfId="0" applyFont="1" applyBorder="1" applyNumberFormat="1">
      <alignment horizontal="center" vertical="center" wrapText="1"/>
    </xf>
    <xf numFmtId="49" fontId="0" fillId="39" borderId="12" xfId="0" applyFont="1" applyFill="1" applyBorder="1" applyNumberFormat="1">
      <alignment horizontal="center" vertical="center" wrapText="1"/>
      <protection locked="0"/>
    </xf>
    <xf numFmtId="0" fontId="45" fillId="0" borderId="36" xfId="0" applyFont="1" applyBorder="1" applyNumberFormat="1">
      <alignment horizontal="left" vertical="top" wrapText="1"/>
    </xf>
    <xf numFmtId="49" fontId="73" fillId="37" borderId="14" xfId="0" applyFont="1" applyFill="1" applyBorder="1" applyNumberFormat="1">
      <alignment horizontal="left" vertical="center"/>
    </xf>
    <xf numFmtId="49" fontId="40" fillId="37" borderId="15" xfId="0" applyFont="1" applyFill="1" applyBorder="1" applyNumberFormat="1">
      <alignment horizontal="left" vertical="center" indent="6"/>
    </xf>
    <xf numFmtId="49" fontId="22" fillId="37" borderId="13" xfId="0" applyFont="1" applyFill="1" applyBorder="1" applyNumberFormat="1">
      <alignment horizontal="center" vertical="center" wrapText="1"/>
    </xf>
    <xf numFmtId="0" fontId="45" fillId="0" borderId="23" xfId="0" applyFont="1" applyBorder="1" applyNumberFormat="1">
      <alignment horizontal="left" vertical="top" wrapText="1"/>
    </xf>
    <xf numFmtId="49" fontId="40" fillId="37" borderId="15" xfId="0" applyFont="1" applyFill="1" applyBorder="1" applyNumberFormat="1">
      <alignment horizontal="left" vertical="center" indent="5"/>
    </xf>
    <xf numFmtId="49" fontId="0" fillId="37" borderId="15" xfId="0" applyFont="1" applyFill="1" applyBorder="1" applyNumberFormat="1">
      <alignment horizontal="center" vertical="center" wrapText="1"/>
    </xf>
    <xf numFmtId="49" fontId="0" fillId="37" borderId="13" xfId="0" applyFont="1" applyFill="1" applyBorder="1" applyNumberFormat="1">
      <alignment horizontal="center" vertical="center" wrapText="1"/>
    </xf>
    <xf numFmtId="49" fontId="39" fillId="0" borderId="0" xfId="0" applyFont="1" applyNumberFormat="1">
      <alignment vertical="top"/>
    </xf>
    <xf numFmtId="49" fontId="40" fillId="37" borderId="15" xfId="0" applyFont="1" applyFill="1" applyBorder="1" applyNumberFormat="1">
      <alignment horizontal="left" vertical="center" indent="4"/>
    </xf>
    <xf numFmtId="0" fontId="48" fillId="0" borderId="0" xfId="0" applyFont="1" applyNumberFormat="1">
      <alignment horizontal="left" vertical="center" indent="1"/>
    </xf>
    <xf numFmtId="0" fontId="48" fillId="0" borderId="0" xfId="0" applyFont="1" applyNumberFormat="1">
      <alignment horizontal="center" vertical="center"/>
    </xf>
    <xf numFmtId="0" fontId="48" fillId="0" borderId="0" xfId="0" applyFont="1" applyNumberFormat="1">
      <alignment horizontal="left" vertical="center" wrapText="1"/>
    </xf>
    <xf numFmtId="49" fontId="48" fillId="0" borderId="0" xfId="0" applyFont="1" applyNumberFormat="1">
      <alignment vertical="top"/>
    </xf>
    <xf numFmtId="49" fontId="107" fillId="0" borderId="0" xfId="0" applyFont="1" applyNumberFormat="1">
      <alignment vertical="top"/>
    </xf>
    <xf numFmtId="49" fontId="97" fillId="0" borderId="19" xfId="0" applyFont="1" applyBorder="1" applyNumberFormat="1">
      <alignment horizontal="left" vertical="center"/>
    </xf>
    <xf numFmtId="49" fontId="48" fillId="0" borderId="19" xfId="0" applyFont="1" applyBorder="1" applyNumberFormat="1">
      <alignment horizontal="left" vertical="center" indent="3"/>
    </xf>
    <xf numFmtId="49" fontId="48" fillId="0" borderId="19" xfId="0" applyFont="1" applyBorder="1" applyNumberFormat="1">
      <alignment horizontal="center" vertical="center" wrapText="1"/>
    </xf>
    <xf numFmtId="0" fontId="48" fillId="0" borderId="0" xfId="0" applyFont="1" applyNumberFormat="1">
      <alignment vertical="center" wrapText="1"/>
    </xf>
    <xf numFmtId="49" fontId="48" fillId="0" borderId="0" xfId="0" applyFont="1" applyNumberFormat="1">
      <alignment horizontal="left" vertical="center"/>
    </xf>
    <xf numFmtId="49" fontId="97" fillId="0" borderId="0" xfId="0" applyFont="1" applyNumberFormat="1">
      <alignment horizontal="left" vertical="center"/>
    </xf>
    <xf numFmtId="49" fontId="48" fillId="0" borderId="0" xfId="0" applyFont="1" applyNumberFormat="1">
      <alignment horizontal="left" vertical="center" indent="2"/>
    </xf>
    <xf numFmtId="49" fontId="48" fillId="0" borderId="0" xfId="0" applyFont="1" applyNumberFormat="1">
      <alignment horizontal="center" vertical="center" wrapText="1"/>
    </xf>
    <xf numFmtId="49" fontId="48" fillId="0" borderId="0" xfId="0" applyFont="1" applyNumberFormat="1">
      <alignment horizontal="left" vertical="center" indent="1"/>
    </xf>
    <xf numFmtId="49" fontId="22" fillId="0" borderId="0" xfId="0" applyFont="1" applyNumberFormat="1">
      <alignment vertical="center" wrapText="1"/>
    </xf>
    <xf numFmtId="4" fontId="47" fillId="0" borderId="12" xfId="0" applyFont="1" applyBorder="1" applyNumberFormat="1">
      <alignment horizontal="right" vertical="center" wrapText="1"/>
    </xf>
    <xf numFmtId="502" fontId="47" fillId="0" borderId="12" xfId="0" applyFont="1" applyBorder="1" applyNumberFormat="1">
      <alignment horizontal="right" vertical="center" wrapText="1"/>
    </xf>
    <xf numFmtId="504" fontId="47" fillId="0" borderId="12" xfId="0" applyFont="1" applyBorder="1" applyNumberFormat="1">
      <alignment horizontal="center" vertical="center" wrapText="1"/>
    </xf>
    <xf numFmtId="49" fontId="47" fillId="0" borderId="12" xfId="0" applyFont="1" applyBorder="1" applyNumberFormat="1">
      <alignment horizontal="center" vertical="center" wrapText="1"/>
    </xf>
    <xf numFmtId="0" fontId="47" fillId="0" borderId="0" xfId="0" applyFont="1" applyNumberFormat="1">
      <alignment horizontal="center" vertical="center" wrapText="1"/>
    </xf>
    <xf numFmtId="49" fontId="47" fillId="0" borderId="0" xfId="0" applyFont="1" applyNumberFormat="1">
      <alignment vertical="center" wrapText="1"/>
    </xf>
    <xf numFmtId="49" fontId="47" fillId="0" borderId="12" xfId="0" applyFont="1" applyBorder="1" applyNumberFormat="1">
      <alignment vertical="center" wrapText="1"/>
    </xf>
    <xf numFmtId="0" fontId="69" fillId="0" borderId="0" xfId="0" applyFont="1" applyNumberFormat="1">
      <alignment vertical="center" wrapText="1"/>
    </xf>
    <xf numFmtId="0" fontId="47" fillId="0" borderId="0" xfId="0" applyFont="1" applyNumberFormat="1">
      <alignment horizontal="left" vertical="center" wrapText="1"/>
    </xf>
    <xf numFmtId="0" fontId="47" fillId="0" borderId="0" xfId="0" applyFont="1" applyNumberFormat="1">
      <alignment vertical="center" wrapText="1"/>
    </xf>
    <xf numFmtId="0" fontId="39" fillId="35" borderId="0" xfId="0" applyFont="1" applyFill="1" applyNumberFormat="1">
      <alignment vertical="center" wrapText="1"/>
    </xf>
    <xf numFmtId="0" fontId="22" fillId="35" borderId="0" xfId="0" applyFont="1" applyFill="1" applyNumberFormat="1">
      <alignment horizontal="left" vertical="center" wrapText="1"/>
    </xf>
    <xf numFmtId="0" fontId="22" fillId="35" borderId="0" xfId="0" applyFont="1" applyFill="1" applyNumberFormat="1">
      <alignment vertical="center" wrapText="1"/>
    </xf>
    <xf numFmtId="0" fontId="22" fillId="0" borderId="19" xfId="0" applyFont="1" applyBorder="1" applyNumberFormat="1">
      <alignment horizontal="left" vertical="top" wrapText="1" indent="1"/>
    </xf>
    <xf numFmtId="0" fontId="46" fillId="0" borderId="0" xfId="0" applyFont="1" applyNumberFormat="1">
      <alignment vertical="center" wrapText="1"/>
    </xf>
    <xf numFmtId="0" fontId="22" fillId="0" borderId="27" xfId="0" applyFont="1" applyBorder="1" applyNumberFormat="1">
      <alignment horizontal="left" vertical="center" wrapText="1" indent="1"/>
    </xf>
    <xf numFmtId="0" fontId="50" fillId="35" borderId="0" xfId="0" applyFont="1" applyFill="1" applyNumberFormat="1">
      <alignment horizontal="center" vertical="center" wrapText="1"/>
    </xf>
    <xf numFmtId="0" fontId="47" fillId="0" borderId="0" xfId="0" applyFont="1" applyNumberFormat="1">
      <alignment vertical="center"/>
    </xf>
    <xf numFmtId="0" fontId="47" fillId="0" borderId="0" xfId="0" applyFont="1" applyNumberFormat="1">
      <alignment horizontal="center" vertical="center"/>
    </xf>
    <xf numFmtId="0" fontId="0" fillId="35" borderId="12" xfId="0" applyFont="1" applyFill="1" applyBorder="1" applyNumberFormat="1">
      <alignment horizontal="right" vertical="center" wrapText="1" indent="1"/>
    </xf>
    <xf numFmtId="0" fontId="0" fillId="0" borderId="15" xfId="0" applyFont="1" applyBorder="1" applyNumberFormat="1">
      <alignment vertical="center"/>
    </xf>
    <xf numFmtId="0" fontId="22" fillId="34" borderId="12" xfId="0" applyFont="1" applyFill="1" applyBorder="1" applyNumberFormat="1">
      <alignment horizontal="left" vertical="center" wrapText="1" indent="1"/>
    </xf>
    <xf numFmtId="0" fontId="22" fillId="0" borderId="0" xfId="0" applyFont="1" applyNumberFormat="1">
      <alignment vertical="center" wrapText="1"/>
    </xf>
    <xf numFmtId="0" fontId="68" fillId="0" borderId="0" xfId="0" applyFont="1" applyNumberFormat="1">
      <alignment vertical="center"/>
    </xf>
    <xf numFmtId="0" fontId="48" fillId="0" borderId="0" xfId="0" applyFont="1" applyNumberFormat="1">
      <alignment vertical="center"/>
    </xf>
    <xf numFmtId="0" fontId="0" fillId="0" borderId="0" xfId="0" applyFont="1" applyNumberFormat="1">
      <alignment vertical="center"/>
    </xf>
    <xf numFmtId="504" fontId="22" fillId="34" borderId="12" xfId="0" applyFont="1" applyFill="1" applyBorder="1" applyNumberFormat="1">
      <alignment horizontal="left" vertical="center" wrapText="1" indent="1"/>
    </xf>
    <xf numFmtId="49" fontId="22" fillId="0" borderId="0" xfId="0" applyFont="1" applyNumberFormat="1">
      <alignment vertical="center" wrapText="1"/>
    </xf>
    <xf numFmtId="0" fontId="22" fillId="0" borderId="0" xfId="0" applyFont="1" applyNumberFormat="1">
      <alignment horizontal="right" vertical="center" wrapText="1"/>
    </xf>
    <xf numFmtId="0" fontId="48" fillId="0" borderId="0" xfId="0" applyFont="1" applyNumberFormat="1">
      <alignment vertical="center" wrapText="1"/>
    </xf>
    <xf numFmtId="0" fontId="22" fillId="35" borderId="27" xfId="0" applyFont="1" applyFill="1" applyBorder="1" applyNumberFormat="1">
      <alignment vertical="center" wrapText="1"/>
    </xf>
    <xf numFmtId="0" fontId="37" fillId="0" borderId="27" xfId="0" applyFont="1" applyBorder="1" applyNumberFormat="1">
      <alignment horizontal="center" vertical="center" wrapText="1"/>
    </xf>
    <xf numFmtId="0" fontId="22" fillId="35" borderId="12" xfId="0" applyFont="1" applyFill="1" applyBorder="1" applyNumberFormat="1">
      <alignment horizontal="left" vertical="center" wrapText="1"/>
    </xf>
    <xf numFmtId="0" fontId="22" fillId="0" borderId="17" xfId="0" applyFont="1" applyBorder="1" applyNumberFormat="1">
      <alignment vertical="center" wrapText="1"/>
    </xf>
    <xf numFmtId="0" fontId="0" fillId="35" borderId="14" xfId="0" applyFont="1" applyFill="1" applyBorder="1" applyNumberFormat="1">
      <alignment horizontal="center" vertical="center" wrapText="1"/>
    </xf>
    <xf numFmtId="0" fontId="0" fillId="35" borderId="15" xfId="0" applyFont="1" applyFill="1" applyBorder="1" applyNumberFormat="1">
      <alignment horizontal="center" vertical="center" wrapText="1"/>
    </xf>
    <xf numFmtId="0" fontId="0" fillId="35" borderId="13" xfId="0" applyFont="1" applyFill="1" applyBorder="1" applyNumberFormat="1">
      <alignment horizontal="center" vertical="center" wrapText="1"/>
    </xf>
    <xf numFmtId="0" fontId="22" fillId="35" borderId="17" xfId="0" applyFont="1" applyFill="1" applyBorder="1" applyNumberFormat="1">
      <alignment horizontal="center" vertical="center" wrapText="1"/>
    </xf>
    <xf numFmtId="49" fontId="40" fillId="37" borderId="17" xfId="0" applyFont="1" applyFill="1" applyBorder="1" applyNumberFormat="1">
      <alignment horizontal="center" vertical="center" textRotation="90" wrapText="1"/>
    </xf>
    <xf numFmtId="0" fontId="22" fillId="0" borderId="36" xfId="0" applyFont="1" applyBorder="1" applyNumberFormat="1">
      <alignment vertical="center" wrapText="1"/>
    </xf>
    <xf numFmtId="0" fontId="22" fillId="0" borderId="17" xfId="0" applyFont="1" applyBorder="1" applyNumberFormat="1">
      <alignment horizontal="center" vertical="center" wrapText="1"/>
    </xf>
    <xf numFmtId="0" fontId="47" fillId="0" borderId="17" xfId="0" applyFont="1" applyBorder="1" applyNumberFormat="1">
      <alignment horizontal="center" vertical="center" wrapText="1"/>
    </xf>
    <xf numFmtId="0" fontId="22" fillId="0" borderId="14" xfId="0" applyFont="1" applyBorder="1" applyNumberFormat="1">
      <alignment horizontal="center" vertical="center" wrapText="1"/>
    </xf>
    <xf numFmtId="0" fontId="22" fillId="0" borderId="13" xfId="0" applyFont="1" applyBorder="1" applyNumberFormat="1">
      <alignment horizontal="center" vertical="center" wrapText="1"/>
    </xf>
    <xf numFmtId="0" fontId="22" fillId="0" borderId="15" xfId="0" applyFont="1" applyBorder="1" applyNumberFormat="1">
      <alignment horizontal="center" vertical="center" wrapText="1"/>
    </xf>
    <xf numFmtId="0" fontId="22" fillId="35" borderId="36" xfId="0" applyFont="1" applyFill="1" applyBorder="1" applyNumberFormat="1">
      <alignment horizontal="center" vertical="center" wrapText="1"/>
    </xf>
    <xf numFmtId="0" fontId="47" fillId="0" borderId="17" xfId="0" applyFont="1" applyBorder="1" applyNumberFormat="1">
      <alignment horizontal="center" vertical="center" wrapText="1"/>
    </xf>
    <xf numFmtId="49" fontId="40" fillId="37" borderId="36" xfId="0" applyFont="1" applyFill="1" applyBorder="1" applyNumberFormat="1">
      <alignment horizontal="center" vertical="center" textRotation="90" wrapText="1"/>
    </xf>
    <xf numFmtId="0" fontId="47" fillId="0" borderId="0" xfId="0" applyFont="1" applyNumberFormat="1">
      <alignment vertical="center"/>
    </xf>
    <xf numFmtId="0" fontId="22" fillId="0" borderId="23" xfId="0" applyFont="1" applyBorder="1" applyNumberFormat="1">
      <alignment vertical="center" wrapText="1"/>
    </xf>
    <xf numFmtId="0" fontId="22" fillId="0" borderId="23" xfId="0" applyFont="1" applyBorder="1" applyNumberFormat="1">
      <alignment horizontal="center" vertical="center" wrapText="1"/>
    </xf>
    <xf numFmtId="0" fontId="47" fillId="0" borderId="23" xfId="0" applyFont="1" applyBorder="1" applyNumberFormat="1">
      <alignment horizontal="center" vertical="center" wrapText="1"/>
    </xf>
    <xf numFmtId="0" fontId="0" fillId="0" borderId="12" xfId="0" applyFont="1" applyBorder="1" applyNumberFormat="1">
      <alignment horizontal="center" vertical="center" wrapText="1"/>
    </xf>
    <xf numFmtId="0" fontId="0" fillId="0" borderId="12" xfId="0" applyFont="1" applyBorder="1" applyNumberFormat="1">
      <alignment horizontal="center" vertical="center" wrapText="1"/>
    </xf>
    <xf numFmtId="0" fontId="0" fillId="0" borderId="14" xfId="0" applyFont="1" applyBorder="1" applyNumberFormat="1">
      <alignment horizontal="center" vertical="center" wrapText="1"/>
    </xf>
    <xf numFmtId="0" fontId="0" fillId="0" borderId="13" xfId="0" applyFont="1" applyBorder="1" applyNumberFormat="1">
      <alignment horizontal="center" vertical="center" wrapText="1"/>
    </xf>
    <xf numFmtId="0" fontId="22" fillId="35" borderId="23" xfId="0" applyFont="1" applyFill="1" applyBorder="1" applyNumberFormat="1">
      <alignment horizontal="center" vertical="center" wrapText="1"/>
    </xf>
    <xf numFmtId="0" fontId="0" fillId="0" borderId="12" xfId="0" applyFont="1" applyBorder="1" applyNumberFormat="1">
      <alignment horizontal="center" vertical="center" wrapText="1"/>
    </xf>
    <xf numFmtId="49" fontId="40" fillId="37" borderId="23" xfId="0" applyFont="1" applyFill="1" applyBorder="1" applyNumberFormat="1">
      <alignment horizontal="center" vertical="center" textRotation="90" wrapText="1"/>
    </xf>
    <xf numFmtId="49" fontId="72" fillId="0" borderId="0" xfId="0" applyFont="1" applyNumberFormat="1">
      <alignment vertical="center" wrapText="1"/>
    </xf>
    <xf numFmtId="0" fontId="106" fillId="35" borderId="0" xfId="0" applyFont="1" applyFill="1" applyNumberFormat="1">
      <alignment vertical="center" wrapText="1"/>
    </xf>
    <xf numFmtId="0" fontId="107" fillId="35" borderId="0" xfId="0" applyFont="1" applyFill="1" applyNumberFormat="1">
      <alignment vertical="center" wrapText="1"/>
    </xf>
    <xf numFmtId="49" fontId="80" fillId="35" borderId="19" xfId="0" applyFont="1" applyFill="1" applyBorder="1" applyNumberFormat="1">
      <alignment horizontal="left" vertical="center" wrapText="1"/>
    </xf>
    <xf numFmtId="49" fontId="80" fillId="35" borderId="19" xfId="0" applyFont="1" applyFill="1" applyBorder="1" applyNumberFormat="1">
      <alignment horizontal="center" vertical="center" wrapText="1"/>
    </xf>
    <xf numFmtId="0" fontId="48" fillId="35" borderId="19" xfId="0" applyFont="1" applyFill="1" applyBorder="1" applyNumberFormat="1">
      <alignment horizontal="center" vertical="center" wrapText="1"/>
    </xf>
    <xf numFmtId="0" fontId="80" fillId="35" borderId="19" xfId="0" applyFont="1" applyFill="1" applyBorder="1" applyNumberFormat="1">
      <alignment horizontal="center" vertical="center" wrapText="1"/>
    </xf>
    <xf numFmtId="0" fontId="80" fillId="35" borderId="19" xfId="0" applyFont="1" applyFill="1" applyBorder="1" applyNumberFormat="1">
      <alignment horizontal="center" vertical="center" wrapText="1"/>
    </xf>
    <xf numFmtId="0" fontId="80" fillId="35" borderId="19" xfId="0" applyFont="1" applyFill="1" applyBorder="1" applyNumberFormat="1">
      <alignment horizontal="center" vertical="center" wrapText="1"/>
    </xf>
    <xf numFmtId="0" fontId="22" fillId="35" borderId="12" xfId="0" applyFont="1" applyFill="1" applyBorder="1" applyNumberFormat="1">
      <alignment horizontal="left" vertical="center" wrapText="1"/>
    </xf>
    <xf numFmtId="0" fontId="22" fillId="0" borderId="0" xfId="0" applyFont="1" applyNumberFormat="1">
      <alignment horizontal="center" vertical="center" wrapText="1"/>
    </xf>
    <xf numFmtId="0" fontId="48" fillId="0" borderId="0" xfId="0" applyFont="1" applyNumberFormat="1">
      <alignment horizontal="center" vertical="center" wrapText="1"/>
    </xf>
    <xf numFmtId="504" fontId="0" fillId="39" borderId="17" xfId="0" applyFont="1" applyFill="1" applyBorder="1" applyNumberFormat="1">
      <alignment horizontal="center" vertical="center" wrapText="1"/>
      <protection locked="0"/>
    </xf>
    <xf numFmtId="4" fontId="22" fillId="0" borderId="17" xfId="0" applyFont="1" applyBorder="1" applyNumberFormat="1">
      <alignment horizontal="right" vertical="center" wrapText="1"/>
    </xf>
    <xf numFmtId="49" fontId="22" fillId="0" borderId="12" xfId="0" applyFont="1" applyBorder="1" applyNumberFormat="1">
      <alignment horizontal="left" vertical="center" wrapText="1"/>
    </xf>
    <xf numFmtId="49" fontId="0" fillId="39" borderId="23" xfId="0" applyFont="1" applyFill="1" applyBorder="1" applyNumberFormat="1">
      <alignment horizontal="center" vertical="center" wrapText="1"/>
      <protection locked="0"/>
    </xf>
    <xf numFmtId="4" fontId="22" fillId="0" borderId="23" xfId="0" applyFont="1" applyBorder="1" applyNumberFormat="1">
      <alignment horizontal="right" vertical="center" wrapText="1"/>
    </xf>
    <xf numFmtId="0" fontId="48" fillId="0" borderId="0" xfId="0" applyFont="1" applyNumberFormat="1">
      <alignment horizontal="left" vertical="center" indent="1"/>
    </xf>
    <xf numFmtId="0" fontId="48" fillId="0" borderId="0" xfId="0" applyFont="1" applyNumberFormat="1">
      <alignment horizontal="center" vertical="center"/>
    </xf>
    <xf numFmtId="49" fontId="48" fillId="0" borderId="0" xfId="0" applyFont="1" applyNumberFormat="1">
      <alignment vertical="top"/>
    </xf>
    <xf numFmtId="49" fontId="107" fillId="0" borderId="0" xfId="0" applyFont="1" applyNumberFormat="1">
      <alignment vertical="top"/>
    </xf>
    <xf numFmtId="0" fontId="22" fillId="0" borderId="0" xfId="0" applyFont="1" applyNumberFormat="1">
      <alignment horizontal="right" vertical="top" wrapText="1"/>
    </xf>
    <xf numFmtId="0" fontId="22" fillId="0" borderId="0" xfId="0" applyFont="1" applyNumberFormat="1">
      <alignment horizontal="left" vertical="top" wrapText="1"/>
    </xf>
    <xf numFmtId="49" fontId="22" fillId="0" borderId="0" xfId="0" applyFont="1" applyNumberFormat="1">
      <alignment vertical="center" wrapText="1"/>
    </xf>
    <xf numFmtId="49" fontId="22" fillId="0" borderId="0" xfId="0" applyFont="1" applyNumberFormat="1">
      <alignment vertical="center" wrapText="1"/>
    </xf>
    <xf numFmtId="0" fontId="39" fillId="0" borderId="0" xfId="0" applyFont="1" applyNumberFormat="1">
      <alignment vertical="center" wrapText="1"/>
    </xf>
    <xf numFmtId="0" fontId="22" fillId="0" borderId="0" xfId="0" applyFont="1" applyNumberFormat="1">
      <alignment horizontal="left" vertical="center" wrapText="1"/>
    </xf>
    <xf numFmtId="0" fontId="47" fillId="0" borderId="0" xfId="0" applyFont="1" applyNumberFormat="1">
      <alignment horizontal="center" vertical="center" wrapText="1"/>
    </xf>
    <xf numFmtId="49" fontId="47" fillId="0" borderId="0" xfId="0" applyFont="1" applyNumberFormat="1">
      <alignment vertical="center" wrapText="1"/>
    </xf>
    <xf numFmtId="49" fontId="22" fillId="0" borderId="0" xfId="0" applyFont="1" applyNumberFormat="1">
      <alignment vertical="center" wrapText="1"/>
    </xf>
    <xf numFmtId="0" fontId="39" fillId="0" borderId="0" xfId="0" applyFont="1" applyNumberFormat="1">
      <alignment vertical="center" wrapText="1"/>
    </xf>
    <xf numFmtId="0" fontId="22" fillId="0" borderId="0" xfId="0" applyFont="1" applyNumberFormat="1">
      <alignment horizontal="left" vertical="center" wrapText="1"/>
    </xf>
    <xf numFmtId="0" fontId="22" fillId="35" borderId="12" xfId="0" applyFont="1" applyFill="1" applyBorder="1" applyNumberFormat="1">
      <alignment horizontal="left" vertical="center" wrapText="1"/>
    </xf>
    <xf numFmtId="0" fontId="22" fillId="0" borderId="0" xfId="0" applyFont="1" applyNumberFormat="1">
      <alignment horizontal="center" vertical="center" wrapText="1"/>
    </xf>
    <xf numFmtId="0" fontId="48" fillId="0" borderId="0" xfId="0" applyFont="1" applyNumberFormat="1">
      <alignment horizontal="center" vertical="center" wrapText="1"/>
    </xf>
    <xf numFmtId="49" fontId="22" fillId="0" borderId="12" xfId="0" applyFont="1" applyBorder="1" applyNumberFormat="1">
      <alignment horizontal="left" vertical="center" wrapText="1"/>
    </xf>
    <xf numFmtId="0" fontId="22" fillId="0" borderId="0" xfId="0" applyFont="1" applyNumberFormat="1">
      <alignment horizontal="right" vertical="center" wrapText="1"/>
    </xf>
    <xf numFmtId="0" fontId="0" fillId="0" borderId="12" xfId="0" applyFont="1" applyBorder="1" applyNumberFormat="1">
      <alignment horizontal="center" vertical="center" wrapText="1"/>
    </xf>
    <xf numFmtId="0" fontId="80" fillId="35" borderId="19" xfId="0" applyFont="1" applyFill="1" applyBorder="1" applyNumberFormat="1">
      <alignment horizontal="center" vertical="center" wrapText="1"/>
    </xf>
    <xf numFmtId="504" fontId="0" fillId="39" borderId="12" xfId="0" applyFont="1" applyFill="1" applyBorder="1" applyNumberFormat="1">
      <alignment horizontal="center" vertical="center" wrapText="1"/>
      <protection locked="0"/>
    </xf>
    <xf numFmtId="504" fontId="0" fillId="39" borderId="17" xfId="0" applyFont="1" applyFill="1" applyBorder="1" applyNumberFormat="1">
      <alignment horizontal="center" vertical="center" wrapText="1"/>
      <protection locked="0"/>
    </xf>
    <xf numFmtId="49" fontId="0" fillId="0" borderId="0" xfId="0" applyFont="1" applyNumberFormat="1">
      <alignment vertical="top"/>
    </xf>
    <xf numFmtId="0" fontId="47" fillId="0" borderId="0" xfId="0" applyFont="1" applyNumberFormat="1">
      <alignment horizontal="left" vertical="center" indent="1"/>
    </xf>
    <xf numFmtId="0" fontId="47" fillId="0" borderId="14" xfId="0" applyFont="1" applyBorder="1" applyNumberFormat="1">
      <alignment horizontal="center" vertical="center"/>
    </xf>
    <xf numFmtId="0" fontId="47" fillId="0" borderId="14" xfId="0" applyFont="1" applyBorder="1" applyNumberFormat="1">
      <alignment horizontal="center" vertical="center" wrapText="1"/>
    </xf>
    <xf numFmtId="0" fontId="47" fillId="0" borderId="12" xfId="0" applyFont="1" applyBorder="1" applyNumberFormat="1">
      <alignment horizontal="center" vertical="center" wrapText="1"/>
    </xf>
    <xf numFmtId="0" fontId="47" fillId="0" borderId="0" xfId="0" applyFont="1" applyNumberFormat="1">
      <alignment horizontal="center" vertical="center"/>
    </xf>
    <xf numFmtId="0" fontId="47" fillId="0" borderId="0" xfId="0" applyFont="1" applyNumberFormat="1">
      <alignment vertical="center" wrapText="1"/>
    </xf>
    <xf numFmtId="49" fontId="47" fillId="0" borderId="0" xfId="0" applyFont="1" applyNumberFormat="1">
      <alignment vertical="center" wrapText="1"/>
    </xf>
    <xf numFmtId="0" fontId="48" fillId="0" borderId="0" xfId="0" applyFont="1" applyNumberFormat="1">
      <alignment horizontal="center" vertical="center" wrapText="1"/>
    </xf>
    <xf numFmtId="0" fontId="36" fillId="0" borderId="0" xfId="0" applyFont="1" applyNumberFormat="1">
      <alignment horizontal="center" vertical="center" wrapText="1"/>
    </xf>
    <xf numFmtId="0" fontId="48" fillId="0" borderId="24" xfId="0" applyFont="1" applyBorder="1" applyNumberFormat="1">
      <alignment vertical="center" wrapText="1"/>
    </xf>
    <xf numFmtId="0" fontId="22" fillId="35" borderId="12" xfId="0" applyFont="1" applyFill="1" applyBorder="1" applyNumberFormat="1">
      <alignment horizontal="left" vertical="center" wrapText="1"/>
    </xf>
    <xf numFmtId="0" fontId="22" fillId="35" borderId="12" xfId="0" applyFont="1" applyFill="1" applyBorder="1" applyNumberFormat="1">
      <alignment horizontal="left" vertical="center" wrapText="1" indent="5"/>
    </xf>
    <xf numFmtId="0" fontId="22" fillId="0" borderId="12" xfId="0" applyFont="1" applyBorder="1" applyNumberFormat="1">
      <alignment horizontal="left" vertical="center" wrapText="1" indent="6"/>
    </xf>
    <xf numFmtId="0" fontId="22" fillId="40" borderId="14" xfId="0" applyFont="1" applyFill="1" applyBorder="1" applyNumberFormat="1">
      <alignment horizontal="left" vertical="center" wrapText="1"/>
    </xf>
    <xf numFmtId="0" fontId="22" fillId="40" borderId="15" xfId="0" applyFont="1" applyFill="1" applyBorder="1" applyNumberFormat="1">
      <alignment horizontal="left" vertical="center" wrapText="1"/>
    </xf>
    <xf numFmtId="0" fontId="22" fillId="40" borderId="13" xfId="0" applyFont="1" applyFill="1" applyBorder="1" applyNumberFormat="1">
      <alignment horizontal="left" vertical="center" wrapText="1"/>
    </xf>
    <xf numFmtId="0" fontId="45" fillId="0" borderId="12" xfId="0" applyFont="1" applyBorder="1" applyNumberFormat="1">
      <alignment vertical="top" wrapText="1"/>
    </xf>
    <xf numFmtId="0" fontId="48" fillId="0" borderId="0" xfId="0" applyFont="1" applyNumberFormat="1">
      <alignment vertical="center" wrapText="1"/>
    </xf>
    <xf numFmtId="0" fontId="48" fillId="0" borderId="0" xfId="0" applyFont="1" applyNumberFormat="1">
      <alignment vertical="center"/>
    </xf>
    <xf numFmtId="0" fontId="22" fillId="0" borderId="0" xfId="0" applyFont="1" applyNumberFormat="1">
      <alignment vertical="center" wrapText="1"/>
    </xf>
    <xf numFmtId="49" fontId="0" fillId="0" borderId="0" xfId="0" applyFont="1" applyNumberFormat="1">
      <alignment vertical="top"/>
    </xf>
    <xf numFmtId="0" fontId="22" fillId="40" borderId="12" xfId="0" applyFont="1" applyFill="1" applyBorder="1" applyNumberFormat="1">
      <alignment horizontal="left" vertical="center" wrapText="1" indent="6"/>
    </xf>
    <xf numFmtId="4" fontId="22" fillId="36" borderId="12" xfId="0" applyFont="1" applyFill="1" applyBorder="1" applyNumberFormat="1">
      <alignment horizontal="right" vertical="center" wrapText="1"/>
      <protection locked="0"/>
    </xf>
    <xf numFmtId="4" fontId="22" fillId="0" borderId="12" xfId="0" applyFont="1" applyBorder="1" applyNumberFormat="1">
      <alignment horizontal="right" vertical="center" wrapText="1"/>
    </xf>
    <xf numFmtId="502" fontId="22" fillId="36" borderId="12" xfId="0" applyFont="1" applyFill="1" applyBorder="1" applyNumberFormat="1">
      <alignment horizontal="right" vertical="center" wrapText="1"/>
      <protection locked="0"/>
    </xf>
    <xf numFmtId="0" fontId="45" fillId="0" borderId="17" xfId="0" applyFont="1" applyBorder="1" applyNumberFormat="1">
      <alignment horizontal="left" vertical="top" wrapText="1"/>
    </xf>
    <xf numFmtId="49" fontId="0" fillId="0" borderId="0" xfId="0" applyFont="1" applyNumberFormat="1">
      <alignment vertical="top"/>
    </xf>
    <xf numFmtId="49" fontId="22" fillId="0" borderId="12" xfId="0" applyFont="1" applyBorder="1" applyNumberFormat="1">
      <alignment horizontal="left" vertical="center" wrapText="1"/>
    </xf>
    <xf numFmtId="4" fontId="48" fillId="0" borderId="12" xfId="0" applyFont="1" applyBorder="1" applyNumberFormat="1">
      <alignment horizontal="center" vertical="center" wrapText="1"/>
    </xf>
    <xf numFmtId="49" fontId="0" fillId="39" borderId="12" xfId="0" applyFont="1" applyFill="1" applyBorder="1" applyNumberFormat="1">
      <alignment horizontal="center" vertical="center" wrapText="1"/>
      <protection locked="0"/>
    </xf>
    <xf numFmtId="0" fontId="45" fillId="0" borderId="36" xfId="0" applyFont="1" applyBorder="1" applyNumberFormat="1">
      <alignment horizontal="left" vertical="top" wrapText="1"/>
    </xf>
    <xf numFmtId="49" fontId="0" fillId="0" borderId="0" xfId="0" applyFont="1" applyNumberFormat="1">
      <alignment vertical="top"/>
    </xf>
    <xf numFmtId="0" fontId="48" fillId="0" borderId="24" xfId="0" applyFont="1" applyBorder="1" applyNumberFormat="1">
      <alignment horizontal="center" vertical="center" wrapText="1"/>
    </xf>
    <xf numFmtId="49" fontId="73" fillId="37" borderId="14" xfId="0" applyFont="1" applyFill="1" applyBorder="1" applyNumberFormat="1">
      <alignment horizontal="left" vertical="center"/>
    </xf>
    <xf numFmtId="49" fontId="40" fillId="37" borderId="15" xfId="0" applyFont="1" applyFill="1" applyBorder="1" applyNumberFormat="1">
      <alignment horizontal="left" vertical="center" indent="6"/>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3" xfId="0" applyFont="1" applyFill="1" applyBorder="1" applyNumberFormat="1">
      <alignment horizontal="center" vertical="center" wrapText="1"/>
    </xf>
    <xf numFmtId="0" fontId="45" fillId="0" borderId="23" xfId="0" applyFont="1" applyBorder="1" applyNumberFormat="1">
      <alignment horizontal="left" vertical="top" wrapText="1"/>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73" fillId="37" borderId="14" xfId="0" applyFont="1" applyFill="1" applyBorder="1" applyNumberFormat="1">
      <alignment horizontal="left" vertical="center"/>
    </xf>
    <xf numFmtId="49" fontId="40" fillId="37" borderId="15" xfId="0" applyFont="1" applyFill="1" applyBorder="1" applyNumberFormat="1">
      <alignment horizontal="left" vertical="center" indent="6"/>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3" xfId="0" applyFont="1" applyFill="1" applyBorder="1" applyNumberFormat="1">
      <alignment horizontal="center" vertical="center" wrapText="1"/>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73" fillId="37" borderId="14" xfId="0" applyFont="1" applyFill="1" applyBorder="1" applyNumberFormat="1">
      <alignment horizontal="left" vertical="center"/>
    </xf>
    <xf numFmtId="49" fontId="40" fillId="37" borderId="15" xfId="0" applyFont="1" applyFill="1" applyBorder="1" applyNumberFormat="1">
      <alignment horizontal="left" vertical="center" indent="6"/>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3" xfId="0" applyFont="1" applyFill="1" applyBorder="1" applyNumberFormat="1">
      <alignment horizontal="center" vertical="center" wrapText="1"/>
    </xf>
    <xf numFmtId="0" fontId="22" fillId="0" borderId="12" xfId="0" applyFont="1" applyBorder="1" applyNumberFormat="1">
      <alignment horizontal="center" vertical="center"/>
    </xf>
    <xf numFmtId="0" fontId="22" fillId="0" borderId="0" xfId="0" applyFont="1" applyNumberFormat="1">
      <alignment horizontal="center" vertical="center"/>
    </xf>
    <xf numFmtId="0" fontId="22" fillId="35" borderId="12" xfId="0" applyFont="1" applyFill="1" applyBorder="1" applyNumberFormat="1">
      <alignment horizontal="left" vertical="center" wrapText="1"/>
    </xf>
    <xf numFmtId="0" fontId="22" fillId="0" borderId="12" xfId="0" applyFont="1" applyBorder="1" applyNumberFormat="1">
      <alignment vertical="center" wrapText="1"/>
    </xf>
    <xf numFmtId="0" fontId="22" fillId="0" borderId="14" xfId="0" applyFont="1" applyBorder="1" applyNumberFormat="1">
      <alignment horizontal="center" vertical="center"/>
    </xf>
    <xf numFmtId="0" fontId="22" fillId="0" borderId="0" xfId="0" applyFont="1" applyNumberFormat="1">
      <alignment horizontal="center" vertical="center" wrapText="1"/>
    </xf>
    <xf numFmtId="0" fontId="22" fillId="35" borderId="12" xfId="0" applyFont="1" applyFill="1" applyBorder="1" applyNumberFormat="1">
      <alignment horizontal="left" vertical="center" wrapText="1" indent="1"/>
    </xf>
    <xf numFmtId="0" fontId="22" fillId="0" borderId="0" xfId="0" applyFont="1" applyNumberFormat="1">
      <alignment vertical="center" wrapText="1"/>
    </xf>
    <xf numFmtId="0" fontId="48" fillId="0" borderId="0" xfId="0" applyFont="1" applyNumberFormat="1">
      <alignment horizontal="center" vertical="center" wrapText="1"/>
    </xf>
    <xf numFmtId="0" fontId="48" fillId="0" borderId="0" xfId="0" applyFont="1" applyNumberFormat="1">
      <alignment vertical="center" wrapText="1"/>
    </xf>
    <xf numFmtId="49" fontId="22" fillId="0" borderId="12" xfId="0" applyFont="1" applyBorder="1" applyNumberFormat="1">
      <alignment horizontal="left" vertical="center" wrapText="1"/>
    </xf>
    <xf numFmtId="0" fontId="72" fillId="0" borderId="0" xfId="0" applyFont="1" applyNumberFormat="1">
      <alignment horizontal="left" vertical="center" indent="1"/>
    </xf>
    <xf numFmtId="0" fontId="72" fillId="0" borderId="0" xfId="0" applyFont="1" applyNumberFormat="1">
      <alignment horizontal="center" vertical="center"/>
    </xf>
    <xf numFmtId="0" fontId="72" fillId="0" borderId="0" xfId="0" applyFont="1" applyNumberFormat="1">
      <alignment horizontal="left" vertical="center" wrapText="1"/>
    </xf>
    <xf numFmtId="0" fontId="72" fillId="0" borderId="0" xfId="0" applyFont="1" applyNumberFormat="1">
      <alignment vertical="center" wrapText="1"/>
    </xf>
    <xf numFmtId="0" fontId="48" fillId="0" borderId="0" xfId="0" applyFont="1" applyNumberFormat="1">
      <alignment vertical="center"/>
    </xf>
    <xf numFmtId="0" fontId="48" fillId="0" borderId="0" xfId="0" applyFont="1" applyNumberFormat="1">
      <alignment vertical="center" wrapText="1"/>
    </xf>
    <xf numFmtId="49" fontId="72" fillId="0" borderId="0" xfId="0" applyFont="1" applyNumberFormat="1">
      <alignment horizontal="left" vertical="center"/>
    </xf>
    <xf numFmtId="0" fontId="22" fillId="0" borderId="0" xfId="0" applyFont="1" applyNumberFormat="1">
      <alignment horizontal="center" vertical="center" wrapText="1"/>
    </xf>
    <xf numFmtId="49" fontId="22" fillId="0" borderId="0" xfId="0" applyFont="1" applyNumberFormat="1">
      <alignment vertical="center" wrapText="1"/>
    </xf>
    <xf numFmtId="49" fontId="22" fillId="0" borderId="12" xfId="0" applyFont="1" applyBorder="1" applyNumberFormat="1">
      <alignment vertical="center" wrapText="1"/>
    </xf>
    <xf numFmtId="0" fontId="22" fillId="0" borderId="0" xfId="0" applyFont="1" applyNumberFormat="1">
      <alignment vertical="center"/>
    </xf>
    <xf numFmtId="0" fontId="22" fillId="0" borderId="0" xfId="0" applyFont="1" applyNumberFormat="1">
      <alignment horizontal="center" vertical="center"/>
    </xf>
    <xf numFmtId="0" fontId="22" fillId="0" borderId="0" xfId="0" applyFont="1" applyNumberFormat="1">
      <alignment horizontal="right" vertical="center" wrapText="1"/>
    </xf>
    <xf numFmtId="0" fontId="22" fillId="0" borderId="17" xfId="0" applyFont="1" applyBorder="1" applyNumberFormat="1">
      <alignment vertical="center" wrapText="1"/>
    </xf>
    <xf numFmtId="0" fontId="0" fillId="0" borderId="12" xfId="0" applyFont="1" applyBorder="1" applyNumberFormat="1">
      <alignment horizontal="center" vertical="center" wrapText="1"/>
    </xf>
    <xf numFmtId="0" fontId="80" fillId="35" borderId="19" xfId="0" applyFont="1" applyFill="1" applyBorder="1" applyNumberFormat="1">
      <alignment horizontal="center" vertical="center" wrapText="1"/>
    </xf>
    <xf numFmtId="0" fontId="72" fillId="0" borderId="0" xfId="0" applyFont="1" applyNumberFormat="1">
      <alignment vertical="center" wrapText="1"/>
    </xf>
    <xf numFmtId="0" fontId="72" fillId="0" borderId="0" xfId="0" applyFont="1" applyNumberFormat="1">
      <alignment horizontal="left" vertical="center" indent="1"/>
    </xf>
    <xf numFmtId="0" fontId="72" fillId="0" borderId="0" xfId="0" applyFont="1" applyNumberFormat="1">
      <alignment horizontal="center" vertical="center"/>
    </xf>
    <xf numFmtId="0" fontId="22" fillId="0" borderId="0" xfId="0" applyFont="1" applyNumberFormat="1">
      <alignment horizontal="left" vertical="center" indent="1"/>
    </xf>
    <xf numFmtId="49" fontId="22" fillId="0" borderId="0" xfId="0" applyFont="1" applyNumberFormat="1">
      <alignment horizontal="left" vertical="center"/>
    </xf>
    <xf numFmtId="502" fontId="22" fillId="0" borderId="12" xfId="0" applyFont="1" applyBorder="1" applyNumberFormat="1">
      <alignment horizontal="right" vertical="center" wrapText="1"/>
    </xf>
    <xf numFmtId="0" fontId="0" fillId="35" borderId="19" xfId="0" applyFont="1" applyFill="1" applyBorder="1" applyNumberFormat="1">
      <alignment horizontal="center" vertical="center" wrapText="1"/>
    </xf>
    <xf numFmtId="0" fontId="48" fillId="0" borderId="17" xfId="0" applyFont="1" applyBorder="1" applyNumberFormat="1">
      <alignment horizontal="center" vertical="center" wrapText="1"/>
    </xf>
    <xf numFmtId="0" fontId="22" fillId="0" borderId="37" xfId="0" applyFont="1" applyBorder="1" applyNumberFormat="1">
      <alignment horizontal="center" vertical="center" wrapText="1"/>
    </xf>
    <xf numFmtId="0" fontId="48" fillId="0" borderId="12" xfId="0" applyFont="1" applyBorder="1" applyNumberFormat="1">
      <alignment vertical="center" wrapText="1"/>
    </xf>
    <xf numFmtId="0" fontId="48" fillId="0" borderId="23" xfId="0" applyFont="1" applyBorder="1" applyNumberFormat="1">
      <alignment horizontal="center" vertical="center" wrapText="1"/>
    </xf>
    <xf numFmtId="0" fontId="22" fillId="0" borderId="30" xfId="0" applyFont="1" applyBorder="1" applyNumberFormat="1">
      <alignment horizontal="center" vertical="center" wrapText="1"/>
    </xf>
    <xf numFmtId="0" fontId="48" fillId="0" borderId="12" xfId="0" applyFont="1" applyBorder="1" applyNumberFormat="1">
      <alignment horizontal="center" vertical="center" wrapText="1"/>
    </xf>
    <xf numFmtId="0" fontId="0" fillId="0" borderId="13" xfId="0" applyFont="1" applyBorder="1" applyNumberFormat="1">
      <alignment horizontal="center" vertical="center" wrapText="1"/>
    </xf>
    <xf numFmtId="0" fontId="22" fillId="0" borderId="0" xfId="0" applyFont="1" applyNumberFormat="1">
      <alignment vertical="center"/>
    </xf>
    <xf numFmtId="0" fontId="80" fillId="35" borderId="0" xfId="0" applyFont="1" applyFill="1" applyNumberFormat="1">
      <alignment horizontal="center" vertical="center" wrapText="1"/>
    </xf>
    <xf numFmtId="0" fontId="48" fillId="0" borderId="12" xfId="0" applyFont="1" applyBorder="1" applyNumberFormat="1">
      <alignment horizontal="left" vertical="center" wrapText="1"/>
    </xf>
    <xf numFmtId="0" fontId="48" fillId="0" borderId="12" xfId="0" applyFont="1" applyBorder="1" applyNumberFormat="1">
      <alignment horizontal="left" vertical="center" wrapText="1" indent="4"/>
    </xf>
    <xf numFmtId="0" fontId="48" fillId="0" borderId="12" xfId="0" applyFont="1" applyBorder="1" applyNumberFormat="1">
      <alignment horizontal="left" vertical="center" wrapText="1" indent="6"/>
    </xf>
    <xf numFmtId="0" fontId="48" fillId="0" borderId="14" xfId="0" applyFont="1" applyBorder="1" applyNumberFormat="1">
      <alignment horizontal="left" vertical="center" wrapText="1"/>
    </xf>
    <xf numFmtId="0" fontId="48" fillId="0" borderId="15" xfId="0" applyFont="1" applyBorder="1" applyNumberFormat="1">
      <alignment horizontal="left" vertical="center" wrapText="1"/>
    </xf>
    <xf numFmtId="0" fontId="48" fillId="0" borderId="13" xfId="0" applyFont="1" applyBorder="1" applyNumberFormat="1">
      <alignment horizontal="left" vertical="center" wrapText="1"/>
    </xf>
    <xf numFmtId="0" fontId="48" fillId="0" borderId="12" xfId="0" applyFont="1" applyBorder="1" applyNumberFormat="1">
      <alignment vertical="top" wrapText="1"/>
    </xf>
    <xf numFmtId="49" fontId="97" fillId="0" borderId="14" xfId="0" applyFont="1" applyBorder="1" applyNumberFormat="1">
      <alignment horizontal="left" vertical="center"/>
    </xf>
    <xf numFmtId="49" fontId="48" fillId="0" borderId="15" xfId="0" applyFont="1" applyBorder="1" applyNumberFormat="1">
      <alignment horizontal="left" vertical="center" indent="4"/>
    </xf>
    <xf numFmtId="49" fontId="48" fillId="0" borderId="15" xfId="0" applyFont="1" applyBorder="1" applyNumberFormat="1">
      <alignment horizontal="center" vertical="center" wrapText="1"/>
    </xf>
    <xf numFmtId="49" fontId="48" fillId="0" borderId="13" xfId="0" applyFont="1" applyBorder="1" applyNumberFormat="1">
      <alignment horizontal="center" vertical="center" wrapText="1"/>
    </xf>
    <xf numFmtId="49" fontId="48" fillId="0" borderId="0" xfId="0" applyFont="1" applyNumberFormat="1">
      <alignment vertical="center" wrapText="1"/>
    </xf>
    <xf numFmtId="0" fontId="0" fillId="0" borderId="0" xfId="0" applyFont="1" applyNumberFormat="1">
      <alignment horizontal="left" vertical="top" wrapText="1"/>
    </xf>
    <xf numFmtId="0" fontId="47" fillId="0" borderId="0" xfId="0" applyFont="1" applyNumberFormat="1">
      <alignment vertical="top" wrapText="1"/>
    </xf>
    <xf numFmtId="0" fontId="22" fillId="35" borderId="17" xfId="0" applyFont="1" applyFill="1" applyBorder="1" applyNumberFormat="1">
      <alignment horizontal="left" vertical="center" wrapText="1"/>
    </xf>
    <xf numFmtId="0" fontId="22" fillId="35" borderId="17" xfId="0" applyFont="1" applyFill="1" applyBorder="1" applyNumberFormat="1">
      <alignment horizontal="left" vertical="center" wrapText="1" indent="2"/>
    </xf>
    <xf numFmtId="0" fontId="22" fillId="0" borderId="17" xfId="0" applyFont="1" applyBorder="1" applyNumberFormat="1">
      <alignment horizontal="left" vertical="center" wrapText="1" indent="6"/>
    </xf>
    <xf numFmtId="0" fontId="22" fillId="34" borderId="37" xfId="0" applyFont="1" applyFill="1" applyBorder="1" applyNumberFormat="1">
      <alignment horizontal="left" vertical="center" wrapText="1"/>
    </xf>
    <xf numFmtId="0" fontId="22" fillId="34" borderId="19" xfId="0" applyFont="1" applyFill="1" applyBorder="1" applyNumberFormat="1">
      <alignment horizontal="left" vertical="center" wrapText="1"/>
    </xf>
    <xf numFmtId="0" fontId="22" fillId="34" borderId="20" xfId="0" applyFont="1" applyFill="1" applyBorder="1" applyNumberFormat="1">
      <alignment horizontal="left" vertical="center" wrapText="1"/>
    </xf>
    <xf numFmtId="0" fontId="22" fillId="35" borderId="12" xfId="0" applyFont="1" applyFill="1" applyBorder="1" applyNumberFormat="1">
      <alignment horizontal="left" vertical="center" wrapText="1"/>
    </xf>
    <xf numFmtId="0" fontId="22" fillId="34" borderId="12" xfId="0" applyFont="1" applyFill="1" applyBorder="1" applyNumberFormat="1">
      <alignment horizontal="left" vertical="center" wrapText="1"/>
    </xf>
    <xf numFmtId="0" fontId="45" fillId="0" borderId="13" xfId="0" applyFont="1" applyBorder="1" applyNumberFormat="1">
      <alignment vertical="top" wrapText="1"/>
    </xf>
    <xf numFmtId="0" fontId="48" fillId="0" borderId="0" xfId="0" applyFont="1" applyNumberFormat="1">
      <alignment horizontal="center" vertical="center" wrapText="1"/>
    </xf>
    <xf numFmtId="0" fontId="48" fillId="0" borderId="12" xfId="0" applyFont="1" applyBorder="1" applyNumberFormat="1">
      <alignment horizontal="left" vertical="center" wrapText="1"/>
    </xf>
    <xf numFmtId="0" fontId="48" fillId="0" borderId="13" xfId="0" applyFont="1" applyBorder="1" applyNumberFormat="1">
      <alignment vertical="top" wrapText="1"/>
    </xf>
    <xf numFmtId="0" fontId="22" fillId="40" borderId="12" xfId="0" applyFont="1" applyFill="1" applyBorder="1" applyNumberFormat="1">
      <alignment horizontal="left" vertical="center" wrapText="1"/>
    </xf>
    <xf numFmtId="0" fontId="22" fillId="35" borderId="23" xfId="0" applyFont="1" applyFill="1" applyBorder="1" applyNumberFormat="1">
      <alignment horizontal="left" vertical="center" wrapText="1"/>
    </xf>
    <xf numFmtId="0" fontId="22" fillId="40" borderId="23" xfId="0" applyFont="1" applyFill="1" applyBorder="1" applyNumberFormat="1">
      <alignment horizontal="left" vertical="center" wrapText="1" indent="6"/>
    </xf>
    <xf numFmtId="0" fontId="22" fillId="0" borderId="23" xfId="0" applyFont="1" applyBorder="1" applyNumberFormat="1">
      <alignment horizontal="left" vertical="center" wrapText="1" indent="6"/>
    </xf>
    <xf numFmtId="4" fontId="22" fillId="36" borderId="23" xfId="0" applyFont="1" applyFill="1" applyBorder="1" applyNumberFormat="1">
      <alignment horizontal="right" vertical="center" wrapText="1"/>
      <protection locked="0"/>
    </xf>
    <xf numFmtId="502" fontId="22" fillId="36" borderId="23" xfId="0" applyFont="1" applyFill="1" applyBorder="1" applyNumberFormat="1">
      <alignment horizontal="right" vertical="center" wrapText="1"/>
      <protection locked="0"/>
    </xf>
    <xf numFmtId="504" fontId="0" fillId="39" borderId="23" xfId="0" applyFont="1" applyFill="1" applyBorder="1" applyNumberFormat="1">
      <alignment horizontal="center" vertical="center" wrapText="1"/>
      <protection locked="0"/>
    </xf>
    <xf numFmtId="0" fontId="22" fillId="0" borderId="19" xfId="0" applyFont="1" applyBorder="1" applyNumberFormat="1">
      <alignment horizontal="left" vertical="center" wrapText="1" indent="1"/>
    </xf>
    <xf numFmtId="0" fontId="22" fillId="0" borderId="0" xfId="0" applyFont="1" applyNumberFormat="1">
      <alignment horizontal="left" vertical="center" wrapText="1"/>
    </xf>
    <xf numFmtId="0" fontId="22" fillId="40" borderId="20" xfId="0" applyFont="1" applyFill="1" applyBorder="1" applyNumberFormat="1">
      <alignment horizontal="left" vertical="center" wrapText="1"/>
    </xf>
    <xf numFmtId="0" fontId="22" fillId="0" borderId="0" xfId="0" applyFont="1" applyNumberFormat="1">
      <alignment horizontal="center" vertical="center" wrapText="1"/>
    </xf>
    <xf numFmtId="502" fontId="22" fillId="36" borderId="14" xfId="0" applyFont="1" applyFill="1" applyBorder="1" applyNumberFormat="1">
      <alignment horizontal="right" vertical="center" wrapText="1"/>
      <protection locked="0"/>
    </xf>
    <xf numFmtId="4" fontId="22" fillId="36" borderId="13" xfId="0" applyFont="1" applyFill="1" applyBorder="1" applyNumberFormat="1">
      <alignment horizontal="right" vertical="center" wrapText="1"/>
      <protection locked="0"/>
    </xf>
    <xf numFmtId="0" fontId="45" fillId="0" borderId="17" xfId="0" applyFont="1" applyBorder="1" applyNumberFormat="1">
      <alignment vertical="top" wrapText="1"/>
    </xf>
    <xf numFmtId="0" fontId="22" fillId="36" borderId="12" xfId="0" applyFont="1" applyFill="1" applyBorder="1" applyNumberFormat="1">
      <alignment horizontal="left" vertical="center" wrapText="1" indent="7"/>
      <protection locked="0"/>
    </xf>
    <xf numFmtId="49" fontId="0" fillId="39" borderId="12" xfId="0" applyFont="1" applyFill="1" applyBorder="1" applyNumberFormat="1">
      <alignment horizontal="center" vertical="center" wrapText="1"/>
      <protection locked="0"/>
    </xf>
    <xf numFmtId="4" fontId="48" fillId="0" borderId="14" xfId="0" applyFont="1" applyBorder="1" applyNumberFormat="1">
      <alignment horizontal="center" vertical="center" wrapText="1"/>
    </xf>
    <xf numFmtId="4" fontId="22" fillId="0" borderId="13" xfId="0" applyFont="1" applyBorder="1" applyNumberFormat="1">
      <alignment horizontal="right" vertical="center" wrapText="1"/>
    </xf>
    <xf numFmtId="0" fontId="22" fillId="37" borderId="15" xfId="0" applyFont="1" applyFill="1" applyBorder="1" applyNumberFormat="1">
      <alignment horizontal="left" vertical="center" wrapText="1" indent="6"/>
    </xf>
    <xf numFmtId="4" fontId="22" fillId="37" borderId="15" xfId="0" applyFont="1" applyFill="1" applyBorder="1" applyNumberFormat="1">
      <alignment horizontal="right" vertical="center" wrapText="1"/>
    </xf>
    <xf numFmtId="4" fontId="48"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9" fontId="22" fillId="37" borderId="27" xfId="0" applyFont="1" applyFill="1" applyBorder="1" applyNumberFormat="1">
      <alignment horizontal="center" vertical="center" wrapText="1"/>
    </xf>
    <xf numFmtId="0" fontId="22" fillId="0" borderId="0" xfId="0" applyFont="1" applyNumberFormat="1">
      <alignment horizontal="center" vertical="center" wrapText="1"/>
    </xf>
    <xf numFmtId="0" fontId="22" fillId="0" borderId="12" xfId="0" applyFont="1" applyBorder="1" applyNumberFormat="1">
      <alignment horizontal="center" vertical="center" wrapText="1"/>
    </xf>
    <xf numFmtId="0" fontId="22" fillId="0" borderId="19" xfId="0" applyFont="1" applyBorder="1" applyNumberFormat="1">
      <alignment horizontal="center" vertical="center" wrapText="1"/>
    </xf>
    <xf numFmtId="0" fontId="22" fillId="0" borderId="20" xfId="0" applyFont="1" applyBorder="1" applyNumberFormat="1">
      <alignment horizontal="center" vertical="center" wrapText="1"/>
    </xf>
    <xf numFmtId="0" fontId="22" fillId="0" borderId="22"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15" xfId="0" applyFont="1" applyBorder="1" applyNumberFormat="1">
      <alignment horizontal="center" vertical="center" wrapText="1"/>
    </xf>
    <xf numFmtId="0" fontId="22" fillId="0" borderId="27" xfId="0" applyFont="1" applyBorder="1" applyNumberFormat="1">
      <alignment horizontal="center" vertical="center" wrapText="1"/>
    </xf>
    <xf numFmtId="0" fontId="22" fillId="0" borderId="29" xfId="0" applyFont="1" applyBorder="1" applyNumberFormat="1">
      <alignment horizontal="center" vertical="center" wrapText="1"/>
    </xf>
    <xf numFmtId="0" fontId="0" fillId="0" borderId="36" xfId="0" applyFont="1" applyBorder="1" applyNumberFormat="1">
      <alignment horizontal="center" vertical="center" wrapText="1"/>
    </xf>
    <xf numFmtId="0" fontId="0" fillId="0" borderId="37" xfId="0" applyFont="1" applyBorder="1" applyNumberFormat="1">
      <alignment horizontal="center" vertical="center" wrapText="1"/>
    </xf>
    <xf numFmtId="0" fontId="0" fillId="0" borderId="20"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30" xfId="0" applyFont="1" applyBorder="1" applyNumberFormat="1">
      <alignment horizontal="center" vertical="center" wrapText="1"/>
    </xf>
    <xf numFmtId="0" fontId="0" fillId="0" borderId="29" xfId="0" applyFont="1" applyBorder="1" applyNumberFormat="1">
      <alignment horizontal="center" vertical="center" wrapText="1"/>
    </xf>
    <xf numFmtId="0" fontId="22" fillId="0" borderId="12" xfId="0" applyFont="1" applyBorder="1" applyNumberFormat="1">
      <alignment horizontal="center" vertical="center"/>
    </xf>
    <xf numFmtId="0" fontId="22" fillId="0" borderId="14" xfId="0" applyFont="1" applyBorder="1" applyNumberFormat="1">
      <alignment horizontal="center" vertical="center"/>
    </xf>
    <xf numFmtId="49" fontId="47" fillId="0" borderId="0" xfId="0" applyFont="1" applyNumberFormat="1">
      <alignment vertical="center" wrapText="1"/>
    </xf>
    <xf numFmtId="0" fontId="47" fillId="0" borderId="0" xfId="0" applyFont="1" applyNumberFormat="1">
      <alignment horizontal="center" vertical="center" wrapText="1"/>
    </xf>
    <xf numFmtId="0" fontId="56" fillId="35" borderId="0" xfId="0" applyFont="1" applyFill="1" applyNumberFormat="1">
      <alignment horizontal="center" vertical="center" wrapText="1"/>
    </xf>
    <xf numFmtId="0" fontId="56" fillId="0" borderId="0" xfId="0" applyFont="1" applyNumberFormat="1">
      <alignment vertical="center" wrapText="1"/>
    </xf>
    <xf numFmtId="0" fontId="48" fillId="0" borderId="12" xfId="0" applyFont="1" applyBorder="1" applyNumberFormat="1">
      <alignment horizontal="left" vertical="center" wrapText="1" indent="5"/>
    </xf>
    <xf numFmtId="0" fontId="48" fillId="0" borderId="24" xfId="0" applyFont="1" applyBorder="1" applyNumberFormat="1">
      <alignment horizontal="center" vertical="top" wrapText="1"/>
    </xf>
    <xf numFmtId="0" fontId="22" fillId="35" borderId="17" xfId="0" applyFont="1" applyFill="1" applyBorder="1" applyNumberFormat="1">
      <alignment horizontal="left" vertical="center" wrapText="1"/>
    </xf>
    <xf numFmtId="49" fontId="22" fillId="39" borderId="17" xfId="0" applyFont="1" applyFill="1" applyBorder="1" applyNumberFormat="1">
      <alignment horizontal="left" vertical="center" wrapText="1" indent="6"/>
      <protection locked="0"/>
    </xf>
    <xf numFmtId="0" fontId="37" fillId="0" borderId="12" xfId="0" applyFont="1" applyBorder="1" applyNumberFormat="1">
      <alignment horizontal="center" vertical="center" wrapText="1"/>
    </xf>
    <xf numFmtId="49" fontId="22" fillId="40" borderId="12" xfId="0" applyFont="1" applyFill="1" applyBorder="1" applyNumberFormat="1">
      <alignment horizontal="left" vertical="center" wrapText="1" indent="1"/>
    </xf>
    <xf numFmtId="0" fontId="22" fillId="0" borderId="12" xfId="0" applyFont="1" applyBorder="1" applyNumberFormat="1">
      <alignment horizontal="left" vertical="center" wrapText="1" indent="4"/>
    </xf>
    <xf numFmtId="49" fontId="22" fillId="35" borderId="12" xfId="0" applyFont="1" applyFill="1" applyBorder="1" applyNumberFormat="1">
      <alignment horizontal="center" vertical="center" wrapText="1"/>
    </xf>
    <xf numFmtId="0" fontId="22" fillId="40" borderId="12" xfId="0" applyFont="1" applyFill="1" applyBorder="1" applyNumberFormat="1">
      <alignment horizontal="left" vertical="center" wrapText="1" indent="1"/>
    </xf>
    <xf numFmtId="504" fontId="0" fillId="39" borderId="12" xfId="0" applyFont="1" applyFill="1" applyBorder="1" applyNumberFormat="1">
      <alignment horizontal="center" vertical="center" wrapText="1"/>
      <protection locked="0"/>
    </xf>
    <xf numFmtId="49" fontId="22" fillId="40" borderId="12" xfId="0" applyFont="1" applyFill="1" applyBorder="1" applyNumberFormat="1">
      <alignment horizontal="center" vertical="center" wrapText="1"/>
    </xf>
    <xf numFmtId="0" fontId="22" fillId="35" borderId="36" xfId="0" applyFont="1" applyFill="1" applyBorder="1" applyNumberFormat="1">
      <alignment horizontal="left" vertical="center" wrapText="1"/>
    </xf>
    <xf numFmtId="49" fontId="22" fillId="39" borderId="36" xfId="0" applyFont="1" applyFill="1" applyBorder="1" applyNumberFormat="1">
      <alignment horizontal="left" vertical="center" wrapText="1" indent="6"/>
      <protection locked="0"/>
    </xf>
    <xf numFmtId="502" fontId="22" fillId="37" borderId="13" xfId="0" applyFont="1" applyFill="1" applyBorder="1" applyNumberFormat="1">
      <alignment horizontal="right" vertical="center" wrapText="1"/>
    </xf>
    <xf numFmtId="49" fontId="40" fillId="37" borderId="14" xfId="0" applyFont="1" applyFill="1" applyBorder="1" applyNumberFormat="1">
      <alignment horizontal="left" vertical="center"/>
    </xf>
    <xf numFmtId="502" fontId="22" fillId="37" borderId="15" xfId="0" applyFont="1" applyFill="1" applyBorder="1" applyNumberFormat="1">
      <alignment horizontal="right" vertical="center" wrapText="1"/>
    </xf>
    <xf numFmtId="4" fontId="22" fillId="0" borderId="36" xfId="0" applyFont="1" applyBorder="1" applyNumberFormat="1">
      <alignment horizontal="right" vertical="center" wrapText="1"/>
    </xf>
    <xf numFmtId="49" fontId="40" fillId="37" borderId="14" xfId="0" applyFont="1" applyFill="1" applyBorder="1" applyNumberFormat="1">
      <alignment horizontal="left" vertical="center" indent="1"/>
    </xf>
    <xf numFmtId="0" fontId="22" fillId="35" borderId="23" xfId="0" applyFont="1" applyFill="1" applyBorder="1" applyNumberFormat="1">
      <alignment horizontal="left" vertical="center" wrapText="1"/>
    </xf>
    <xf numFmtId="49" fontId="22" fillId="39" borderId="23" xfId="0" applyFont="1" applyFill="1" applyBorder="1" applyNumberFormat="1">
      <alignment horizontal="left" vertical="center" wrapText="1" indent="6"/>
      <protection locked="0"/>
    </xf>
    <xf numFmtId="4" fontId="48" fillId="37" borderId="13" xfId="0" applyFont="1" applyFill="1" applyBorder="1" applyNumberFormat="1">
      <alignment horizontal="center" vertical="center" wrapText="1"/>
    </xf>
    <xf numFmtId="49" fontId="40" fillId="37" borderId="14" xfId="0" applyFont="1" applyFill="1" applyBorder="1" applyNumberFormat="1">
      <alignment vertical="center" wrapText="1"/>
    </xf>
    <xf numFmtId="49" fontId="40" fillId="37" borderId="15" xfId="0" applyFont="1" applyFill="1" applyBorder="1" applyNumberFormat="1">
      <alignment vertical="center" wrapText="1"/>
    </xf>
    <xf numFmtId="49" fontId="48" fillId="0" borderId="24" xfId="0" applyFont="1" applyBorder="1" applyNumberFormat="1">
      <alignment vertical="top"/>
    </xf>
    <xf numFmtId="0" fontId="111" fillId="0" borderId="0" xfId="0" applyFont="1" applyNumberFormat="1">
      <alignment horizontal="center" vertical="center" wrapText="1"/>
    </xf>
    <xf numFmtId="49" fontId="48" fillId="0" borderId="0" xfId="0" applyFont="1" applyNumberFormat="1">
      <alignment horizontal="center" vertical="center" wrapText="1"/>
    </xf>
    <xf numFmtId="49" fontId="48" fillId="0" borderId="0" xfId="0" applyFont="1" applyNumberFormat="1">
      <alignment horizontal="left" vertical="center" wrapText="1" indent="1"/>
    </xf>
    <xf numFmtId="0" fontId="48" fillId="0" borderId="0" xfId="0" applyFont="1" applyNumberFormat="1">
      <alignment horizontal="left" vertical="center" wrapText="1" indent="4"/>
    </xf>
    <xf numFmtId="0" fontId="48" fillId="0" borderId="24" xfId="0" applyFont="1" applyBorder="1" applyNumberFormat="1">
      <alignment horizontal="left" vertical="center" wrapText="1" indent="1"/>
    </xf>
    <xf numFmtId="4" fontId="48" fillId="0" borderId="12" xfId="0" applyFont="1" applyBorder="1" applyNumberFormat="1">
      <alignment horizontal="right" vertical="center" wrapText="1"/>
    </xf>
    <xf numFmtId="502" fontId="48" fillId="0" borderId="12" xfId="0" applyFont="1" applyBorder="1" applyNumberFormat="1">
      <alignment horizontal="right" vertical="center" wrapText="1"/>
    </xf>
    <xf numFmtId="504" fontId="48" fillId="0" borderId="12" xfId="0" applyFont="1" applyBorder="1" applyNumberFormat="1">
      <alignment horizontal="center" vertical="center" wrapText="1"/>
    </xf>
    <xf numFmtId="49" fontId="48" fillId="0" borderId="12" xfId="0" applyFont="1" applyBorder="1" applyNumberFormat="1">
      <alignment horizontal="center" vertical="center" wrapText="1"/>
    </xf>
    <xf numFmtId="0" fontId="47" fillId="0" borderId="0" xfId="0" applyFont="1" applyNumberFormat="1">
      <alignment horizontal="left" vertical="center"/>
    </xf>
    <xf numFmtId="49" fontId="47" fillId="0" borderId="0" xfId="0" applyFont="1" applyNumberFormat="1">
      <alignment horizontal="left" vertical="center"/>
    </xf>
    <xf numFmtId="0" fontId="47" fillId="0" borderId="0" xfId="0" applyFont="1" applyNumberFormat="1">
      <alignment horizontal="left" vertical="center"/>
    </xf>
    <xf numFmtId="0" fontId="69" fillId="0" borderId="0" xfId="0" applyFont="1" applyNumberFormat="1">
      <alignment horizontal="left" vertical="center"/>
    </xf>
    <xf numFmtId="0" fontId="47" fillId="0" borderId="0" xfId="0" applyFont="1" applyNumberFormat="1">
      <alignment horizontal="left" vertical="center"/>
    </xf>
    <xf numFmtId="0" fontId="48" fillId="0" borderId="0" xfId="0" applyFont="1" applyNumberFormat="1">
      <alignment horizontal="left" vertical="center"/>
    </xf>
    <xf numFmtId="0" fontId="69" fillId="35" borderId="0" xfId="0" applyFont="1" applyFill="1" applyNumberFormat="1">
      <alignment vertical="center" wrapText="1"/>
    </xf>
    <xf numFmtId="0" fontId="22" fillId="35" borderId="37" xfId="0" applyFont="1" applyFill="1" applyBorder="1" applyNumberFormat="1">
      <alignment horizontal="center" vertical="center" wrapText="1"/>
    </xf>
    <xf numFmtId="0" fontId="0" fillId="35" borderId="37" xfId="0" applyFont="1" applyFill="1" applyBorder="1" applyNumberFormat="1">
      <alignment horizontal="center" vertical="center" wrapText="1"/>
    </xf>
    <xf numFmtId="0" fontId="0" fillId="35" borderId="20" xfId="0" applyFont="1" applyFill="1" applyBorder="1" applyNumberFormat="1">
      <alignment horizontal="center" vertical="center" wrapText="1"/>
    </xf>
    <xf numFmtId="0" fontId="22" fillId="0" borderId="19" xfId="0" applyFont="1" applyBorder="1" applyNumberFormat="1">
      <alignment horizontal="center" vertical="center" wrapText="1"/>
    </xf>
    <xf numFmtId="0" fontId="22" fillId="35" borderId="22" xfId="0" applyFont="1" applyFill="1" applyBorder="1" applyNumberFormat="1">
      <alignment horizontal="center" vertical="center" wrapText="1"/>
    </xf>
    <xf numFmtId="0" fontId="0" fillId="35" borderId="22" xfId="0" applyFont="1" applyFill="1" applyBorder="1" applyNumberFormat="1">
      <alignment horizontal="center" vertical="center" wrapText="1"/>
    </xf>
    <xf numFmtId="0" fontId="0" fillId="35" borderId="0" xfId="0" applyFont="1" applyFill="1" applyNumberFormat="1">
      <alignment horizontal="center" vertical="center" wrapText="1"/>
    </xf>
    <xf numFmtId="0" fontId="0" fillId="35" borderId="24" xfId="0" applyFont="1" applyFill="1" applyBorder="1" applyNumberFormat="1">
      <alignment horizontal="center" vertical="center" wrapText="1"/>
    </xf>
    <xf numFmtId="0" fontId="22" fillId="34" borderId="12" xfId="0" applyFont="1" applyFill="1" applyBorder="1" applyNumberFormat="1">
      <alignment horizontal="center" vertical="center" wrapText="1"/>
    </xf>
    <xf numFmtId="0" fontId="22" fillId="0" borderId="27" xfId="0" applyFont="1" applyBorder="1" applyNumberFormat="1">
      <alignment horizontal="center" vertical="center" wrapText="1"/>
    </xf>
    <xf numFmtId="0" fontId="22" fillId="39" borderId="12" xfId="0" applyFont="1" applyFill="1" applyBorder="1" applyNumberFormat="1">
      <alignment horizontal="center" vertical="center" wrapText="1"/>
      <protection locked="0"/>
    </xf>
    <xf numFmtId="0" fontId="22" fillId="35" borderId="12" xfId="0" applyFont="1" applyFill="1" applyBorder="1" applyNumberFormat="1">
      <alignment horizontal="center" vertical="center" wrapText="1"/>
    </xf>
    <xf numFmtId="0" fontId="22" fillId="35" borderId="30" xfId="0" applyFont="1" applyFill="1" applyBorder="1" applyNumberFormat="1">
      <alignment horizontal="center" vertical="center" wrapText="1"/>
    </xf>
    <xf numFmtId="0" fontId="0" fillId="35" borderId="30" xfId="0" applyFont="1" applyFill="1" applyBorder="1" applyNumberFormat="1">
      <alignment horizontal="center" vertical="center" wrapText="1"/>
    </xf>
    <xf numFmtId="0" fontId="0" fillId="35" borderId="27" xfId="0" applyFont="1" applyFill="1" applyBorder="1" applyNumberFormat="1">
      <alignment horizontal="center" vertical="center" wrapText="1"/>
    </xf>
    <xf numFmtId="0" fontId="0" fillId="35" borderId="29" xfId="0" applyFont="1" applyFill="1" applyBorder="1" applyNumberFormat="1">
      <alignment horizontal="center" vertical="center" wrapText="1"/>
    </xf>
    <xf numFmtId="0" fontId="22" fillId="35" borderId="23" xfId="0" applyFont="1" applyFill="1" applyBorder="1" applyNumberFormat="1">
      <alignment horizontal="center" vertical="center" wrapText="1"/>
    </xf>
    <xf numFmtId="49" fontId="22" fillId="0" borderId="12" xfId="0" applyFont="1" applyBorder="1" applyNumberFormat="1">
      <alignment horizontal="left" vertical="center" wrapText="1" indent="1"/>
    </xf>
    <xf numFmtId="0" fontId="22" fillId="0" borderId="12" xfId="0" applyFont="1" applyBorder="1" applyNumberFormat="1">
      <alignment horizontal="left" vertical="center" wrapText="1" indent="1"/>
    </xf>
    <xf numFmtId="49" fontId="22" fillId="37" borderId="14" xfId="0" applyFont="1" applyFill="1" applyBorder="1" applyNumberFormat="1">
      <alignment horizontal="center" vertical="center" wrapText="1"/>
    </xf>
    <xf numFmtId="49" fontId="72" fillId="0" borderId="24" xfId="0" applyFont="1" applyBorder="1" applyNumberFormat="1">
      <alignment vertical="top"/>
    </xf>
    <xf numFmtId="0" fontId="22" fillId="0" borderId="0" xfId="0" applyFont="1" applyNumberFormat="1">
      <alignment horizontal="left" vertical="top" wrapText="1"/>
    </xf>
    <xf numFmtId="0" fontId="69" fillId="0" borderId="0" xfId="0" applyFont="1" applyNumberFormat="1">
      <alignment vertical="center" wrapText="1"/>
    </xf>
    <xf numFmtId="0" fontId="22" fillId="35" borderId="12" xfId="0" applyFont="1" applyFill="1" applyBorder="1" applyNumberFormat="1">
      <alignment horizontal="left" vertical="center" wrapText="1"/>
    </xf>
    <xf numFmtId="0" fontId="22" fillId="0" borderId="0" xfId="0" applyFont="1" applyNumberFormat="1">
      <alignment horizontal="center" vertical="center" wrapText="1"/>
    </xf>
    <xf numFmtId="0" fontId="48" fillId="0" borderId="0" xfId="0" applyFont="1" applyNumberFormat="1">
      <alignment horizontal="center" vertical="center" wrapText="1"/>
    </xf>
    <xf numFmtId="0" fontId="22" fillId="36" borderId="14" xfId="0" applyFont="1" applyFill="1" applyBorder="1" applyNumberFormat="1">
      <alignment horizontal="left" vertical="center" wrapText="1"/>
      <protection locked="0"/>
    </xf>
    <xf numFmtId="0" fontId="22" fillId="36" borderId="15" xfId="0" applyFont="1" applyFill="1" applyBorder="1" applyNumberFormat="1">
      <alignment horizontal="left" vertical="center" wrapText="1"/>
      <protection locked="0"/>
    </xf>
    <xf numFmtId="0" fontId="22" fillId="36" borderId="13" xfId="0" applyFont="1" applyFill="1" applyBorder="1" applyNumberFormat="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indent="6"/>
      <protection locked="0"/>
    </xf>
    <xf numFmtId="4" fontId="22" fillId="0" borderId="37" xfId="0" applyFont="1" applyBorder="1" applyNumberFormat="1">
      <alignment horizontal="right" vertical="center" wrapText="1"/>
    </xf>
    <xf numFmtId="0" fontId="45" fillId="0" borderId="12" xfId="0" applyFont="1" applyBorder="1" applyNumberFormat="1">
      <alignment horizontal="left" vertical="top" wrapText="1"/>
    </xf>
    <xf numFmtId="49" fontId="22" fillId="0" borderId="12" xfId="0" applyFont="1" applyBorder="1" applyNumberFormat="1">
      <alignment horizontal="left" vertical="center" wrapText="1"/>
    </xf>
    <xf numFmtId="4" fontId="22" fillId="0" borderId="30" xfId="0" applyFont="1" applyBorder="1" applyNumberFormat="1">
      <alignment horizontal="right" vertical="center" wrapText="1"/>
    </xf>
    <xf numFmtId="49" fontId="0" fillId="37" borderId="29" xfId="0" applyFont="1" applyFill="1" applyBorder="1" applyNumberFormat="1">
      <alignment horizontal="center" vertical="center" wrapText="1"/>
    </xf>
    <xf numFmtId="49" fontId="40" fillId="37" borderId="15" xfId="0" applyFont="1" applyFill="1" applyBorder="1" applyNumberFormat="1">
      <alignment horizontal="left" vertical="center" indent="3"/>
    </xf>
    <xf numFmtId="0" fontId="48" fillId="0" borderId="0" xfId="0" applyFont="1" applyNumberFormat="1">
      <alignment horizontal="center" vertical="center"/>
    </xf>
    <xf numFmtId="0" fontId="47" fillId="0" borderId="0" xfId="0" applyFont="1" applyNumberFormat="1">
      <alignment horizontal="center" vertical="center" wrapText="1"/>
    </xf>
    <xf numFmtId="0" fontId="110" fillId="0" borderId="0" xfId="0" applyFont="1" applyNumberFormat="1">
      <alignment vertical="center" wrapText="1"/>
    </xf>
    <xf numFmtId="0" fontId="22" fillId="0" borderId="0" xfId="0" applyFont="1" applyNumberFormat="1">
      <alignment horizontal="right" vertical="center" wrapText="1"/>
    </xf>
    <xf numFmtId="0" fontId="22" fillId="0" borderId="17" xfId="0" applyFont="1" applyBorder="1" applyNumberFormat="1">
      <alignment horizontal="center" vertical="center" wrapText="1"/>
    </xf>
    <xf numFmtId="0" fontId="0" fillId="0" borderId="12" xfId="0" applyFont="1" applyBorder="1" applyNumberFormat="1">
      <alignment horizontal="center" vertical="center" wrapText="1"/>
    </xf>
    <xf numFmtId="0" fontId="80" fillId="35" borderId="19" xfId="0" applyFont="1" applyFill="1" applyBorder="1" applyNumberFormat="1">
      <alignment horizontal="center" vertical="center" wrapText="1"/>
    </xf>
    <xf numFmtId="0" fontId="22" fillId="35" borderId="12" xfId="0" applyFont="1" applyFill="1" applyBorder="1" applyNumberFormat="1">
      <alignment horizontal="left" vertical="center" wrapText="1"/>
    </xf>
    <xf numFmtId="0" fontId="22" fillId="0" borderId="0" xfId="0" applyFont="1" applyNumberFormat="1">
      <alignment horizontal="center" vertical="center" wrapText="1"/>
    </xf>
    <xf numFmtId="0" fontId="48" fillId="0" borderId="0" xfId="0" applyFont="1" applyNumberFormat="1">
      <alignment horizontal="center" vertical="center" wrapText="1"/>
    </xf>
    <xf numFmtId="49" fontId="22" fillId="0" borderId="12" xfId="0" applyFont="1" applyBorder="1" applyNumberFormat="1">
      <alignment horizontal="left" vertical="center" wrapText="1"/>
    </xf>
    <xf numFmtId="49" fontId="22" fillId="0" borderId="0" xfId="0" applyFont="1" applyNumberFormat="1">
      <alignment vertical="center" wrapText="1"/>
    </xf>
    <xf numFmtId="0" fontId="22" fillId="35" borderId="12" xfId="0" applyFont="1" applyFill="1" applyBorder="1" applyNumberFormat="1">
      <alignment horizontal="left" vertical="center" wrapText="1"/>
    </xf>
    <xf numFmtId="0" fontId="22" fillId="0" borderId="0" xfId="0" applyFont="1" applyNumberFormat="1">
      <alignment horizontal="center" vertical="center" wrapText="1"/>
    </xf>
    <xf numFmtId="0" fontId="48" fillId="0" borderId="0" xfId="0" applyFont="1" applyNumberFormat="1">
      <alignment horizontal="center" vertical="center" wrapText="1"/>
    </xf>
    <xf numFmtId="49" fontId="22" fillId="0" borderId="12" xfId="0" applyFont="1" applyBorder="1" applyNumberFormat="1">
      <alignment horizontal="left" vertical="center" wrapText="1"/>
    </xf>
    <xf numFmtId="0" fontId="48" fillId="0" borderId="0" xfId="0" applyFont="1" applyNumberFormat="1">
      <alignment horizontal="center" vertical="center"/>
    </xf>
    <xf numFmtId="0" fontId="47" fillId="0" borderId="0" xfId="0" applyFont="1" applyNumberFormat="1">
      <alignment horizontal="center" vertical="center" wrapText="1"/>
    </xf>
    <xf numFmtId="0" fontId="22" fillId="0" borderId="0" xfId="0" applyFont="1" applyNumberFormat="1">
      <alignment horizontal="right" vertical="center" wrapText="1"/>
    </xf>
    <xf numFmtId="0" fontId="22" fillId="0" borderId="17" xfId="0" applyFont="1" applyBorder="1" applyNumberFormat="1">
      <alignment horizontal="center" vertical="center" wrapText="1"/>
    </xf>
    <xf numFmtId="0" fontId="0" fillId="0" borderId="12" xfId="0" applyFont="1" applyBorder="1" applyNumberFormat="1">
      <alignment horizontal="center" vertical="center" wrapText="1"/>
    </xf>
    <xf numFmtId="0" fontId="80" fillId="35" borderId="19" xfId="0" applyFont="1" applyFill="1" applyBorder="1" applyNumberFormat="1">
      <alignment horizontal="center" vertical="center" wrapText="1"/>
    </xf>
    <xf numFmtId="49" fontId="22" fillId="0" borderId="0" xfId="0" applyFont="1" applyNumberFormat="1">
      <alignment vertical="center" wrapText="1"/>
    </xf>
    <xf numFmtId="0" fontId="22" fillId="34" borderId="15" xfId="0" applyFont="1" applyFill="1" applyBorder="1" applyNumberFormat="1">
      <alignment horizontal="left" vertical="center" wrapText="1"/>
    </xf>
    <xf numFmtId="0" fontId="47" fillId="0" borderId="0" xfId="0" applyFont="1" applyNumberFormat="1">
      <alignment horizontal="center" vertical="center" wrapText="1"/>
    </xf>
    <xf numFmtId="0" fontId="48" fillId="0" borderId="15" xfId="0" applyFont="1" applyBorder="1" applyNumberFormat="1">
      <alignment horizontal="left" vertical="center" wrapText="1"/>
    </xf>
    <xf numFmtId="0" fontId="22" fillId="0" borderId="12" xfId="0" applyFont="1" applyBorder="1" applyNumberFormat="1">
      <alignment horizontal="center" vertical="center" wrapText="1"/>
    </xf>
    <xf numFmtId="0" fontId="48" fillId="0" borderId="24" xfId="0" applyFont="1" applyBorder="1" applyNumberFormat="1">
      <alignment horizontal="center" vertical="top" wrapText="1"/>
    </xf>
    <xf numFmtId="0" fontId="22" fillId="35" borderId="17" xfId="0" applyFont="1" applyFill="1" applyBorder="1" applyNumberFormat="1">
      <alignment horizontal="left" vertical="center" wrapText="1"/>
    </xf>
    <xf numFmtId="49" fontId="22" fillId="39" borderId="17" xfId="0" applyFont="1" applyFill="1" applyBorder="1" applyNumberFormat="1">
      <alignment horizontal="left" vertical="center" wrapText="1" indent="6"/>
      <protection locked="0"/>
    </xf>
    <xf numFmtId="504" fontId="0" fillId="39" borderId="12" xfId="0" applyFont="1" applyFill="1" applyBorder="1" applyNumberFormat="1">
      <alignment horizontal="center" vertical="center" wrapText="1"/>
      <protection locked="0"/>
    </xf>
    <xf numFmtId="49" fontId="22" fillId="40" borderId="12" xfId="0" applyFont="1" applyFill="1" applyBorder="1" applyNumberFormat="1">
      <alignment horizontal="center" vertical="center"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504" fontId="0" fillId="39" borderId="12" xfId="0" applyFont="1" applyFill="1" applyBorder="1" applyNumberFormat="1">
      <alignment horizontal="center" vertical="center" wrapText="1"/>
      <protection locked="0"/>
    </xf>
    <xf numFmtId="49" fontId="22" fillId="40" borderId="12" xfId="0" applyFont="1" applyFill="1" applyBorder="1" applyNumberFormat="1">
      <alignment horizontal="center" vertical="center" wrapText="1"/>
    </xf>
    <xf numFmtId="49" fontId="48" fillId="0" borderId="12" xfId="0" applyFont="1" applyBorder="1" applyNumberFormat="1">
      <alignment horizontal="center" vertical="center" wrapText="1"/>
    </xf>
    <xf numFmtId="0" fontId="22" fillId="0" borderId="0" xfId="0" applyFont="1" applyNumberFormat="1">
      <alignment horizontal="left" vertical="center"/>
    </xf>
    <xf numFmtId="49" fontId="22" fillId="0" borderId="0" xfId="0" applyFont="1" applyNumberFormat="1">
      <alignment horizontal="left" vertical="center"/>
    </xf>
    <xf numFmtId="0" fontId="22" fillId="0" borderId="0" xfId="0" applyFont="1" applyNumberFormat="1">
      <alignment horizontal="left" vertical="center"/>
    </xf>
    <xf numFmtId="0" fontId="37" fillId="0" borderId="27" xfId="0" applyFont="1" applyBorder="1" applyNumberFormat="1">
      <alignment horizontal="center" vertical="center" wrapText="1"/>
    </xf>
    <xf numFmtId="0" fontId="22" fillId="39" borderId="13" xfId="0" applyFont="1" applyFill="1" applyBorder="1" applyNumberFormat="1">
      <alignment horizontal="center" vertical="center" wrapText="1"/>
      <protection locked="0"/>
    </xf>
    <xf numFmtId="0" fontId="22" fillId="35" borderId="12" xfId="0" applyFont="1" applyFill="1" applyBorder="1" applyNumberFormat="1">
      <alignment horizontal="center" vertical="center" wrapText="1"/>
    </xf>
    <xf numFmtId="0" fontId="22" fillId="35" borderId="29" xfId="0" applyFont="1" applyFill="1" applyBorder="1" applyNumberFormat="1">
      <alignment horizontal="center" vertical="center" wrapText="1"/>
    </xf>
    <xf numFmtId="0" fontId="22" fillId="35" borderId="23" xfId="0" applyFont="1" applyFill="1" applyBorder="1" applyNumberFormat="1">
      <alignment horizontal="center" vertical="center" wrapText="1"/>
    </xf>
    <xf numFmtId="0" fontId="22" fillId="0" borderId="12" xfId="0" applyFont="1" applyBorder="1" applyNumberFormat="1">
      <alignment horizontal="center" vertical="center" wrapText="1"/>
    </xf>
    <xf numFmtId="0" fontId="22" fillId="35" borderId="17" xfId="0" applyFont="1" applyFill="1" applyBorder="1" applyNumberFormat="1">
      <alignment horizontal="left" vertical="center" wrapText="1"/>
    </xf>
    <xf numFmtId="49" fontId="22" fillId="39" borderId="17" xfId="0" applyFont="1" applyFill="1" applyBorder="1" applyNumberFormat="1">
      <alignment horizontal="left" vertical="center" wrapText="1" indent="6"/>
      <protection locked="0"/>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0" fontId="22" fillId="0" borderId="0" xfId="0" applyFont="1" applyNumberFormat="1">
      <alignment horizontal="left" vertical="top" wrapText="1"/>
    </xf>
    <xf numFmtId="0" fontId="22" fillId="35" borderId="12" xfId="0" applyFont="1" applyFill="1" applyBorder="1" applyNumberFormat="1">
      <alignment horizontal="left" vertical="center" wrapText="1"/>
    </xf>
    <xf numFmtId="0" fontId="111" fillId="0" borderId="0" xfId="0" applyFont="1" applyNumberFormat="1">
      <alignment vertical="center" wrapText="1"/>
    </xf>
    <xf numFmtId="0" fontId="111" fillId="35" borderId="0" xfId="0" applyFont="1" applyFill="1" applyNumberFormat="1">
      <alignment horizontal="center" vertical="center" wrapText="1"/>
    </xf>
    <xf numFmtId="0" fontId="48" fillId="35" borderId="12" xfId="0" applyFont="1" applyFill="1" applyBorder="1" applyNumberFormat="1">
      <alignment horizontal="left" vertical="center" wrapText="1" indent="3"/>
    </xf>
    <xf numFmtId="0" fontId="48" fillId="0" borderId="0" xfId="0" applyFont="1" applyNumberFormat="1">
      <alignment horizontal="center" vertical="center"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49" fontId="22" fillId="36" borderId="36" xfId="0" applyFont="1" applyFill="1" applyBorder="1" applyNumberFormat="1">
      <alignment horizontal="left" vertical="center" wrapText="1" indent="6"/>
      <protection locked="0"/>
    </xf>
    <xf numFmtId="49" fontId="22" fillId="40" borderId="29" xfId="0" applyFont="1" applyFill="1" applyBorder="1" applyNumberFormat="1">
      <alignment horizontal="center" vertical="center" wrapText="1"/>
    </xf>
    <xf numFmtId="49" fontId="40" fillId="37" borderId="27" xfId="0" applyFont="1" applyFill="1" applyBorder="1" applyNumberFormat="1">
      <alignment horizontal="left" vertical="center"/>
    </xf>
    <xf numFmtId="49" fontId="22" fillId="36" borderId="23" xfId="0" applyFont="1" applyFill="1" applyBorder="1" applyNumberFormat="1">
      <alignment horizontal="left" vertical="center" wrapText="1" indent="6"/>
      <protection locked="0"/>
    </xf>
    <xf numFmtId="0" fontId="48" fillId="0" borderId="0" xfId="0" applyFont="1" applyNumberFormat="1">
      <alignment horizontal="center" vertical="center"/>
    </xf>
    <xf numFmtId="0" fontId="48" fillId="0" borderId="0" xfId="0" applyFont="1" applyNumberFormat="1">
      <alignment horizontal="left" vertical="center" wrapText="1" indent="1"/>
    </xf>
    <xf numFmtId="0" fontId="22" fillId="35" borderId="12" xfId="0" applyFont="1" applyFill="1" applyBorder="1" applyNumberFormat="1">
      <alignment horizontal="center" vertical="center" wrapText="1"/>
    </xf>
    <xf numFmtId="0" fontId="48" fillId="0" borderId="19" xfId="0" applyFont="1" applyBorder="1" applyNumberFormat="1">
      <alignment horizontal="left" vertical="center" wrapText="1"/>
    </xf>
    <xf numFmtId="0" fontId="22" fillId="0" borderId="0" xfId="0" applyFont="1" applyNumberFormat="1">
      <alignment horizontal="left" vertical="top" wrapText="1"/>
    </xf>
    <xf numFmtId="0" fontId="47" fillId="0" borderId="0" xfId="0" applyFont="1" applyNumberFormat="1">
      <alignment horizontal="center" vertical="center" wrapText="1"/>
    </xf>
    <xf numFmtId="0" fontId="22" fillId="35" borderId="12" xfId="0" applyFont="1" applyFill="1" applyBorder="1" applyNumberFormat="1">
      <alignment horizontal="left" vertical="center" wrapText="1"/>
    </xf>
    <xf numFmtId="0" fontId="22" fillId="0" borderId="0" xfId="0" applyFont="1" applyNumberFormat="1">
      <alignment horizontal="center" vertical="center" wrapText="1"/>
    </xf>
    <xf numFmtId="0" fontId="48" fillId="0" borderId="0" xfId="0" applyFont="1" applyNumberFormat="1">
      <alignment horizontal="center" vertical="center" wrapText="1"/>
    </xf>
    <xf numFmtId="49" fontId="22" fillId="0" borderId="12" xfId="0" applyFont="1" applyBorder="1" applyNumberFormat="1">
      <alignment horizontal="left" vertical="center" wrapText="1"/>
    </xf>
    <xf numFmtId="0" fontId="48" fillId="0" borderId="0" xfId="0" applyFont="1" applyNumberFormat="1">
      <alignment horizontal="center" vertical="center"/>
    </xf>
    <xf numFmtId="0" fontId="47" fillId="0" borderId="0" xfId="0" applyFont="1" applyNumberFormat="1">
      <alignment horizontal="center" vertical="center" wrapText="1"/>
    </xf>
    <xf numFmtId="0" fontId="22" fillId="0" borderId="0" xfId="0" applyFont="1" applyNumberFormat="1">
      <alignment horizontal="right" vertical="center" wrapText="1"/>
    </xf>
    <xf numFmtId="0" fontId="22" fillId="0" borderId="17" xfId="0" applyFont="1" applyBorder="1" applyNumberFormat="1">
      <alignment horizontal="center" vertical="center" wrapText="1"/>
    </xf>
    <xf numFmtId="0" fontId="0" fillId="0" borderId="12" xfId="0" applyFont="1" applyBorder="1" applyNumberFormat="1">
      <alignment horizontal="center" vertical="center" wrapText="1"/>
    </xf>
    <xf numFmtId="0" fontId="80" fillId="35" borderId="19" xfId="0" applyFont="1" applyFill="1" applyBorder="1" applyNumberFormat="1">
      <alignment horizontal="center" vertical="center" wrapText="1"/>
    </xf>
    <xf numFmtId="49" fontId="22" fillId="0" borderId="0" xfId="0" applyFont="1" applyNumberFormat="1">
      <alignment vertical="center" wrapText="1"/>
    </xf>
    <xf numFmtId="49" fontId="22" fillId="40"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49" fontId="48" fillId="0" borderId="12" xfId="0" applyFont="1" applyBorder="1" applyNumberFormat="1">
      <alignment horizontal="center" vertical="center" wrapText="1"/>
    </xf>
    <xf numFmtId="0" fontId="22" fillId="35" borderId="12" xfId="0" applyFont="1" applyFill="1" applyBorder="1" applyNumberFormat="1">
      <alignment horizontal="center" vertical="center" wrapText="1"/>
    </xf>
    <xf numFmtId="0" fontId="22" fillId="0" borderId="0" xfId="0" applyFont="1" applyNumberFormat="1">
      <alignment horizontal="left" vertical="top" wrapText="1"/>
    </xf>
    <xf numFmtId="0" fontId="22" fillId="0" borderId="12" xfId="0" applyFont="1" applyBorder="1" applyNumberFormat="1">
      <alignment horizontal="center" vertical="center" wrapText="1"/>
    </xf>
    <xf numFmtId="49" fontId="22" fillId="35" borderId="12" xfId="0" applyFont="1" applyFill="1" applyBorder="1" applyNumberFormat="1">
      <alignment horizontal="center" vertical="center" wrapText="1"/>
    </xf>
    <xf numFmtId="0" fontId="47" fillId="0" borderId="0" xfId="0" applyFont="1" applyNumberFormat="1">
      <alignment horizontal="center" vertical="center" wrapText="1"/>
    </xf>
    <xf numFmtId="49" fontId="22" fillId="35" borderId="12" xfId="0" applyFont="1" applyFill="1" applyBorder="1" applyNumberFormat="1">
      <alignment horizontal="center" vertical="center" wrapText="1"/>
    </xf>
    <xf numFmtId="0" fontId="47" fillId="0" borderId="0" xfId="0" applyFont="1" applyNumberFormat="1">
      <alignment horizontal="center" vertical="center" wrapText="1"/>
    </xf>
    <xf numFmtId="49" fontId="22" fillId="0" borderId="0" xfId="0" applyFont="1" applyNumberFormat="1">
      <alignment vertical="center" wrapText="1"/>
    </xf>
    <xf numFmtId="0" fontId="80" fillId="35" borderId="19" xfId="0" applyFont="1" applyFill="1" applyBorder="1" applyNumberFormat="1">
      <alignment horizontal="center" vertical="center" wrapText="1"/>
    </xf>
    <xf numFmtId="49" fontId="48" fillId="0" borderId="0" xfId="0" applyFont="1" applyNumberFormat="1">
      <alignment horizontal="center" vertical="center" wrapText="1"/>
    </xf>
    <xf numFmtId="49" fontId="22" fillId="0" borderId="0" xfId="0" applyFont="1" applyNumberFormat="1">
      <alignment horizontal="center" vertical="center" wrapText="1"/>
    </xf>
    <xf numFmtId="0" fontId="22" fillId="0" borderId="28" xfId="0" applyFont="1" applyBorder="1" applyNumberFormat="1">
      <alignment horizontal="center" vertical="center" wrapText="1"/>
    </xf>
    <xf numFmtId="0" fontId="22" fillId="39" borderId="12" xfId="0" applyFont="1" applyFill="1" applyBorder="1" applyNumberFormat="1">
      <alignment horizontal="left" vertical="center" wrapText="1" indent="2"/>
      <protection locked="0"/>
    </xf>
    <xf numFmtId="0" fontId="22" fillId="0" borderId="12" xfId="0" applyFont="1" applyBorder="1" applyNumberFormat="1">
      <alignment horizontal="center" vertical="center" wrapText="1"/>
    </xf>
    <xf numFmtId="0" fontId="22" fillId="0" borderId="12" xfId="0" applyFont="1" applyBorder="1" applyNumberFormat="1">
      <alignment vertical="center" wrapText="1"/>
    </xf>
    <xf numFmtId="0" fontId="84" fillId="0" borderId="0" xfId="0" applyFont="1" applyNumberFormat="1">
      <alignment vertical="center" wrapText="1"/>
    </xf>
    <xf numFmtId="0" fontId="48" fillId="0" borderId="28" xfId="0" applyFont="1" applyBorder="1" applyNumberFormat="1">
      <alignment horizontal="center" vertical="center" wrapText="1"/>
    </xf>
    <xf numFmtId="0" fontId="48" fillId="0" borderId="12" xfId="0" applyFont="1" applyBorder="1" applyNumberFormat="1">
      <alignment horizontal="left" vertical="center" wrapText="1" indent="2"/>
    </xf>
    <xf numFmtId="0" fontId="48" fillId="0" borderId="12" xfId="0" applyFont="1" applyBorder="1" applyNumberFormat="1">
      <alignment horizontal="center" vertical="center" wrapText="1"/>
    </xf>
    <xf numFmtId="0" fontId="48" fillId="0" borderId="12" xfId="0" applyFont="1" applyBorder="1" applyNumberFormat="1">
      <alignment vertical="center" wrapText="1"/>
    </xf>
    <xf numFmtId="0" fontId="22" fillId="0" borderId="12" xfId="0" applyFont="1" applyBorder="1" applyNumberFormat="1">
      <alignment horizontal="left" vertical="center" wrapText="1" indent="3"/>
    </xf>
    <xf numFmtId="49" fontId="22" fillId="39" borderId="12" xfId="0" applyFont="1" applyFill="1" applyBorder="1" applyNumberFormat="1">
      <alignment horizontal="center" vertical="center" wrapText="1"/>
      <protection locked="0"/>
    </xf>
    <xf numFmtId="4" fontId="22" fillId="36" borderId="12" xfId="0" applyFont="1" applyFill="1" applyBorder="1" applyNumberFormat="1">
      <alignment horizontal="right" vertical="center" wrapText="1"/>
      <protection locked="0"/>
    </xf>
    <xf numFmtId="0" fontId="22" fillId="36" borderId="12" xfId="0" applyFont="1" applyFill="1" applyBorder="1" applyNumberFormat="1">
      <alignment horizontal="left" vertical="center" wrapText="1"/>
      <protection locked="0"/>
    </xf>
    <xf numFmtId="49" fontId="91" fillId="0" borderId="0" xfId="0" applyFont="1" applyNumberFormat="1">
      <alignment horizontal="center" vertical="center" wrapText="1"/>
    </xf>
    <xf numFmtId="49" fontId="22" fillId="0" borderId="0" xfId="0" applyFont="1" applyNumberFormat="1">
      <alignment horizontal="center" vertical="top" wrapText="1"/>
    </xf>
    <xf numFmtId="0" fontId="22" fillId="0" borderId="12" xfId="0" applyFont="1" applyBorder="1" applyNumberFormat="1">
      <alignment horizontal="center" vertical="center" wrapText="1"/>
    </xf>
    <xf numFmtId="0" fontId="22" fillId="0" borderId="13" xfId="0" applyFont="1" applyBorder="1" applyNumberFormat="1">
      <alignment vertical="top" wrapText="1"/>
    </xf>
    <xf numFmtId="0" fontId="54" fillId="0" borderId="0" xfId="0" applyFont="1" applyNumberFormat="1">
      <alignment vertical="center" wrapText="1"/>
    </xf>
    <xf numFmtId="0" fontId="22" fillId="0" borderId="13" xfId="0" applyFont="1" applyBorder="1" applyNumberFormat="1">
      <alignment horizontal="center" vertical="center" wrapText="1"/>
    </xf>
    <xf numFmtId="503" fontId="22" fillId="36" borderId="12" xfId="0" applyFont="1" applyFill="1" applyBorder="1" applyNumberFormat="1">
      <alignment horizontal="right" vertical="center" wrapText="1"/>
      <protection locked="0"/>
    </xf>
    <xf numFmtId="0" fontId="22" fillId="0" borderId="20" xfId="0" applyFont="1" applyBorder="1" applyNumberFormat="1">
      <alignment vertical="center" wrapText="1"/>
    </xf>
    <xf numFmtId="0" fontId="32" fillId="0" borderId="0" xfId="0" applyFont="1" applyNumberFormat="1">
      <alignment vertical="center" wrapText="1"/>
    </xf>
    <xf numFmtId="0" fontId="46" fillId="0" borderId="0" xfId="0" applyFont="1" applyNumberFormat="1">
      <alignment vertical="center" wrapText="1"/>
    </xf>
    <xf numFmtId="0" fontId="22" fillId="0" borderId="0" xfId="0" applyFont="1" applyNumberFormat="1">
      <alignment horizontal="left" vertical="center" wrapText="1" indent="3"/>
    </xf>
    <xf numFmtId="0" fontId="97" fillId="35" borderId="0" xfId="0" applyFont="1" applyFill="1" applyNumberFormat="1">
      <alignment horizontal="right" vertical="center"/>
    </xf>
    <xf numFmtId="0" fontId="22" fillId="0" borderId="14" xfId="0" applyFont="1" applyBorder="1" applyNumberFormat="1">
      <alignment vertical="center" wrapText="1"/>
    </xf>
    <xf numFmtId="0" fontId="22" fillId="0" borderId="15" xfId="0" applyFont="1" applyBorder="1" applyNumberFormat="1">
      <alignment horizontal="right" vertical="center" wrapText="1" indent="1"/>
    </xf>
    <xf numFmtId="0" fontId="22" fillId="0" borderId="13" xfId="0" applyFont="1" applyBorder="1" applyNumberFormat="1">
      <alignment horizontal="right" vertical="center" wrapText="1" indent="1"/>
    </xf>
    <xf numFmtId="0" fontId="22" fillId="34" borderId="14" xfId="0" applyFont="1" applyFill="1" applyBorder="1" applyNumberFormat="1">
      <alignment horizontal="left" vertical="top" wrapText="1"/>
    </xf>
    <xf numFmtId="0" fontId="22" fillId="0" borderId="14" xfId="0" applyFont="1" applyBorder="1" applyNumberFormat="1">
      <alignment horizontal="right" vertical="center" wrapText="1"/>
    </xf>
    <xf numFmtId="0" fontId="22" fillId="0" borderId="15" xfId="0" applyFont="1" applyBorder="1" applyNumberFormat="1">
      <alignment horizontal="right" vertical="center" wrapText="1"/>
    </xf>
    <xf numFmtId="0" fontId="22" fillId="0" borderId="15" xfId="0" applyFont="1" applyBorder="1" applyNumberFormat="1">
      <alignment horizontal="right" vertical="center" wrapText="1" indent="1"/>
    </xf>
    <xf numFmtId="0" fontId="22" fillId="0" borderId="12" xfId="0" applyFont="1" applyBorder="1" applyNumberFormat="1">
      <alignment horizontal="center" vertical="center" wrapText="1"/>
    </xf>
    <xf numFmtId="0" fontId="22" fillId="0" borderId="12" xfId="0" applyFont="1" applyBorder="1" applyNumberFormat="1">
      <alignment horizontal="left" vertical="center" wrapText="1"/>
    </xf>
    <xf numFmtId="0" fontId="22" fillId="0" borderId="12" xfId="0" applyFont="1" applyBorder="1" applyNumberFormat="1">
      <alignment horizontal="center" vertical="center" wrapText="1"/>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0" fontId="22" fillId="0" borderId="12" xfId="0" applyFont="1" applyBorder="1" applyNumberFormat="1">
      <alignment horizontal="left" vertical="center" wrapText="1" indent="1"/>
    </xf>
    <xf numFmtId="49" fontId="91" fillId="46" borderId="0" xfId="0" applyFont="1" applyFill="1" applyNumberFormat="1">
      <alignment horizontal="center" vertical="center" textRotation="90" wrapText="1"/>
    </xf>
    <xf numFmtId="0" fontId="72" fillId="0" borderId="0" xfId="0" applyFont="1" applyNumberFormat="1">
      <alignment horizontal="center" vertical="center" wrapTex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pplyNumberFormat="1">
      <alignment horizontal="left" vertical="center" wrapText="1" indent="2"/>
    </xf>
    <xf numFmtId="0" fontId="72" fillId="0" borderId="12" xfId="0" applyFont="1" applyBorder="1" applyNumberFormat="1">
      <alignment horizontal="center" vertical="center" wrapText="1"/>
    </xf>
    <xf numFmtId="0" fontId="72" fillId="0" borderId="12" xfId="0" applyFont="1" applyBorder="1" applyNumberFormat="1">
      <alignment vertical="center" wrapText="1"/>
    </xf>
    <xf numFmtId="0" fontId="85" fillId="0" borderId="0" xfId="0" applyFont="1" applyNumberFormat="1">
      <alignment vertical="center" wrapText="1"/>
    </xf>
    <xf numFmtId="0" fontId="63" fillId="0" borderId="0" xfId="0" applyFont="1" applyNumberFormat="1">
      <alignment vertical="center" wrapText="1"/>
    </xf>
    <xf numFmtId="0" fontId="72" fillId="0" borderId="28" xfId="0" applyFont="1" applyBorder="1" applyNumberFormat="1">
      <alignment horizontal="center" vertical="center" wrapText="1"/>
    </xf>
    <xf numFmtId="0" fontId="72" fillId="0" borderId="12" xfId="0" applyFont="1" applyBorder="1" applyNumberFormat="1">
      <alignment horizontal="left" vertical="center" wrapText="1" indent="3"/>
    </xf>
    <xf numFmtId="4" fontId="72" fillId="0" borderId="12" xfId="0" applyFont="1" applyBorder="1" applyNumberFormat="1">
      <alignment horizontal="right" vertical="center" wrapText="1"/>
    </xf>
    <xf numFmtId="0" fontId="37" fillId="0" borderId="0" xfId="0" applyFont="1" applyNumberFormat="1">
      <alignment horizontal="center" vertical="center" wrapText="1"/>
    </xf>
    <xf numFmtId="49" fontId="22" fillId="37" borderId="14" xfId="0" applyFont="1" applyFill="1" applyBorder="1" applyNumberFormat="1">
      <alignment vertical="center" wrapText="1"/>
    </xf>
    <xf numFmtId="0" fontId="22" fillId="37" borderId="15" xfId="0" applyFont="1" applyFill="1" applyBorder="1" applyNumberFormat="1">
      <alignment vertical="center" wrapText="1"/>
    </xf>
    <xf numFmtId="0" fontId="47" fillId="37" borderId="13" xfId="0" applyFont="1" applyFill="1" applyBorder="1" applyNumberFormat="1">
      <alignment vertical="center" wrapText="1"/>
    </xf>
    <xf numFmtId="0" fontId="22" fillId="0" borderId="12" xfId="0" applyFont="1" applyBorder="1" applyNumberFormat="1">
      <alignment horizontal="left" vertical="center" wrapText="1" indent="2"/>
    </xf>
    <xf numFmtId="14" fontId="22" fillId="0" borderId="0" xfId="0" applyFont="1" applyNumberFormat="1">
      <alignment horizontal="center" vertical="center" wrapText="1"/>
    </xf>
    <xf numFmtId="49" fontId="91" fillId="46" borderId="0" xfId="0" applyFont="1" applyFill="1" applyNumberFormat="1">
      <alignment horizontal="center" vertical="center" wrapText="1"/>
    </xf>
    <xf numFmtId="49" fontId="50" fillId="0" borderId="0" xfId="0" applyFont="1" applyNumberFormat="1">
      <alignment horizontal="center" vertical="center"/>
    </xf>
    <xf numFmtId="503" fontId="22" fillId="39" borderId="12" xfId="0" applyFont="1" applyFill="1" applyBorder="1" applyNumberFormat="1">
      <alignment horizontal="right" vertical="center" wrapText="1"/>
      <protection locked="0"/>
    </xf>
    <xf numFmtId="0" fontId="47" fillId="0" borderId="0" xfId="0" applyFont="1" applyNumberFormat="1">
      <alignment horizontal="left" vertical="center" wrapText="1"/>
    </xf>
    <xf numFmtId="49" fontId="91" fillId="0" borderId="0" xfId="0" applyFont="1" applyNumberFormat="1">
      <alignment horizontal="left" vertical="center" wrapText="1"/>
    </xf>
    <xf numFmtId="0" fontId="48" fillId="0" borderId="0" xfId="0" applyFont="1" applyNumberFormat="1">
      <alignment horizontal="left" vertical="center" wrapText="1"/>
    </xf>
    <xf numFmtId="49" fontId="22" fillId="0" borderId="0" xfId="0" applyFont="1" applyNumberFormat="1">
      <alignment horizontal="left" vertical="center" wrapText="1"/>
    </xf>
    <xf numFmtId="0" fontId="54" fillId="0" borderId="0" xfId="0" applyFont="1" applyNumberFormat="1">
      <alignment horizontal="left" vertical="center" wrapText="1"/>
    </xf>
    <xf numFmtId="0" fontId="32" fillId="0" borderId="0" xfId="0" applyFont="1" applyNumberFormat="1">
      <alignment horizontal="left" vertical="center" wrapText="1"/>
    </xf>
    <xf numFmtId="49" fontId="22" fillId="40" borderId="12" xfId="0" applyFont="1" applyFill="1" applyBorder="1" applyNumberFormat="1">
      <alignment horizontal="left" vertical="center" wrapText="1"/>
    </xf>
    <xf numFmtId="0" fontId="22" fillId="0" borderId="17" xfId="0" applyFont="1" applyBorder="1" applyNumberFormat="1">
      <alignment horizontal="center" vertical="center" wrapText="1"/>
    </xf>
    <xf numFmtId="4" fontId="22" fillId="34" borderId="17" xfId="0" applyFont="1" applyFill="1" applyBorder="1" applyNumberFormat="1">
      <alignment horizontal="right" vertical="center" wrapText="1"/>
    </xf>
    <xf numFmtId="0" fontId="48" fillId="0" borderId="12" xfId="0" applyFont="1" applyBorder="1" applyNumberFormat="1">
      <alignment horizontal="left" vertical="center" wrapText="1" indent="3"/>
    </xf>
    <xf numFmtId="49" fontId="48" fillId="0" borderId="12" xfId="0" applyFont="1" applyBorder="1" applyNumberFormat="1">
      <alignment vertical="center" wrapText="1"/>
    </xf>
    <xf numFmtId="0" fontId="48" fillId="0" borderId="17" xfId="0" applyFont="1" applyBorder="1" applyNumberFormat="1">
      <alignment vertical="top" wrapText="1"/>
    </xf>
    <xf numFmtId="0" fontId="22" fillId="0" borderId="17" xfId="0" applyFont="1" applyBorder="1" applyNumberFormat="1">
      <alignment horizontal="center" vertical="center" wrapText="1"/>
    </xf>
    <xf numFmtId="0" fontId="22" fillId="0" borderId="14" xfId="0" applyFont="1" applyBorder="1" applyNumberFormat="1">
      <alignment horizontal="left" vertical="center" wrapText="1" indent="2"/>
    </xf>
    <xf numFmtId="0" fontId="22" fillId="0" borderId="12" xfId="0" applyFont="1" applyBorder="1" applyNumberFormat="1">
      <alignment horizontal="center" vertical="center" wrapText="1"/>
    </xf>
    <xf numFmtId="4" fontId="22" fillId="39" borderId="13" xfId="0" applyFont="1" applyFill="1" applyBorder="1" applyNumberFormat="1">
      <alignment horizontal="right" vertical="center" wrapText="1"/>
      <protection locked="0"/>
    </xf>
    <xf numFmtId="0" fontId="22" fillId="0" borderId="14" xfId="0" applyFont="1" applyBorder="1" applyNumberFormat="1">
      <alignment horizontal="left" vertical="center" wrapText="1" indent="1"/>
    </xf>
    <xf numFmtId="0" fontId="22" fillId="0" borderId="14" xfId="0" applyFont="1" applyBorder="1" applyNumberFormat="1">
      <alignment horizontal="left" vertical="center" wrapText="1"/>
    </xf>
    <xf numFmtId="0" fontId="22" fillId="0" borderId="23" xfId="0" applyFont="1" applyBorder="1" applyNumberFormat="1">
      <alignment horizontal="center" vertical="center" wrapText="1"/>
    </xf>
    <xf numFmtId="49" fontId="53" fillId="36" borderId="13" xfId="0" applyFont="1" applyFill="1" applyBorder="1" applyNumberFormat="1">
      <alignment horizontal="left" vertical="center" wrapText="1"/>
      <protection locked="0"/>
    </xf>
    <xf numFmtId="49" fontId="53" fillId="36" borderId="12" xfId="0" applyFont="1" applyFill="1" applyBorder="1" applyNumberFormat="1">
      <alignment horizontal="left" vertical="center" wrapText="1"/>
      <protection locked="0"/>
    </xf>
    <xf numFmtId="0" fontId="48" fillId="0" borderId="0" xfId="0" applyFont="1" applyNumberFormat="1">
      <alignment vertical="center" wrapText="1"/>
    </xf>
    <xf numFmtId="49" fontId="22" fillId="0" borderId="0" xfId="0" applyFont="1" applyNumberFormat="1">
      <alignment horizontal="center" vertical="center" wrapText="1"/>
    </xf>
    <xf numFmtId="0" fontId="22" fillId="0" borderId="12" xfId="0" applyFont="1" applyBorder="1" applyNumberFormat="1">
      <alignment horizontal="center" vertical="center" wrapText="1"/>
    </xf>
    <xf numFmtId="503" fontId="22" fillId="39" borderId="13" xfId="0" applyFont="1" applyFill="1" applyBorder="1" applyNumberFormat="1">
      <alignment horizontal="right" vertical="center" wrapText="1"/>
      <protection locked="0"/>
    </xf>
    <xf numFmtId="0" fontId="84" fillId="0" borderId="0" xfId="0" applyFont="1" applyNumberFormat="1">
      <alignment vertical="center" wrapText="1"/>
    </xf>
    <xf numFmtId="0" fontId="54" fillId="0" borderId="0" xfId="0" applyFont="1" applyNumberFormat="1">
      <alignment vertical="center" wrapText="1"/>
    </xf>
    <xf numFmtId="0" fontId="32" fillId="0" borderId="0" xfId="0" applyFont="1" applyNumberFormat="1">
      <alignment vertical="center" wrapText="1"/>
    </xf>
    <xf numFmtId="0" fontId="47" fillId="0" borderId="0" xfId="0" applyFont="1" applyNumberFormat="1">
      <alignment vertical="center" wrapText="1"/>
    </xf>
    <xf numFmtId="49" fontId="50" fillId="0" borderId="0" xfId="0" applyFont="1" applyNumberFormat="1">
      <alignment horizontal="center" vertical="center"/>
    </xf>
    <xf numFmtId="0" fontId="22" fillId="0" borderId="0" xfId="0" applyFont="1" applyNumberFormat="1">
      <alignment vertical="center" wrapText="1"/>
    </xf>
    <xf numFmtId="503" fontId="22" fillId="34" borderId="13" xfId="0" applyFont="1" applyFill="1" applyBorder="1" applyNumberFormat="1">
      <alignment horizontal="right" vertical="center" wrapText="1"/>
    </xf>
    <xf numFmtId="503" fontId="22" fillId="34" borderId="12" xfId="0" applyFont="1" applyFill="1" applyBorder="1" applyNumberFormat="1">
      <alignment horizontal="right" vertical="center" wrapText="1"/>
    </xf>
    <xf numFmtId="49" fontId="91" fillId="46" borderId="0" xfId="0" applyFont="1" applyFill="1" applyNumberFormat="1">
      <alignment horizontal="center" vertical="center" textRotation="90" wrapText="1"/>
    </xf>
    <xf numFmtId="0" fontId="22" fillId="39" borderId="12" xfId="0" applyFont="1" applyFill="1" applyBorder="1" applyNumberFormat="1">
      <alignment horizontal="center" vertical="center" wrapText="1"/>
      <protection locked="0"/>
    </xf>
    <xf numFmtId="4" fontId="22" fillId="39" borderId="29"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0" fontId="48" fillId="0" borderId="36" xfId="0" applyFont="1" applyBorder="1" applyNumberFormat="1">
      <alignment horizontal="left" vertical="center" wrapText="1" indent="1"/>
    </xf>
    <xf numFmtId="0" fontId="48" fillId="0" borderId="36" xfId="0" applyFont="1" applyBorder="1" applyNumberFormat="1">
      <alignment horizontal="center" vertical="center" wrapText="1"/>
    </xf>
    <xf numFmtId="0" fontId="48" fillId="0" borderId="17" xfId="0" applyFont="1" applyBorder="1" applyNumberFormat="1">
      <alignment vertical="center" wrapText="1"/>
    </xf>
    <xf numFmtId="49" fontId="22" fillId="37" borderId="37" xfId="0" applyFont="1" applyFill="1" applyBorder="1" applyNumberFormat="1">
      <alignment vertical="center" wrapText="1"/>
    </xf>
    <xf numFmtId="49" fontId="40" fillId="37" borderId="19" xfId="0" applyFont="1" applyFill="1" applyBorder="1" applyNumberFormat="1">
      <alignment horizontal="left" vertical="center" indent="1"/>
    </xf>
    <xf numFmtId="0" fontId="22" fillId="0" borderId="23" xfId="0" applyFont="1" applyBorder="1" applyNumberFormat="1">
      <alignment vertical="top" wrapText="1"/>
    </xf>
    <xf numFmtId="0" fontId="22" fillId="0" borderId="13" xfId="0" applyFont="1" applyBorder="1" applyNumberFormat="1">
      <alignment horizontal="center" vertical="center" wrapText="1"/>
    </xf>
    <xf numFmtId="0" fontId="22" fillId="0" borderId="13" xfId="0" applyFont="1" applyBorder="1" applyNumberFormat="1">
      <alignment horizontal="center" vertical="center" wrapText="1"/>
    </xf>
    <xf numFmtId="0" fontId="22" fillId="0" borderId="20" xfId="0" applyFont="1" applyBorder="1" applyNumberFormat="1">
      <alignment horizontal="center" vertical="center" wrapText="1"/>
    </xf>
    <xf numFmtId="503" fontId="22" fillId="39" borderId="17" xfId="0" applyFont="1" applyFill="1" applyBorder="1" applyNumberFormat="1">
      <alignment horizontal="right" vertical="center" wrapText="1"/>
      <protection locked="0"/>
    </xf>
    <xf numFmtId="0" fontId="48" fillId="0" borderId="23" xfId="0" applyFont="1" applyBorder="1" applyNumberFormat="1">
      <alignment horizontal="left" vertical="center" wrapText="1" indent="1"/>
    </xf>
    <xf numFmtId="0" fontId="48" fillId="0" borderId="17" xfId="0" applyFont="1" applyBorder="1" applyNumberFormat="1">
      <alignment horizontal="center" vertical="center" wrapText="1"/>
    </xf>
    <xf numFmtId="0" fontId="37" fillId="0" borderId="0" xfId="0" applyFont="1" applyNumberFormat="1">
      <alignment horizontal="center" vertical="center" wrapText="1"/>
    </xf>
    <xf numFmtId="49" fontId="22" fillId="37" borderId="37" xfId="0" applyFont="1" applyFill="1" applyBorder="1" applyNumberFormat="1">
      <alignment vertical="center" wrapText="1"/>
    </xf>
    <xf numFmtId="49" fontId="40" fillId="37" borderId="19" xfId="0" applyFont="1" applyFill="1" applyBorder="1" applyNumberFormat="1">
      <alignment horizontal="left" vertical="center" indent="1"/>
    </xf>
    <xf numFmtId="0" fontId="22" fillId="37" borderId="15" xfId="0" applyFont="1" applyFill="1" applyBorder="1" applyNumberFormat="1">
      <alignment vertical="center" wrapText="1"/>
    </xf>
    <xf numFmtId="0" fontId="47" fillId="37" borderId="13" xfId="0" applyFont="1" applyFill="1" applyBorder="1" applyNumberFormat="1">
      <alignment vertical="center" wrapText="1"/>
    </xf>
    <xf numFmtId="0" fontId="22" fillId="0" borderId="23" xfId="0" applyFont="1" applyBorder="1" applyNumberFormat="1">
      <alignment vertical="top" wrapText="1"/>
    </xf>
    <xf numFmtId="0" fontId="48" fillId="0" borderId="17" xfId="0" applyFont="1" applyBorder="1" applyNumberFormat="1">
      <alignment horizontal="left" vertical="center" wrapText="1" indent="1"/>
    </xf>
    <xf numFmtId="49" fontId="53" fillId="36" borderId="12" xfId="0" applyFont="1" applyFill="1" applyBorder="1" applyNumberFormat="1">
      <alignment horizontal="left" vertical="center" wrapText="1"/>
      <protection locked="0"/>
    </xf>
    <xf numFmtId="0" fontId="22" fillId="0" borderId="0" xfId="0" applyFont="1" applyNumberFormat="1">
      <alignment vertical="top" wrapText="1"/>
    </xf>
    <xf numFmtId="0" fontId="22" fillId="0" borderId="0" xfId="0" applyFont="1" applyNumberFormat="1">
      <alignment horizontal="left" vertical="top" wrapText="1"/>
    </xf>
    <xf numFmtId="0" fontId="54" fillId="0" borderId="0" xfId="0" applyFont="1" applyNumberFormat="1">
      <alignment vertical="center"/>
    </xf>
    <xf numFmtId="0" fontId="91" fillId="0" borderId="0" xfId="0" applyFont="1" applyNumberFormat="1">
      <alignment vertical="center" wrapText="1"/>
    </xf>
    <xf numFmtId="49" fontId="91" fillId="0" borderId="0" xfId="0" applyFont="1" applyNumberFormat="1">
      <alignment horizontal="center" vertical="center" wrapText="1"/>
    </xf>
    <xf numFmtId="0" fontId="54" fillId="0" borderId="0" xfId="0" applyFont="1" applyNumberFormat="1">
      <alignment vertical="center" wrapText="1"/>
    </xf>
    <xf numFmtId="0" fontId="22" fillId="0" borderId="19" xfId="0" applyFont="1" applyBorder="1" applyNumberFormat="1">
      <alignment vertical="center" wrapText="1"/>
    </xf>
    <xf numFmtId="0" fontId="22" fillId="0" borderId="0" xfId="0" applyFont="1" applyNumberFormat="1">
      <alignment horizontal="center" vertical="center" wrapText="1"/>
    </xf>
    <xf numFmtId="49" fontId="32" fillId="0" borderId="0" xfId="0" applyFont="1" applyNumberFormat="1">
      <alignment horizontal="center" vertical="center" wrapText="1"/>
    </xf>
    <xf numFmtId="0" fontId="22" fillId="0" borderId="27" xfId="0" applyFont="1" applyBorder="1" applyNumberFormat="1">
      <alignment vertical="center" wrapText="1"/>
    </xf>
    <xf numFmtId="0" fontId="48" fillId="0" borderId="0" xfId="0" applyFont="1" applyNumberFormat="1">
      <alignment vertical="center" wrapText="1"/>
    </xf>
    <xf numFmtId="0" fontId="32" fillId="0" borderId="0" xfId="0" applyFont="1" applyNumberFormat="1">
      <alignment vertical="center" wrapText="1"/>
    </xf>
    <xf numFmtId="0" fontId="50" fillId="0" borderId="0" xfId="0" applyFont="1" applyNumberFormat="1">
      <alignment horizontal="center" vertical="center" wrapText="1"/>
    </xf>
    <xf numFmtId="49" fontId="63" fillId="0" borderId="0" xfId="0" applyFont="1" applyNumberFormat="1">
      <alignment horizontal="center" vertical="center" wrapText="1"/>
    </xf>
    <xf numFmtId="0" fontId="72" fillId="0" borderId="0" xfId="0" applyFont="1" applyNumberFormat="1">
      <alignment horizontal="center" vertical="center" wrapText="1"/>
    </xf>
    <xf numFmtId="0" fontId="100" fillId="0" borderId="0" xfId="0" applyFont="1" applyNumberFormat="1">
      <alignment horizontal="center" vertical="center" wrapText="1"/>
    </xf>
    <xf numFmtId="0" fontId="101" fillId="35" borderId="0" xfId="0" applyFont="1" applyFill="1" applyNumberFormat="1">
      <alignment horizontal="right" vertical="center"/>
    </xf>
    <xf numFmtId="0" fontId="63" fillId="0" borderId="0" xfId="0" applyFont="1" applyNumberFormat="1">
      <alignment vertical="center" wrapText="1"/>
    </xf>
    <xf numFmtId="0" fontId="71" fillId="0" borderId="0" xfId="0" applyFont="1" applyNumberFormat="1">
      <alignment vertical="center" wrapText="1"/>
    </xf>
    <xf numFmtId="0" fontId="22" fillId="0" borderId="12" xfId="0" applyFont="1" applyBorder="1" applyNumberFormat="1">
      <alignment horizontal="center" vertical="center" wrapText="1"/>
    </xf>
    <xf numFmtId="49" fontId="48" fillId="0" borderId="0" xfId="0" applyFont="1" applyNumberFormat="1">
      <alignment horizontal="center" vertical="center" wrapText="1"/>
    </xf>
    <xf numFmtId="49" fontId="48" fillId="0" borderId="0" xfId="0" applyFont="1" applyNumberFormat="1">
      <alignment horizontal="center" vertical="center" wrapText="1"/>
    </xf>
    <xf numFmtId="49" fontId="32" fillId="0" borderId="0" xfId="0" applyFont="1" applyNumberFormat="1">
      <alignment horizontal="center" vertical="center" wrapText="1"/>
    </xf>
    <xf numFmtId="49" fontId="22" fillId="0" borderId="0" xfId="0" applyFont="1" applyNumberFormat="1">
      <alignment horizontal="center" vertical="center" wrapText="1"/>
    </xf>
    <xf numFmtId="4" fontId="22" fillId="0" borderId="0" xfId="0" applyFont="1" applyNumberFormat="1">
      <alignment horizontal="right" vertical="center" wrapText="1"/>
    </xf>
    <xf numFmtId="9" fontId="50" fillId="0" borderId="0" xfId="0" applyFont="1" applyNumberFormat="1">
      <alignment horizontal="center" vertical="center" wrapText="1"/>
    </xf>
    <xf numFmtId="0" fontId="71" fillId="0" borderId="0" xfId="0" applyFont="1" applyNumberFormat="1">
      <alignment vertical="center" wrapText="1"/>
    </xf>
    <xf numFmtId="0" fontId="48" fillId="0" borderId="0" xfId="0" applyFont="1" applyNumberFormat="1">
      <alignment vertical="center" wrapText="1"/>
    </xf>
    <xf numFmtId="0" fontId="32" fillId="0" borderId="0" xfId="0" applyFont="1" applyNumberFormat="1">
      <alignment vertical="center" wrapText="1"/>
    </xf>
    <xf numFmtId="0" fontId="0" fillId="0" borderId="0" xfId="0" applyFont="1" applyNumberFormat="1">
      <alignment vertical="top"/>
    </xf>
    <xf numFmtId="49" fontId="0" fillId="0" borderId="0" xfId="0" applyFont="1" applyNumberFormat="1">
      <alignment vertical="top"/>
    </xf>
    <xf numFmtId="49" fontId="48" fillId="0" borderId="17" xfId="0" applyFont="1" applyBorder="1" applyNumberFormat="1">
      <alignment horizontal="center" vertical="center" wrapText="1"/>
    </xf>
    <xf numFmtId="0" fontId="0" fillId="0" borderId="14" xfId="0" applyFont="1" applyBorder="1" applyNumberFormat="1">
      <alignment horizontal="right" vertical="center" wrapText="1" indent="1"/>
    </xf>
    <xf numFmtId="0" fontId="0" fillId="0" borderId="15" xfId="0" applyFont="1" applyBorder="1" applyNumberFormat="1">
      <alignment horizontal="right" vertical="center" wrapText="1" indent="1"/>
    </xf>
    <xf numFmtId="0" fontId="0" fillId="0" borderId="13" xfId="0" applyFont="1" applyBorder="1" applyNumberFormat="1">
      <alignment horizontal="right" vertical="center" wrapText="1" indent="1"/>
    </xf>
    <xf numFmtId="0" fontId="0" fillId="34" borderId="12" xfId="0" applyFont="1" applyFill="1" applyBorder="1" applyNumberFormat="1">
      <alignment horizontal="left" vertical="center" wrapText="1" indent="1"/>
    </xf>
    <xf numFmtId="0" fontId="22" fillId="0" borderId="13" xfId="0" applyFont="1" applyBorder="1" applyNumberFormat="1">
      <alignment horizontal="left" vertical="center" wrapText="1" indent="1"/>
    </xf>
    <xf numFmtId="49" fontId="48" fillId="0" borderId="22" xfId="0" applyFont="1" applyBorder="1" applyNumberFormat="1">
      <alignment vertical="top"/>
    </xf>
    <xf numFmtId="49" fontId="48" fillId="0" borderId="0" xfId="0" applyFont="1" applyNumberFormat="1">
      <alignment vertical="top"/>
    </xf>
    <xf numFmtId="49" fontId="47" fillId="0" borderId="0" xfId="0" applyFont="1" applyNumberFormat="1">
      <alignment vertical="top"/>
    </xf>
    <xf numFmtId="49" fontId="48" fillId="0" borderId="0" xfId="0" applyFont="1" applyNumberFormat="1">
      <alignment vertical="top"/>
    </xf>
    <xf numFmtId="49" fontId="47" fillId="0" borderId="0" xfId="0" applyFont="1" applyNumberFormat="1">
      <alignment vertical="top"/>
    </xf>
    <xf numFmtId="0" fontId="47" fillId="0" borderId="0" xfId="0" applyFont="1" applyNumberFormat="1">
      <alignment horizontal="center" vertical="top"/>
    </xf>
    <xf numFmtId="49" fontId="47" fillId="0" borderId="0" xfId="0" applyFont="1" applyNumberFormat="1">
      <alignment vertical="top"/>
    </xf>
    <xf numFmtId="0" fontId="47" fillId="0" borderId="0" xfId="0" applyFont="1" applyNumberFormat="1">
      <alignment vertical="top"/>
    </xf>
    <xf numFmtId="0" fontId="74" fillId="0" borderId="0" xfId="0" applyFont="1" applyNumberFormat="1">
      <alignment vertical="top"/>
    </xf>
    <xf numFmtId="0" fontId="87" fillId="0" borderId="0" xfId="0" applyFont="1" applyNumberFormat="1">
      <alignment vertical="top"/>
    </xf>
    <xf numFmtId="49" fontId="48" fillId="0" borderId="36" xfId="0" applyFont="1" applyBorder="1" applyNumberFormat="1">
      <alignment horizontal="center" vertical="center" wrapText="1"/>
    </xf>
    <xf numFmtId="0" fontId="47" fillId="0" borderId="0" xfId="0" applyFont="1" applyNumberFormat="1">
      <alignment horizontal="center" vertical="center" wrapText="1"/>
    </xf>
    <xf numFmtId="0" fontId="22" fillId="0" borderId="23" xfId="0" applyFont="1" applyBorder="1" applyNumberFormat="1">
      <alignment horizontal="left" vertical="center" wrapText="1"/>
    </xf>
    <xf numFmtId="2" fontId="22" fillId="0" borderId="23" xfId="0" applyFont="1" applyBorder="1" applyNumberFormat="1">
      <alignment horizontal="center" vertical="center" wrapText="1"/>
    </xf>
    <xf numFmtId="0" fontId="22" fillId="0" borderId="12" xfId="0" applyFont="1" applyBorder="1" applyNumberFormat="1">
      <alignment horizontal="left" vertical="center" wrapText="1"/>
    </xf>
    <xf numFmtId="49" fontId="48" fillId="0" borderId="22" xfId="0" applyFont="1" applyBorder="1" applyNumberFormat="1">
      <alignment vertical="top"/>
    </xf>
    <xf numFmtId="0" fontId="48" fillId="0" borderId="0" xfId="0" applyFont="1" applyNumberFormat="1">
      <alignment horizontal="center" vertical="center" wrapText="1"/>
    </xf>
    <xf numFmtId="0" fontId="48" fillId="0" borderId="0" xfId="0" applyFont="1" applyNumberFormat="1">
      <alignment horizontal="center" vertical="center" wrapText="1"/>
    </xf>
    <xf numFmtId="0" fontId="48" fillId="0" borderId="12" xfId="0" applyFont="1" applyBorder="1" applyNumberFormat="1">
      <alignment horizontal="left" vertical="center" wrapText="1"/>
    </xf>
    <xf numFmtId="0" fontId="48" fillId="0" borderId="12" xfId="0" applyFont="1" applyBorder="1" applyNumberFormat="1">
      <alignment vertical="center" wrapText="1"/>
    </xf>
    <xf numFmtId="0" fontId="48" fillId="0" borderId="22" xfId="0" applyFont="1" applyBorder="1" applyNumberFormat="1">
      <alignment vertical="center" wrapText="1"/>
    </xf>
    <xf numFmtId="49" fontId="40" fillId="37" borderId="14" xfId="0" applyFont="1" applyFill="1" applyBorder="1" applyNumberFormat="1">
      <alignment horizontal="left" vertical="center"/>
    </xf>
    <xf numFmtId="49" fontId="40" fillId="37" borderId="15" xfId="0" applyFont="1" applyFill="1" applyBorder="1" applyNumberFormat="1">
      <alignment horizontal="left" vertical="center" indent="1"/>
    </xf>
    <xf numFmtId="49" fontId="40" fillId="37" borderId="15" xfId="0" applyFont="1" applyFill="1" applyBorder="1" applyNumberFormat="1">
      <alignment horizontal="left" vertical="center"/>
    </xf>
    <xf numFmtId="49" fontId="40" fillId="37" borderId="13" xfId="0" applyFont="1" applyFill="1" applyBorder="1" applyNumberFormat="1">
      <alignment horizontal="left" vertical="center" indent="1"/>
    </xf>
    <xf numFmtId="0" fontId="22" fillId="0" borderId="23" xfId="0" applyFont="1" applyBorder="1" applyNumberFormat="1">
      <alignment horizontal="left" vertical="center" wrapText="1"/>
    </xf>
    <xf numFmtId="0" fontId="22" fillId="0" borderId="12" xfId="0" applyFont="1" applyBorder="1" applyNumberFormat="1">
      <alignment horizontal="left" vertical="center" wrapText="1"/>
    </xf>
    <xf numFmtId="0" fontId="47" fillId="0" borderId="0" xfId="0" applyFont="1" applyNumberFormat="1">
      <alignment horizontal="center" vertical="top"/>
    </xf>
    <xf numFmtId="0" fontId="48" fillId="0" borderId="0" xfId="0" applyFont="1" applyNumberFormat="1">
      <alignment horizontal="center" vertical="center" wrapText="1"/>
    </xf>
    <xf numFmtId="49" fontId="48" fillId="0" borderId="23" xfId="0" applyFont="1" applyBorder="1" applyNumberFormat="1">
      <alignment horizontal="center" vertical="center" wrapText="1"/>
    </xf>
    <xf numFmtId="49" fontId="40" fillId="0" borderId="19" xfId="0" applyFont="1" applyBorder="1" applyNumberFormat="1">
      <alignment horizontal="right" vertical="center"/>
    </xf>
    <xf numFmtId="0" fontId="22" fillId="0" borderId="0" xfId="0" applyFont="1" applyNumberFormat="1">
      <alignment horizontal="right" vertical="center" wrapText="1"/>
    </xf>
    <xf numFmtId="0" fontId="0" fillId="0" borderId="0" xfId="0" applyFont="1" applyNumberFormat="1">
      <alignment vertical="center"/>
    </xf>
    <xf numFmtId="0" fontId="45" fillId="0" borderId="0" xfId="0" applyFont="1" applyNumberFormat="1">
      <alignment horizontal="right" vertical="top" wrapText="1"/>
    </xf>
    <xf numFmtId="0" fontId="45" fillId="0" borderId="0" xfId="0" applyFont="1" applyNumberFormat="1">
      <alignment horizontal="left" vertical="top" wrapText="1"/>
    </xf>
    <xf numFmtId="49" fontId="32" fillId="0" borderId="0" xfId="0" applyFont="1" applyNumberFormat="1">
      <alignment horizontal="center" vertical="center" wrapText="1"/>
    </xf>
    <xf numFmtId="0" fontId="47" fillId="55" borderId="12" xfId="0" applyFont="1" applyFill="1" applyBorder="1" applyNumberFormat="1">
      <alignment horizontal="left" vertical="center" wrapText="1"/>
    </xf>
    <xf numFmtId="0" fontId="22" fillId="54" borderId="12" xfId="0" applyFont="1" applyFill="1" applyBorder="1" applyNumberFormat="1">
      <alignment vertical="center"/>
    </xf>
    <xf numFmtId="49" fontId="0" fillId="7" borderId="12" xfId="0" applyFont="1" applyFill="1" applyBorder="1" applyNumberFormat="1">
      <alignment horizontal="center" vertical="center" wrapText="1"/>
    </xf>
    <xf numFmtId="49" fontId="0" fillId="7" borderId="12" xfId="0" applyFont="1" applyFill="1" applyBorder="1" applyNumberFormat="1">
      <alignment horizontal="center" vertical="center" wrapText="1"/>
    </xf>
    <xf numFmtId="49" fontId="36"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3" xfId="0" applyFont="1" applyBorder="1" applyNumberFormat="1">
      <alignment horizontal="center" vertical="center" wrapText="1"/>
    </xf>
    <xf numFmtId="49" fontId="126" fillId="0" borderId="17" xfId="0" applyFont="1" applyBorder="1" applyNumberFormat="1">
      <alignment horizontal="center" vertical="center" wrapText="1"/>
    </xf>
    <xf numFmtId="49" fontId="126" fillId="0" borderId="12" xfId="0" applyFont="1" applyBorder="1" applyNumberFormat="1">
      <alignment horizontal="center" vertical="center" wrapText="1"/>
    </xf>
    <xf numFmtId="0" fontId="22" fillId="34" borderId="14" xfId="0" applyFont="1" applyFill="1" applyBorder="1" applyNumberFormat="1">
      <alignment horizontal="left" vertical="top" wrapText="1"/>
    </xf>
    <xf numFmtId="0" fontId="48" fillId="0" borderId="14" xfId="0" applyFont="1" applyBorder="1" applyNumberFormat="1">
      <alignment vertical="center" wrapText="1"/>
    </xf>
    <xf numFmtId="0" fontId="22" fillId="0" borderId="15" xfId="0" applyFont="1" applyBorder="1" applyNumberFormat="1">
      <alignment horizontal="right" vertical="center" wrapText="1" indent="1"/>
    </xf>
    <xf numFmtId="0" fontId="22" fillId="0" borderId="19" xfId="0" applyFont="1" applyBorder="1" applyNumberFormat="1">
      <alignment horizontal="right" vertical="center" wrapText="1" indent="1"/>
    </xf>
    <xf numFmtId="0" fontId="22" fillId="0" borderId="12" xfId="0" applyFont="1" applyBorder="1" applyNumberFormat="1">
      <alignment horizontal="center" vertical="center" wrapText="1"/>
    </xf>
    <xf numFmtId="0" fontId="22" fillId="0" borderId="14" xfId="0" applyFont="1" applyBorder="1" applyNumberFormat="1">
      <alignment horizontal="center" vertical="center" wrapText="1"/>
    </xf>
    <xf numFmtId="0" fontId="22" fillId="0" borderId="12" xfId="0" applyFont="1" applyBorder="1" applyNumberFormat="1">
      <alignment horizontal="center" vertical="center" wrapText="1"/>
    </xf>
    <xf numFmtId="0" fontId="91" fillId="0" borderId="0" xfId="0" applyFont="1" applyNumberFormat="1">
      <alignment horizontal="center" vertical="center" wrapText="1"/>
    </xf>
    <xf numFmtId="49" fontId="22" fillId="0" borderId="0" xfId="0" applyFont="1" applyNumberFormat="1">
      <alignment horizontal="center" vertical="center" wrapText="1"/>
    </xf>
    <xf numFmtId="49" fontId="22" fillId="0" borderId="28" xfId="0" applyFont="1" applyBorder="1" applyNumberFormat="1">
      <alignment horizontal="center" vertical="center" wrapText="1"/>
    </xf>
    <xf numFmtId="0" fontId="22" fillId="0" borderId="12" xfId="0" applyFont="1" applyBorder="1" applyNumberFormat="1">
      <alignment horizontal="left" vertical="center" wrapText="1"/>
    </xf>
    <xf numFmtId="49" fontId="53" fillId="36" borderId="14" xfId="0" applyFont="1" applyFill="1" applyBorder="1" applyNumberFormat="1">
      <alignment horizontal="left" vertical="center" wrapText="1"/>
      <protection locked="0"/>
    </xf>
    <xf numFmtId="49" fontId="22" fillId="0" borderId="57" xfId="0" applyFont="1" applyBorder="1" applyNumberFormat="1">
      <alignment horizontal="center" vertical="center" wrapText="1"/>
    </xf>
    <xf numFmtId="0" fontId="22" fillId="0" borderId="17" xfId="0" applyFont="1" applyBorder="1" applyNumberFormat="1">
      <alignment horizontal="left" vertical="center" wrapText="1"/>
    </xf>
    <xf numFmtId="0" fontId="22" fillId="0" borderId="17" xfId="0" applyFont="1" applyBorder="1" applyNumberFormat="1">
      <alignment horizontal="center" vertical="center" wrapText="1"/>
    </xf>
    <xf numFmtId="4" fontId="22" fillId="39" borderId="37" xfId="0" applyFont="1" applyFill="1" applyBorder="1" applyNumberFormat="1">
      <alignment horizontal="right" vertical="center" wrapText="1"/>
      <protection locked="0"/>
    </xf>
    <xf numFmtId="4" fontId="22" fillId="39" borderId="17" xfId="0" applyFont="1" applyFill="1" applyBorder="1" applyNumberFormat="1">
      <alignment horizontal="right" vertical="center" wrapText="1"/>
      <protection locked="0"/>
    </xf>
    <xf numFmtId="0" fontId="47" fillId="37" borderId="15" xfId="0" applyFont="1" applyFill="1" applyBorder="1" applyNumberFormat="1">
      <alignment vertical="center" wrapText="1"/>
    </xf>
    <xf numFmtId="49" fontId="22" fillId="0" borderId="58" xfId="0" applyFont="1" applyBorder="1" applyNumberFormat="1">
      <alignment horizontal="center" vertical="center" wrapText="1"/>
    </xf>
    <xf numFmtId="0" fontId="22" fillId="0" borderId="15" xfId="0" applyFont="1" applyBorder="1" applyNumberFormat="1">
      <alignment horizontal="center" vertical="center" wrapText="1"/>
    </xf>
    <xf numFmtId="4" fontId="22" fillId="39" borderId="14" xfId="0" applyFont="1" applyFill="1" applyBorder="1" applyNumberFormat="1">
      <alignment horizontal="right" vertical="center" wrapText="1"/>
      <protection locked="0"/>
    </xf>
    <xf numFmtId="49" fontId="22" fillId="0" borderId="59" xfId="0" applyFont="1" applyBorder="1" applyNumberFormat="1">
      <alignment horizontal="center" vertical="center" wrapText="1"/>
    </xf>
    <xf numFmtId="3" fontId="22" fillId="39" borderId="14" xfId="0" applyFont="1" applyFill="1" applyBorder="1" applyNumberFormat="1">
      <alignment horizontal="right" vertical="center" wrapText="1"/>
      <protection locked="0"/>
    </xf>
    <xf numFmtId="0" fontId="22" fillId="0" borderId="17" xfId="0" applyFont="1" applyBorder="1" applyNumberFormat="1">
      <alignment horizontal="left" vertical="center" wrapText="1"/>
    </xf>
    <xf numFmtId="0" fontId="22" fillId="0" borderId="37" xfId="0" applyFont="1" applyBorder="1" applyNumberFormat="1">
      <alignment horizontal="center" vertical="center" wrapText="1"/>
    </xf>
    <xf numFmtId="49" fontId="22" fillId="0" borderId="12" xfId="0" applyFont="1" applyBorder="1" applyNumberFormat="1">
      <alignment horizontal="center" vertical="center" wrapText="1"/>
    </xf>
    <xf numFmtId="0" fontId="22" fillId="0" borderId="12" xfId="0" applyFont="1" applyBorder="1" applyNumberFormat="1">
      <alignment horizontal="left" vertical="center" wrapText="1"/>
    </xf>
    <xf numFmtId="49" fontId="53" fillId="39" borderId="14" xfId="0" applyFont="1" applyFill="1" applyBorder="1" applyNumberFormat="1">
      <alignment horizontal="left" vertical="center" wrapText="1"/>
      <protection locked="0"/>
    </xf>
    <xf numFmtId="0" fontId="22" fillId="0" borderId="0" xfId="0" applyFont="1" applyNumberFormat="1">
      <alignment horizontal="left" vertical="center" wrapText="1" indent="2"/>
    </xf>
    <xf numFmtId="49" fontId="121" fillId="0" borderId="0" xfId="0" applyFont="1" applyNumberFormat="1">
      <alignment horizontal="center" vertical="center" wrapText="1"/>
    </xf>
    <xf numFmtId="49" fontId="0" fillId="35" borderId="12" xfId="0" applyFont="1" applyFill="1" applyBorder="1" applyNumberFormat="1">
      <alignment horizontal="center" vertical="center" wrapText="1"/>
    </xf>
    <xf numFmtId="49" fontId="0" fillId="39" borderId="12" xfId="0" applyFont="1" applyFill="1" applyBorder="1" applyNumberFormat="1">
      <alignment horizontal="left" vertical="center" wrapText="1" indent="1"/>
      <protection locked="0"/>
    </xf>
    <xf numFmtId="0" fontId="22" fillId="0" borderId="12" xfId="0" applyFont="1" applyBorder="1" applyNumberFormat="1">
      <alignment vertical="top" wrapText="1"/>
    </xf>
    <xf numFmtId="0" fontId="22" fillId="35" borderId="0" xfId="0" applyFont="1" applyFill="1" applyNumberFormat="1">
      <alignment horizontal="right" vertical="center" wrapText="1"/>
    </xf>
    <xf numFmtId="0" fontId="64" fillId="0" borderId="0" xfId="0" applyFont="1" applyNumberFormat="1">
      <alignment vertical="center" wrapText="1"/>
    </xf>
    <xf numFmtId="0" fontId="22" fillId="35" borderId="0" xfId="0" applyFont="1" applyFill="1" applyNumberFormat="1">
      <alignment horizontal="right" vertical="center"/>
    </xf>
    <xf numFmtId="0" fontId="22" fillId="35" borderId="14" xfId="0" applyFont="1" applyFill="1" applyBorder="1" applyNumberFormat="1">
      <alignment horizontal="center" vertical="center" wrapText="1"/>
    </xf>
    <xf numFmtId="0" fontId="22" fillId="35" borderId="15" xfId="0" applyFont="1" applyFill="1" applyBorder="1" applyNumberFormat="1">
      <alignment horizontal="center" vertical="center" wrapText="1"/>
    </xf>
    <xf numFmtId="0" fontId="22" fillId="35" borderId="20" xfId="0" applyFont="1" applyFill="1" applyBorder="1" applyNumberFormat="1">
      <alignment horizontal="center" vertical="center" wrapText="1"/>
    </xf>
    <xf numFmtId="0" fontId="22" fillId="35" borderId="12" xfId="0" applyFont="1" applyFill="1" applyBorder="1" applyNumberFormat="1">
      <alignment horizontal="center" vertical="center"/>
    </xf>
    <xf numFmtId="0" fontId="22" fillId="35" borderId="12" xfId="0" applyFont="1" applyFill="1" applyBorder="1" applyNumberFormat="1">
      <alignment horizontal="center" vertical="center" wrapText="1"/>
    </xf>
    <xf numFmtId="0" fontId="0" fillId="0" borderId="12" xfId="0" applyFont="1" applyBorder="1" applyNumberFormat="1">
      <alignment horizontal="center" vertical="center" wrapText="1"/>
    </xf>
    <xf numFmtId="0" fontId="0" fillId="0" borderId="14" xfId="0" applyFont="1" applyBorder="1" applyNumberFormat="1">
      <alignment horizontal="center" vertical="center" wrapText="1"/>
    </xf>
    <xf numFmtId="0" fontId="0" fillId="0" borderId="12" xfId="0" applyFont="1" applyBorder="1" applyNumberFormat="1">
      <alignment horizontal="center" vertical="center" wrapText="1"/>
    </xf>
    <xf numFmtId="0" fontId="0" fillId="0" borderId="12" xfId="0" applyFont="1" applyBorder="1" applyNumberFormat="1">
      <alignment horizontal="left" vertical="top" wrapText="1"/>
    </xf>
    <xf numFmtId="0" fontId="0" fillId="0" borderId="12" xfId="0" applyFont="1" applyBorder="1" applyNumberFormat="1">
      <alignment horizontal="left" vertical="center" wrapText="1"/>
    </xf>
    <xf numFmtId="49" fontId="22" fillId="0" borderId="0" xfId="0" applyFont="1" applyNumberFormat="1">
      <alignment vertical="top"/>
    </xf>
    <xf numFmtId="0" fontId="22" fillId="37" borderId="14" xfId="0" applyFont="1" applyFill="1" applyBorder="1" applyNumberFormat="1">
      <alignment vertical="center" wrapText="1"/>
    </xf>
    <xf numFmtId="49" fontId="44" fillId="37" borderId="13" xfId="0" applyFont="1" applyFill="1" applyBorder="1" applyNumberFormat="1">
      <alignment horizontal="center" vertical="top"/>
    </xf>
    <xf numFmtId="49" fontId="40" fillId="0" borderId="19" xfId="0" applyFont="1" applyBorder="1" applyNumberFormat="1">
      <alignment horizontal="left" vertical="center"/>
    </xf>
    <xf numFmtId="49" fontId="40" fillId="0" borderId="19" xfId="0" applyFont="1" applyBorder="1" applyNumberFormat="1">
      <alignment horizontal="left" vertical="center" indent="2"/>
    </xf>
    <xf numFmtId="49" fontId="44" fillId="0" borderId="19" xfId="0" applyFont="1" applyBorder="1" applyNumberFormat="1">
      <alignment horizontal="center" vertical="top"/>
    </xf>
    <xf numFmtId="0" fontId="22" fillId="0" borderId="0" xfId="0" applyFont="1" applyNumberFormat="1">
      <alignment horizontal="left" vertical="top" wrapText="1"/>
    </xf>
    <xf numFmtId="0" fontId="22" fillId="0" borderId="0" xfId="0" applyFont="1" applyNumberFormat="1">
      <alignment horizontal="right" vertical="top" wrapText="1"/>
    </xf>
    <xf numFmtId="0" fontId="22" fillId="0" borderId="0" xfId="0" applyFont="1" applyNumberFormat="1">
      <alignment horizontal="left" vertical="top" wrapText="1"/>
    </xf>
    <xf numFmtId="49" fontId="22" fillId="0" borderId="0" xfId="0" applyFont="1" applyNumberFormat="1">
      <alignment vertical="center" wrapText="1"/>
    </xf>
    <xf numFmtId="49" fontId="22" fillId="0" borderId="0" xfId="0" applyFont="1" applyNumberFormat="1">
      <alignment vertical="center" wrapText="1"/>
    </xf>
    <xf numFmtId="49" fontId="22" fillId="0" borderId="0" xfId="0" applyFont="1" applyNumberFormat="1">
      <alignment vertical="center" wrapText="1"/>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34" borderId="14" xfId="0" applyFont="1" applyFill="1" applyBorder="1" applyNumberFormat="1">
      <alignment horizontal="left" vertical="top" wrapText="1"/>
    </xf>
    <xf numFmtId="0" fontId="48" fillId="0" borderId="15" xfId="0" applyFont="1" applyBorder="1" applyNumberFormat="1">
      <alignment horizontal="right" vertical="center" wrapText="1" indent="1"/>
    </xf>
    <xf numFmtId="0" fontId="48" fillId="0" borderId="13" xfId="0" applyFont="1" applyBorder="1" applyNumberFormat="1">
      <alignment horizontal="right" vertical="center" wrapText="1" indent="1"/>
    </xf>
    <xf numFmtId="0" fontId="48" fillId="0" borderId="14" xfId="0" applyFont="1" applyBorder="1" applyNumberFormat="1">
      <alignment horizontal="left" vertical="top" wrapText="1"/>
    </xf>
    <xf numFmtId="0" fontId="22" fillId="0" borderId="15" xfId="0" applyFont="1" applyBorder="1" applyNumberFormat="1">
      <alignment horizontal="right" vertical="center" wrapText="1" indent="1"/>
    </xf>
    <xf numFmtId="0" fontId="22" fillId="0" borderId="12" xfId="0" applyFont="1" applyBorder="1" applyNumberFormat="1">
      <alignment horizontal="center" vertical="center" wrapText="1"/>
    </xf>
    <xf numFmtId="0" fontId="22" fillId="0" borderId="12" xfId="0" applyFont="1" applyBorder="1" applyNumberFormat="1">
      <alignment horizontal="left" vertical="center" wrapText="1"/>
    </xf>
    <xf numFmtId="0" fontId="22" fillId="0" borderId="12" xfId="0" applyFont="1" applyBorder="1" applyNumberFormat="1">
      <alignment horizontal="left" vertical="center" wrapText="1" indent="1"/>
    </xf>
    <xf numFmtId="0" fontId="22" fillId="0" borderId="13" xfId="0" applyFont="1" applyBorder="1" applyNumberFormat="1">
      <alignment horizontal="center" vertical="center" wrapText="1"/>
    </xf>
    <xf numFmtId="0" fontId="22" fillId="0" borderId="13" xfId="0" applyFont="1" applyBorder="1" applyNumberFormat="1">
      <alignment horizontal="center" vertical="center" wrapText="1"/>
    </xf>
    <xf numFmtId="0" fontId="22" fillId="0" borderId="17" xfId="0" applyFont="1" applyBorder="1" applyNumberFormat="1">
      <alignment horizontal="center" vertical="center" wrapText="1"/>
    </xf>
    <xf numFmtId="49" fontId="40" fillId="37" borderId="19" xfId="0" applyFont="1" applyFill="1" applyBorder="1" applyNumberFormat="1">
      <alignment horizontal="left" vertical="center" indent="2"/>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34" borderId="14" xfId="0" applyFont="1" applyFill="1" applyBorder="1" applyNumberFormat="1">
      <alignment horizontal="left" vertical="top" wrapText="1"/>
    </xf>
    <xf numFmtId="0" fontId="22" fillId="0" borderId="15" xfId="0" applyFont="1" applyBorder="1" applyNumberFormat="1">
      <alignment horizontal="right" vertical="center" wrapText="1" indent="1"/>
    </xf>
    <xf numFmtId="0" fontId="22" fillId="0" borderId="12" xfId="0" applyFont="1" applyBorder="1" applyNumberFormat="1">
      <alignment horizontal="center" vertical="center" wrapText="1"/>
    </xf>
    <xf numFmtId="0" fontId="22" fillId="0" borderId="17" xfId="0" applyFont="1" applyBorder="1" applyNumberFormat="1">
      <alignment horizontal="left" vertical="center" wrapText="1"/>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0" fontId="22" fillId="0" borderId="17" xfId="0" applyFont="1" applyBorder="1" applyNumberFormat="1">
      <alignment horizontal="left" vertical="center" wrapText="1" indent="1"/>
    </xf>
    <xf numFmtId="0" fontId="22" fillId="0" borderId="17" xfId="0" applyFont="1" applyBorder="1" applyNumberFormat="1">
      <alignment horizontal="center" vertical="center" wrapText="1"/>
    </xf>
    <xf numFmtId="49" fontId="0" fillId="0" borderId="12" xfId="0" applyFont="1" applyBorder="1" applyNumberFormat="1">
      <alignment vertical="center" wrapText="1"/>
    </xf>
    <xf numFmtId="49" fontId="0" fillId="0" borderId="12" xfId="0" applyFont="1" applyBorder="1" applyNumberFormat="1">
      <alignment horizontal="left" vertical="center" wrapText="1" indent="1"/>
    </xf>
    <xf numFmtId="49" fontId="47" fillId="0" borderId="0" xfId="0" applyFont="1" applyNumberFormat="1">
      <alignment horizontal="center" vertical="center" wrapText="1"/>
    </xf>
    <xf numFmtId="49" fontId="47" fillId="0" borderId="0" xfId="0" applyFont="1" applyNumberFormat="1">
      <alignment horizontal="center" vertical="center" wrapText="1"/>
    </xf>
    <xf numFmtId="0" fontId="48" fillId="0" borderId="27" xfId="0" applyFont="1" applyBorder="1" applyNumberFormat="1">
      <alignment vertical="center" wrapText="1"/>
    </xf>
    <xf numFmtId="0" fontId="22" fillId="34" borderId="14" xfId="0" applyFont="1" applyFill="1" applyBorder="1" applyNumberFormat="1">
      <alignment horizontal="left" vertical="top" wrapText="1"/>
    </xf>
    <xf numFmtId="0" fontId="22" fillId="34" borderId="13" xfId="0" applyFont="1" applyFill="1" applyBorder="1" applyNumberFormat="1">
      <alignment horizontal="left" vertical="top" wrapText="1"/>
    </xf>
    <xf numFmtId="49" fontId="47" fillId="0" borderId="0" xfId="0" applyFont="1" applyNumberFormat="1">
      <alignment horizontal="center" vertical="center" wrapText="1"/>
    </xf>
    <xf numFmtId="49" fontId="47" fillId="0" borderId="0" xfId="0" applyFont="1" applyNumberFormat="1">
      <alignment horizontal="center" vertical="center" wrapText="1"/>
    </xf>
    <xf numFmtId="0" fontId="22" fillId="0" borderId="0" xfId="0" applyFont="1" applyNumberFormat="1">
      <alignment vertical="top" wrapText="1"/>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14" xfId="0" applyFont="1" applyBorder="1" applyNumberFormat="1">
      <alignment horizontal="center" vertical="center" wrapText="1"/>
    </xf>
    <xf numFmtId="0" fontId="22" fillId="0" borderId="0" xfId="0" applyFont="1" applyNumberFormat="1">
      <alignment horizontal="left" vertical="top" wrapText="1"/>
    </xf>
    <xf numFmtId="49" fontId="48" fillId="0" borderId="0" xfId="0" applyFont="1" applyNumberFormat="1">
      <alignment horizontal="center" vertical="center" wrapText="1"/>
    </xf>
    <xf numFmtId="0" fontId="48" fillId="0" borderId="0" xfId="0" applyFont="1" applyNumberFormat="1">
      <alignment horizontal="center" vertical="center" wrapText="1"/>
    </xf>
    <xf numFmtId="49" fontId="22" fillId="57" borderId="0" xfId="0" applyFont="1" applyFill="1" applyNumberFormat="1">
      <alignment horizontal="center" vertical="center" textRotation="90" wrapText="1"/>
    </xf>
    <xf numFmtId="49" fontId="22" fillId="0" borderId="12" xfId="0" applyFont="1" applyBorder="1" applyNumberFormat="1">
      <alignment horizontal="center" vertical="center" wrapText="1"/>
    </xf>
    <xf numFmtId="0" fontId="22" fillId="0" borderId="12" xfId="0" applyFont="1" applyBorder="1" applyNumberFormat="1">
      <alignment horizontal="left"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0" fontId="71" fillId="0" borderId="22" xfId="0" applyFont="1" applyBorder="1" applyNumberFormat="1">
      <alignment vertical="center" wrapText="1"/>
    </xf>
    <xf numFmtId="49"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49" fontId="22" fillId="36" borderId="12" xfId="0" applyFont="1" applyFill="1" applyBorder="1" applyNumberFormat="1">
      <alignment horizontal="left" vertical="center" wrapText="1"/>
      <protection locked="0"/>
    </xf>
    <xf numFmtId="3" fontId="22" fillId="36" borderId="14" xfId="0" applyFont="1" applyFill="1" applyBorder="1" applyNumberFormat="1">
      <alignment horizontal="right" vertical="center" wrapText="1"/>
      <protection locked="0"/>
    </xf>
    <xf numFmtId="4" fontId="22" fillId="36" borderId="14" xfId="0" applyFont="1" applyFill="1" applyBorder="1" applyNumberFormat="1">
      <alignment horizontal="right" vertical="center" wrapText="1"/>
      <protection locked="0"/>
    </xf>
    <xf numFmtId="49" fontId="22" fillId="39" borderId="12"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37" fillId="0" borderId="0" xfId="0" applyFont="1" applyNumberFormat="1">
      <alignment horizontal="center" vertical="center" wrapText="1"/>
    </xf>
    <xf numFmtId="0" fontId="22" fillId="0" borderId="17" xfId="0" applyFont="1" applyBorder="1" applyNumberFormat="1">
      <alignment horizontal="center" vertical="center" wrapText="1"/>
    </xf>
    <xf numFmtId="0" fontId="22" fillId="0" borderId="14" xfId="0" applyFont="1" applyBorder="1" applyNumberFormat="1">
      <alignment horizontal="center" vertical="center" wrapText="1"/>
    </xf>
    <xf numFmtId="0" fontId="83" fillId="0" borderId="0" xfId="0" applyFont="1" applyNumberFormat="1">
      <alignment vertical="center" wrapText="1"/>
    </xf>
    <xf numFmtId="0" fontId="22" fillId="0" borderId="12" xfId="0" applyFont="1" applyBorder="1" applyNumberFormat="1">
      <alignment horizontal="left" vertical="center" wrapText="1" indent="2"/>
    </xf>
    <xf numFmtId="49" fontId="22" fillId="36" borderId="14" xfId="0" applyFont="1" applyFill="1" applyBorder="1" applyNumberFormat="1">
      <alignment horizontal="left" vertical="center" wrapText="1"/>
      <protection locked="0"/>
    </xf>
    <xf numFmtId="0" fontId="22" fillId="0" borderId="0" xfId="0" applyFont="1" applyNumberFormat="1">
      <alignment vertical="top" wrapText="1"/>
    </xf>
    <xf numFmtId="0" fontId="22" fillId="0" borderId="0" xfId="0" applyFont="1" applyNumberFormat="1">
      <alignment vertical="top"/>
    </xf>
    <xf numFmtId="0" fontId="22" fillId="0" borderId="0" xfId="0" applyFont="1" applyNumberFormat="1">
      <alignment vertical="top" wrapText="1"/>
    </xf>
    <xf numFmtId="0" fontId="22" fillId="0" borderId="0" xfId="0" applyFont="1" applyNumberFormat="1">
      <alignment vertical="top"/>
    </xf>
    <xf numFmtId="49" fontId="53" fillId="0" borderId="12" xfId="0" applyFont="1" applyBorder="1" applyNumberFormat="1">
      <alignment horizontal="left" vertical="center" wrapText="1"/>
    </xf>
    <xf numFmtId="49" fontId="22" fillId="0" borderId="32" xfId="0" applyFont="1" applyBorder="1" applyNumberFormat="1">
      <alignment horizontal="center" vertical="center" wrapText="1"/>
    </xf>
    <xf numFmtId="0" fontId="22" fillId="0" borderId="32" xfId="0" applyFont="1" applyBorder="1" applyNumberFormat="1">
      <alignment horizontal="left" vertical="center" wrapText="1"/>
    </xf>
    <xf numFmtId="4" fontId="22" fillId="0" borderId="40" xfId="0" applyFont="1" applyBorder="1" applyNumberFormat="1">
      <alignment horizontal="center" vertical="center" wrapText="1"/>
    </xf>
    <xf numFmtId="49" fontId="53" fillId="0" borderId="30" xfId="0" applyFont="1" applyBorder="1" applyNumberFormat="1">
      <alignment horizontal="left" vertical="center" wrapText="1"/>
    </xf>
    <xf numFmtId="49" fontId="22" fillId="0" borderId="31" xfId="0" applyFont="1" applyBorder="1" applyNumberFormat="1">
      <alignment horizontal="center" vertical="center" wrapText="1"/>
    </xf>
    <xf numFmtId="0" fontId="22" fillId="0" borderId="33" xfId="0" applyFont="1" applyBorder="1" applyNumberFormat="1">
      <alignment horizontal="left" vertical="center" wrapText="1" indent="1"/>
    </xf>
    <xf numFmtId="4" fontId="22" fillId="39" borderId="31" xfId="0" applyFont="1" applyFill="1" applyBorder="1" applyNumberFormat="1">
      <alignment horizontal="right" vertical="center" wrapText="1"/>
      <protection locked="0"/>
    </xf>
    <xf numFmtId="49" fontId="53" fillId="0" borderId="14" xfId="0" applyFont="1" applyBorder="1" applyNumberFormat="1">
      <alignment horizontal="left" vertical="center" wrapText="1"/>
    </xf>
    <xf numFmtId="4" fontId="22" fillId="0" borderId="17"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0" fontId="22" fillId="0" borderId="33" xfId="0" applyFont="1" applyBorder="1" applyNumberFormat="1">
      <alignment horizontal="left" vertical="center" wrapText="1"/>
    </xf>
    <xf numFmtId="49" fontId="53" fillId="0" borderId="15" xfId="0" applyFont="1" applyBorder="1" applyNumberFormat="1">
      <alignment horizontal="left" vertical="center" wrapText="1"/>
    </xf>
    <xf numFmtId="0" fontId="22" fillId="0" borderId="31" xfId="0" applyFont="1" applyBorder="1" applyNumberFormat="1">
      <alignment horizontal="left" vertical="center" wrapText="1" indent="1"/>
    </xf>
    <xf numFmtId="4" fontId="22" fillId="0" borderId="32" xfId="0" applyFont="1" applyBorder="1" applyNumberFormat="1">
      <alignment horizontal="center" vertical="center" wrapText="1"/>
    </xf>
    <xf numFmtId="0" fontId="22" fillId="0" borderId="31" xfId="0" applyFont="1" applyBorder="1" applyNumberFormat="1">
      <alignment horizontal="left" vertical="center" wrapText="1"/>
    </xf>
    <xf numFmtId="0" fontId="22" fillId="0" borderId="31" xfId="0" applyFont="1" applyBorder="1" applyNumberFormat="1">
      <alignment horizontal="left" vertical="center" wrapText="1" indent="2"/>
    </xf>
    <xf numFmtId="4" fontId="22" fillId="0" borderId="31" xfId="0" applyFont="1" applyBorder="1" applyNumberFormat="1">
      <alignment horizontal="center" vertical="center" wrapText="1"/>
    </xf>
    <xf numFmtId="49" fontId="22" fillId="0" borderId="34" xfId="0" applyFont="1" applyBorder="1" applyNumberFormat="1">
      <alignment horizontal="center" vertical="center" wrapText="1"/>
    </xf>
    <xf numFmtId="49" fontId="53" fillId="39" borderId="12" xfId="0" applyFont="1" applyFill="1" applyBorder="1" applyNumberFormat="1">
      <alignment horizontal="left" vertical="center" wrapText="1"/>
      <protection locked="0"/>
    </xf>
    <xf numFmtId="0" fontId="22" fillId="0" borderId="35" xfId="0" applyFont="1" applyBorder="1" applyNumberFormat="1">
      <alignment horizontal="left" vertical="center" wrapText="1"/>
    </xf>
    <xf numFmtId="4" fontId="22" fillId="0" borderId="35" xfId="0" applyFont="1" applyBorder="1" applyNumberFormat="1">
      <alignment horizontal="center" vertical="center" wrapText="1"/>
    </xf>
    <xf numFmtId="49" fontId="53" fillId="0" borderId="37" xfId="0" applyFont="1" applyBorder="1" applyNumberFormat="1">
      <alignment horizontal="left" vertical="center" wrapText="1"/>
    </xf>
    <xf numFmtId="49" fontId="22" fillId="0" borderId="33" xfId="0" applyFont="1" applyBorder="1" applyNumberFormat="1">
      <alignment horizontal="center" vertical="center" wrapText="1"/>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 fontId="22" fillId="39" borderId="34" xfId="0" applyFont="1" applyFill="1" applyBorder="1" applyNumberFormat="1">
      <alignment horizontal="right" vertical="center" wrapText="1"/>
      <protection locked="0"/>
    </xf>
    <xf numFmtId="49" fontId="47" fillId="0" borderId="0" xfId="0" applyFont="1" applyNumberFormat="1">
      <alignment horizontal="center" vertical="center" wrapText="1"/>
    </xf>
    <xf numFmtId="0" fontId="47" fillId="0" borderId="0" xfId="0" applyFont="1" applyNumberFormat="1">
      <alignment horizontal="center" vertical="center" wrapText="1"/>
    </xf>
    <xf numFmtId="49" fontId="22" fillId="0" borderId="0" xfId="0" applyFont="1" applyNumberFormat="1">
      <alignment vertical="center" wrapText="1"/>
    </xf>
    <xf numFmtId="0" fontId="36" fillId="0" borderId="24" xfId="0" applyFont="1" applyBorder="1" applyNumberFormat="1">
      <alignment horizontal="center" vertical="center" wrapText="1"/>
    </xf>
    <xf numFmtId="0" fontId="0" fillId="0" borderId="14" xfId="0" applyFont="1" applyBorder="1" applyNumberFormat="1">
      <alignment horizontal="center" vertical="center"/>
    </xf>
    <xf numFmtId="0" fontId="22" fillId="0" borderId="13" xfId="0" applyFont="1" applyBorder="1" applyNumberFormat="1">
      <alignment horizontal="center" vertical="center" wrapText="1"/>
    </xf>
    <xf numFmtId="504" fontId="0" fillId="36"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0" fontId="22" fillId="0" borderId="0" xfId="0" applyFont="1" applyNumberFormat="1">
      <alignment horizontal="left" vertical="center" wrapText="1"/>
    </xf>
    <xf numFmtId="0" fontId="22" fillId="34" borderId="14" xfId="0" applyFont="1" applyFill="1" applyBorder="1" applyNumberFormat="1">
      <alignment horizontal="left" vertical="top" wrapText="1" indent="1"/>
    </xf>
    <xf numFmtId="0" fontId="22" fillId="34" borderId="13" xfId="0" applyFont="1" applyFill="1" applyBorder="1" applyNumberFormat="1">
      <alignment horizontal="left" vertical="top" wrapText="1" indent="1"/>
    </xf>
    <xf numFmtId="0" fontId="22" fillId="0" borderId="15" xfId="0" applyFont="1" applyBorder="1" applyNumberFormat="1">
      <alignment horizontal="right" vertical="center" wrapText="1" indent="1"/>
    </xf>
    <xf numFmtId="0" fontId="22" fillId="0" borderId="13" xfId="0" applyFont="1" applyBorder="1" applyNumberFormat="1">
      <alignment horizontal="right" vertical="center" wrapText="1" indent="1"/>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14" xfId="0" applyFont="1" applyBorder="1" applyNumberFormat="1">
      <alignment horizontal="center" vertical="center" wrapText="1"/>
    </xf>
    <xf numFmtId="0" fontId="36" fillId="0" borderId="0" xfId="0" applyFont="1" applyNumberFormat="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0" borderId="13" xfId="0" applyFont="1" applyBorder="1" applyNumberFormat="1">
      <alignment horizontal="center" vertical="center" wrapText="1"/>
    </xf>
    <xf numFmtId="0" fontId="22" fillId="0" borderId="13" xfId="0" applyFont="1" applyBorder="1" applyNumberFormat="1">
      <alignment horizontal="center" vertical="center" wrapText="1"/>
    </xf>
    <xf numFmtId="0" fontId="22" fillId="37" borderId="19" xfId="0" applyFont="1" applyFill="1" applyBorder="1" applyNumberFormat="1">
      <alignment vertical="center" wrapText="1"/>
    </xf>
    <xf numFmtId="0" fontId="22" fillId="0" borderId="15" xfId="0" applyFont="1" applyBorder="1" applyNumberFormat="1">
      <alignment horizontal="center" vertical="center" wrapText="1"/>
    </xf>
    <xf numFmtId="49" fontId="22" fillId="40" borderId="12" xfId="0" applyFont="1" applyFill="1" applyBorder="1" applyNumberFormat="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pplyNumberFormat="1">
      <alignment horizontal="center" vertical="center" wrapText="1"/>
    </xf>
    <xf numFmtId="0" fontId="22" fillId="0" borderId="13" xfId="0" applyFont="1" applyBorder="1" applyNumberFormat="1">
      <alignment vertical="center" wrapText="1"/>
    </xf>
    <xf numFmtId="0" fontId="22" fillId="37" borderId="27" xfId="0" applyFont="1" applyFill="1" applyBorder="1" applyNumberFormat="1">
      <alignment vertical="center" wrapText="1"/>
    </xf>
    <xf numFmtId="0" fontId="36" fillId="0" borderId="0" xfId="0" applyFont="1" applyNumberFormat="1">
      <alignment horizontal="center" vertical="center" wrapText="1"/>
    </xf>
    <xf numFmtId="0" fontId="36" fillId="0" borderId="0" xfId="0" applyFont="1" applyNumberFormat="1">
      <alignment horizontal="center" vertical="center" wrapText="1"/>
    </xf>
    <xf numFmtId="0" fontId="83" fillId="0" borderId="0" xfId="0" applyFont="1" applyNumberFormat="1">
      <alignment vertical="center" wrapText="1"/>
    </xf>
    <xf numFmtId="49" fontId="47" fillId="0" borderId="0" xfId="0" applyFont="1" applyNumberFormat="1">
      <alignment horizontal="center" vertical="center" wrapText="1"/>
    </xf>
    <xf numFmtId="0" fontId="22" fillId="0" borderId="0" xfId="0" applyFont="1" applyNumberFormat="1">
      <alignment vertical="center" wrapText="1"/>
    </xf>
    <xf numFmtId="49" fontId="47" fillId="0" borderId="0" xfId="0" applyFont="1" applyNumberFormat="1">
      <alignment horizontal="center" vertical="center" wrapText="1"/>
    </xf>
    <xf numFmtId="0" fontId="22" fillId="0" borderId="0" xfId="0" applyFont="1" applyNumberFormat="1">
      <alignment vertical="center" wrapText="1"/>
    </xf>
    <xf numFmtId="49" fontId="47" fillId="0" borderId="0" xfId="0" applyFont="1" applyNumberFormat="1">
      <alignment horizontal="center" vertical="center" wrapText="1"/>
    </xf>
    <xf numFmtId="49" fontId="98" fillId="0" borderId="0" xfId="0" applyFont="1" applyNumberFormat="1">
      <alignment horizontal="center" vertical="center" wrapText="1"/>
    </xf>
    <xf numFmtId="0" fontId="0" fillId="35" borderId="14" xfId="0" applyFont="1" applyFill="1" applyBorder="1" applyNumberFormat="1">
      <alignment horizontal="center" vertical="center" wrapText="1"/>
    </xf>
    <xf numFmtId="0" fontId="0" fillId="35" borderId="15" xfId="0" applyFont="1" applyFill="1" applyBorder="1" applyNumberFormat="1">
      <alignment horizontal="center" vertical="center" wrapText="1"/>
    </xf>
    <xf numFmtId="0" fontId="0" fillId="35" borderId="13" xfId="0" applyFont="1" applyFill="1" applyBorder="1" applyNumberFormat="1">
      <alignment horizontal="center" vertical="center" wrapText="1"/>
    </xf>
    <xf numFmtId="0" fontId="0" fillId="35" borderId="17" xfId="0" applyFont="1" applyFill="1" applyBorder="1" applyNumberFormat="1">
      <alignment horizontal="center" vertical="center" wrapText="1"/>
    </xf>
    <xf numFmtId="0" fontId="22" fillId="35" borderId="17" xfId="0" applyFont="1" applyFill="1" applyBorder="1" applyNumberFormat="1">
      <alignment horizontal="center" vertical="center" wrapText="1"/>
    </xf>
    <xf numFmtId="0" fontId="0" fillId="35" borderId="17" xfId="0" applyFont="1" applyFill="1" applyBorder="1" applyNumberFormat="1">
      <alignment horizontal="center" vertical="center" wrapText="1"/>
    </xf>
    <xf numFmtId="0" fontId="0" fillId="35" borderId="37" xfId="0" applyFont="1" applyFill="1" applyBorder="1" applyNumberFormat="1">
      <alignment horizontal="center" vertical="center" wrapText="1"/>
    </xf>
    <xf numFmtId="0" fontId="22" fillId="0" borderId="12" xfId="0" applyFont="1" applyBorder="1" applyNumberFormat="1">
      <alignment horizontal="center" vertical="center" wrapText="1"/>
    </xf>
    <xf numFmtId="0" fontId="48" fillId="0" borderId="0" xfId="0" applyFont="1" applyNumberFormat="1">
      <alignment horizontal="center" vertical="center" wrapText="1"/>
    </xf>
    <xf numFmtId="49" fontId="48" fillId="0" borderId="12" xfId="0" applyFont="1" applyBorder="1" applyNumberFormat="1">
      <alignment horizontal="center" vertical="center" wrapText="1"/>
    </xf>
    <xf numFmtId="0" fontId="0" fillId="0" borderId="12" xfId="0" applyFont="1" applyBorder="1" applyNumberFormat="1">
      <alignment horizontal="left" vertical="center" wrapText="1" indent="1"/>
    </xf>
    <xf numFmtId="49" fontId="0" fillId="0" borderId="12" xfId="0" applyFont="1" applyBorder="1" applyNumberFormat="1">
      <alignment horizontal="center" vertical="center" wrapText="1"/>
    </xf>
    <xf numFmtId="49" fontId="22" fillId="0" borderId="12" xfId="0" applyFont="1" applyBorder="1" applyNumberFormat="1">
      <alignment horizontal="left" vertical="center" wrapText="1"/>
    </xf>
    <xf numFmtId="49" fontId="48" fillId="0" borderId="0" xfId="0" applyFont="1" applyNumberFormat="1">
      <alignment horizontal="center" vertical="center" wrapText="1"/>
    </xf>
    <xf numFmtId="49" fontId="22" fillId="0" borderId="14" xfId="0" applyFont="1" applyBorder="1" applyNumberFormat="1">
      <alignment horizontal="center" vertical="center" wrapText="1"/>
    </xf>
    <xf numFmtId="49" fontId="40" fillId="37" borderId="14" xfId="0" applyFont="1" applyFill="1" applyBorder="1" applyNumberFormat="1">
      <alignment horizontal="left" vertical="center" indent="1"/>
    </xf>
    <xf numFmtId="0" fontId="22" fillId="37" borderId="29" xfId="0" applyFont="1" applyFill="1" applyBorder="1" applyNumberFormat="1">
      <alignment vertical="center" wrapText="1"/>
    </xf>
    <xf numFmtId="0" fontId="47" fillId="0" borderId="0" xfId="0" applyFont="1" applyNumberFormat="1">
      <alignment vertical="center" wrapText="1"/>
    </xf>
    <xf numFmtId="0" fontId="47" fillId="0" borderId="0" xfId="0" applyFont="1" applyNumberFormat="1">
      <alignment vertical="center" wrapText="1"/>
    </xf>
    <xf numFmtId="0" fontId="47" fillId="0" borderId="0" xfId="0" applyFont="1" applyNumberFormat="1">
      <alignment vertical="center" wrapText="1"/>
    </xf>
    <xf numFmtId="0" fontId="32" fillId="0" borderId="0" xfId="0" applyFont="1" applyNumberFormat="1">
      <alignment vertical="center" wrapText="1"/>
    </xf>
    <xf numFmtId="0" fontId="32" fillId="0" borderId="0" xfId="0" applyFont="1" applyNumberFormat="1">
      <alignment vertical="center" wrapText="1"/>
    </xf>
    <xf numFmtId="0" fontId="32" fillId="0" borderId="0" xfId="0" applyFont="1" applyNumberFormat="1">
      <alignment vertical="center" wrapText="1"/>
    </xf>
    <xf numFmtId="0" fontId="22" fillId="0" borderId="0" xfId="0" applyFont="1" applyNumberFormat="1">
      <alignment horizontal="left" vertical="center" wrapText="1" indent="3"/>
    </xf>
    <xf numFmtId="0" fontId="22" fillId="35" borderId="0" xfId="0" applyFont="1" applyFill="1" applyNumberFormat="1">
      <alignment vertical="center" wrapText="1"/>
    </xf>
    <xf numFmtId="0" fontId="22" fillId="35" borderId="39" xfId="0" applyFont="1" applyFill="1" applyBorder="1" applyNumberFormat="1">
      <alignment vertical="center" wrapText="1"/>
    </xf>
    <xf numFmtId="0" fontId="22" fillId="35" borderId="39" xfId="0" applyFont="1" applyFill="1" applyBorder="1" applyNumberFormat="1">
      <alignment vertical="center" wrapText="1"/>
    </xf>
    <xf numFmtId="49" fontId="73" fillId="0" borderId="39" xfId="0" applyFont="1" applyBorder="1" applyNumberFormat="1">
      <alignment vertical="top"/>
    </xf>
    <xf numFmtId="49" fontId="73" fillId="0" borderId="39" xfId="0" applyFont="1" applyBorder="1" applyNumberFormat="1">
      <alignment vertical="top"/>
    </xf>
    <xf numFmtId="0" fontId="50" fillId="35" borderId="39" xfId="0" applyFont="1" applyFill="1" applyBorder="1" applyNumberFormat="1">
      <alignment horizontal="center" wrapText="1"/>
    </xf>
    <xf numFmtId="0" fontId="50" fillId="35" borderId="39" xfId="0" applyFont="1" applyFill="1" applyBorder="1" applyNumberFormat="1">
      <alignment horizontal="center" wrapText="1"/>
    </xf>
    <xf numFmtId="0" fontId="22" fillId="35" borderId="39" xfId="0" applyFont="1" applyFill="1" applyBorder="1" applyNumberFormat="1">
      <alignment vertical="center" wrapText="1"/>
    </xf>
    <xf numFmtId="0" fontId="22" fillId="35" borderId="39" xfId="0" applyFont="1" applyFill="1" applyBorder="1" applyNumberFormat="1">
      <alignment vertical="center" wrapText="1"/>
    </xf>
    <xf numFmtId="49" fontId="22" fillId="0" borderId="0" xfId="0" applyFont="1" applyNumberFormat="1">
      <alignment vertical="top"/>
    </xf>
    <xf numFmtId="0" fontId="22" fillId="0" borderId="60" xfId="0" applyFont="1" applyBorder="1" applyNumberFormat="1">
      <alignment horizontal="center" vertical="center"/>
    </xf>
    <xf numFmtId="0" fontId="22" fillId="0" borderId="61" xfId="0" applyFont="1" applyBorder="1" applyNumberFormat="1">
      <alignment horizontal="center" vertical="center"/>
    </xf>
    <xf numFmtId="0" fontId="22" fillId="0" borderId="67" xfId="0" applyFont="1" applyBorder="1" applyNumberFormat="1">
      <alignment horizontal="center" vertical="center"/>
    </xf>
    <xf numFmtId="0" fontId="22" fillId="0" borderId="38" xfId="0" applyFont="1" applyBorder="1" applyNumberFormat="1">
      <alignment vertical="center" wrapText="1"/>
    </xf>
    <xf numFmtId="0" fontId="22" fillId="35" borderId="12" xfId="0" applyFont="1" applyFill="1" applyBorder="1" applyNumberFormat="1">
      <alignment horizontal="center" vertical="center" wrapText="1"/>
    </xf>
    <xf numFmtId="0" fontId="22" fillId="35" borderId="37" xfId="0" applyFont="1" applyFill="1" applyBorder="1" applyNumberFormat="1">
      <alignment horizontal="center" vertical="center" wrapText="1"/>
    </xf>
    <xf numFmtId="0" fontId="22" fillId="35" borderId="20" xfId="0" applyFont="1" applyFill="1" applyBorder="1" applyNumberFormat="1">
      <alignment horizontal="center" vertical="center" wrapText="1"/>
    </xf>
    <xf numFmtId="0" fontId="22" fillId="0" borderId="0" xfId="0" applyFont="1" applyNumberFormat="1">
      <alignment vertical="center" wrapText="1"/>
    </xf>
    <xf numFmtId="0" fontId="22" fillId="35" borderId="0" xfId="0" applyFont="1" applyFill="1" applyNumberFormat="1">
      <alignment vertical="center" wrapText="1"/>
    </xf>
    <xf numFmtId="0" fontId="22" fillId="35" borderId="22" xfId="0" applyFont="1" applyFill="1" applyBorder="1" applyNumberFormat="1">
      <alignment horizontal="center" vertical="center" wrapText="1"/>
    </xf>
    <xf numFmtId="0" fontId="22" fillId="35" borderId="24" xfId="0" applyFont="1" applyFill="1" applyBorder="1" applyNumberFormat="1">
      <alignment horizontal="center" vertical="center" wrapText="1"/>
    </xf>
    <xf numFmtId="49" fontId="22" fillId="0" borderId="0" xfId="0" applyFont="1" applyNumberFormat="1">
      <alignment vertical="top"/>
    </xf>
    <xf numFmtId="49" fontId="98" fillId="0" borderId="0" xfId="0" applyFont="1" applyNumberFormat="1">
      <alignment horizontal="center" vertical="center" wrapText="1"/>
    </xf>
    <xf numFmtId="0" fontId="22" fillId="35" borderId="0" xfId="0" applyFont="1" applyFill="1" applyNumberFormat="1">
      <alignment vertical="center" wrapText="1"/>
    </xf>
    <xf numFmtId="0" fontId="0" fillId="0" borderId="12" xfId="0" applyFont="1" applyBorder="1" applyNumberFormat="1">
      <alignment horizontal="center" vertical="center" wrapText="1"/>
    </xf>
    <xf numFmtId="49" fontId="22" fillId="0" borderId="0" xfId="0" applyFont="1" applyNumberFormat="1">
      <alignment vertical="top"/>
    </xf>
    <xf numFmtId="0" fontId="22" fillId="0" borderId="0" xfId="0" applyFont="1" applyNumberFormat="1">
      <alignment vertical="center" wrapText="1"/>
    </xf>
    <xf numFmtId="0" fontId="22" fillId="35" borderId="30" xfId="0" applyFont="1" applyFill="1" applyBorder="1" applyNumberFormat="1">
      <alignment horizontal="center" vertical="center" wrapText="1"/>
    </xf>
    <xf numFmtId="0" fontId="22" fillId="35" borderId="29" xfId="0" applyFont="1" applyFill="1" applyBorder="1" applyNumberFormat="1">
      <alignment horizontal="center" vertical="center" wrapText="1"/>
    </xf>
    <xf numFmtId="0" fontId="22" fillId="0" borderId="12" xfId="0" applyFont="1" applyBorder="1" applyNumberFormat="1">
      <alignment horizontal="center" vertical="center" wrapText="1"/>
    </xf>
    <xf numFmtId="0" fontId="0"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35" borderId="0" xfId="0" applyFont="1" applyFill="1" applyNumberFormat="1">
      <alignment vertical="center" wrapText="1"/>
    </xf>
    <xf numFmtId="0" fontId="22" fillId="0" borderId="0" xfId="0" applyFont="1" applyNumberFormat="1">
      <alignment vertical="center" wrapText="1"/>
    </xf>
    <xf numFmtId="0" fontId="22" fillId="0" borderId="0" xfId="0" applyFont="1" applyNumberFormat="1">
      <alignment vertical="center" wrapText="1"/>
    </xf>
    <xf numFmtId="0" fontId="22" fillId="0" borderId="0" xfId="0" applyFont="1" applyNumberFormat="1">
      <alignment vertical="center" wrapText="1"/>
    </xf>
    <xf numFmtId="0" fontId="22" fillId="0" borderId="0" xfId="0" applyFont="1" applyNumberFormat="1">
      <alignment vertical="center" wrapText="1"/>
    </xf>
    <xf numFmtId="0" fontId="22" fillId="0" borderId="0" xfId="0" applyFont="1" applyNumberFormat="1">
      <alignment vertical="center"/>
    </xf>
    <xf numFmtId="0" fontId="22" fillId="0" borderId="0" xfId="0" applyFont="1" applyNumberFormat="1">
      <alignment vertical="center"/>
    </xf>
    <xf numFmtId="49" fontId="22" fillId="0" borderId="0" xfId="0" applyFont="1" applyNumberFormat="1">
      <alignment vertical="top"/>
    </xf>
    <xf numFmtId="49" fontId="22" fillId="0" borderId="0" xfId="0" applyFont="1" applyNumberFormat="1">
      <alignment vertical="top"/>
    </xf>
    <xf numFmtId="49" fontId="22" fillId="0" borderId="0" xfId="0" applyFont="1" applyNumberFormat="1">
      <alignment vertical="top"/>
    </xf>
    <xf numFmtId="0" fontId="22" fillId="0" borderId="0" xfId="0" applyFont="1" applyNumberFormat="1">
      <alignment horizontal="left" vertical="center" wrapText="1"/>
    </xf>
    <xf numFmtId="0" fontId="22" fillId="0" borderId="0" xfId="0" applyFont="1" applyNumberFormat="1">
      <alignment vertical="center" wrapText="1"/>
    </xf>
    <xf numFmtId="0" fontId="22" fillId="0" borderId="0" xfId="0" applyFont="1" applyNumberFormat="1">
      <alignment vertical="center" wrapText="1"/>
    </xf>
    <xf numFmtId="0" fontId="22" fillId="35" borderId="0" xfId="0" applyFont="1" applyFill="1" applyNumberFormat="1">
      <alignment vertical="center" wrapText="1"/>
    </xf>
    <xf numFmtId="0" fontId="22" fillId="35" borderId="19" xfId="0" applyFont="1" applyFill="1" applyBorder="1" applyNumberFormat="1">
      <alignment vertical="center" wrapText="1"/>
    </xf>
    <xf numFmtId="49" fontId="22" fillId="0" borderId="0" xfId="0" applyFont="1" applyNumberFormat="1">
      <alignment vertical="top"/>
    </xf>
    <xf numFmtId="49" fontId="48" fillId="0" borderId="0" xfId="0" applyFont="1" applyNumberFormat="1">
      <alignment vertical="top"/>
    </xf>
    <xf numFmtId="0" fontId="48" fillId="0" borderId="39" xfId="0" applyFont="1" applyBorder="1" applyNumberFormat="1">
      <alignment vertical="center" wrapText="1"/>
    </xf>
    <xf numFmtId="0" fontId="22" fillId="0" borderId="73" xfId="0" applyFont="1" applyBorder="1" applyNumberFormat="1">
      <alignment horizontal="center" vertical="center"/>
    </xf>
    <xf numFmtId="0" fontId="22" fillId="0" borderId="43" xfId="0" applyFont="1" applyBorder="1" applyNumberFormat="1">
      <alignment horizontal="center" vertical="center"/>
    </xf>
    <xf numFmtId="0" fontId="22" fillId="0" borderId="38" xfId="0" applyFont="1" applyBorder="1" applyNumberFormat="1">
      <alignment vertical="center"/>
    </xf>
    <xf numFmtId="49" fontId="0" fillId="0" borderId="17" xfId="0" applyFont="1" applyBorder="1" applyNumberFormat="1">
      <alignment horizontal="center"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22" fillId="0" borderId="22" xfId="0" applyFont="1" applyBorder="1" applyNumberFormat="1">
      <alignment vertical="top"/>
    </xf>
    <xf numFmtId="49" fontId="0" fillId="0" borderId="36" xfId="0" applyFont="1" applyBorder="1" applyNumberFormat="1">
      <alignment horizontal="center" vertical="center" wrapText="1"/>
    </xf>
    <xf numFmtId="0" fontId="0" fillId="34" borderId="12" xfId="0" applyFont="1" applyFill="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xf>
    <xf numFmtId="49" fontId="0" fillId="34" borderId="12" xfId="0" applyFont="1" applyFill="1" applyBorder="1" applyNumberFormat="1">
      <alignment horizontal="center" vertical="center"/>
    </xf>
    <xf numFmtId="0" fontId="22" fillId="0" borderId="22" xfId="0" applyFont="1" applyBorder="1" applyNumberFormat="1">
      <alignment vertical="center" wrapText="1"/>
    </xf>
    <xf numFmtId="49" fontId="0" fillId="0" borderId="12" xfId="0" applyFont="1" applyBorder="1" applyNumberFormat="1">
      <alignment horizontal="center" vertical="center" wrapText="1"/>
    </xf>
    <xf numFmtId="49" fontId="0" fillId="0" borderId="12" xfId="0" applyFont="1" applyBorder="1" applyNumberFormat="1">
      <alignment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 fontId="0" fillId="36"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horizontal="left" vertical="center" wrapText="1"/>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49" fontId="45" fillId="0" borderId="0" xfId="0" applyFont="1" applyNumberFormat="1">
      <alignment vertical="center"/>
    </xf>
    <xf numFmtId="49" fontId="99" fillId="0" borderId="0" xfId="0" applyFont="1" applyNumberFormat="1">
      <alignment vertical="center"/>
    </xf>
    <xf numFmtId="49" fontId="45" fillId="0" borderId="0" xfId="0" applyFont="1" applyNumberFormat="1">
      <alignment vertical="center"/>
    </xf>
    <xf numFmtId="49" fontId="45" fillId="0" borderId="0" xfId="0" applyFont="1" applyNumberFormat="1">
      <alignment vertical="center"/>
    </xf>
    <xf numFmtId="49" fontId="45" fillId="0" borderId="0" xfId="0" applyFont="1" applyNumberFormat="1">
      <alignment vertical="center"/>
    </xf>
    <xf numFmtId="49" fontId="99" fillId="0" borderId="0" xfId="0" applyFont="1" applyNumberFormat="1">
      <alignment vertical="center" wrapText="1"/>
    </xf>
    <xf numFmtId="49" fontId="45" fillId="0" borderId="0" xfId="0" applyFont="1" applyNumberFormat="1">
      <alignment vertical="center" wrapText="1"/>
    </xf>
    <xf numFmtId="49" fontId="45" fillId="0" borderId="0" xfId="0" applyFont="1" applyNumberFormat="1">
      <alignment vertical="top"/>
    </xf>
    <xf numFmtId="49" fontId="45" fillId="0" borderId="0" xfId="0" applyFont="1" applyNumberFormat="1">
      <alignment vertical="center" wrapText="1"/>
    </xf>
    <xf numFmtId="49" fontId="45" fillId="0" borderId="0" xfId="0" applyFont="1" applyNumberFormat="1">
      <alignment vertical="center" wrapText="1"/>
    </xf>
    <xf numFmtId="49" fontId="22" fillId="0" borderId="0" xfId="0" applyFont="1" applyNumberFormat="1">
      <alignment horizontal="center" vertical="top" wrapText="1"/>
    </xf>
    <xf numFmtId="49" fontId="32" fillId="0" borderId="0" xfId="0" applyFont="1" applyNumberFormat="1">
      <alignment horizontal="center" vertical="top" wrapText="1"/>
    </xf>
    <xf numFmtId="49" fontId="22" fillId="35" borderId="0" xfId="0" applyFont="1" applyFill="1" applyNumberFormat="1">
      <alignment horizontal="center" vertical="top" wrapText="1"/>
    </xf>
    <xf numFmtId="0" fontId="22" fillId="0" borderId="20" xfId="0" applyFont="1" applyBorder="1" applyNumberFormat="1">
      <alignment horizontal="left" vertical="top" wrapText="1"/>
    </xf>
    <xf numFmtId="49" fontId="22" fillId="0" borderId="0" xfId="0" applyFont="1" applyNumberFormat="1">
      <alignment horizontal="center" vertical="top" wrapText="1"/>
    </xf>
    <xf numFmtId="49" fontId="22" fillId="0" borderId="0" xfId="0" applyFont="1" applyNumberFormat="1">
      <alignment horizontal="center" vertical="center" wrapText="1"/>
    </xf>
    <xf numFmtId="49" fontId="32" fillId="0" borderId="0" xfId="0" applyFont="1" applyNumberFormat="1">
      <alignment horizontal="center" vertical="center" wrapText="1"/>
    </xf>
    <xf numFmtId="49" fontId="22" fillId="35" borderId="0" xfId="0" applyFont="1" applyFill="1" applyNumberFormat="1">
      <alignment horizontal="center" vertical="center" wrapText="1"/>
    </xf>
    <xf numFmtId="49" fontId="22" fillId="0" borderId="0" xfId="0" applyFont="1" applyNumberFormat="1">
      <alignment horizontal="center" vertical="center" wrapText="1"/>
    </xf>
    <xf numFmtId="49" fontId="45" fillId="0" borderId="0" xfId="0" applyFont="1" applyNumberFormat="1">
      <alignment horizontal="center" vertical="center" wrapText="1"/>
    </xf>
    <xf numFmtId="49" fontId="99" fillId="0" borderId="0" xfId="0" applyFont="1" applyNumberFormat="1">
      <alignment horizontal="center" vertical="center" wrapText="1"/>
    </xf>
    <xf numFmtId="49" fontId="45" fillId="0" borderId="0" xfId="0" applyFont="1" applyNumberFormat="1">
      <alignment horizontal="center" vertical="center" wrapText="1"/>
    </xf>
    <xf numFmtId="0" fontId="45" fillId="0" borderId="0" xfId="0" applyFont="1" applyNumberFormat="1">
      <alignment horizontal="center" vertical="center" wrapText="1"/>
    </xf>
    <xf numFmtId="49" fontId="45" fillId="0" borderId="0" xfId="0" applyFont="1" applyNumberFormat="1">
      <alignment horizontal="center" vertical="center" wrapText="1"/>
    </xf>
    <xf numFmtId="49" fontId="99" fillId="0" borderId="0" xfId="0" applyFont="1" applyNumberFormat="1">
      <alignment horizontal="center" vertical="center" wrapText="1"/>
    </xf>
    <xf numFmtId="49" fontId="22" fillId="0" borderId="0" xfId="0" applyFont="1" applyNumberFormat="1">
      <alignment horizontal="center" vertical="center" wrapText="1"/>
    </xf>
    <xf numFmtId="0" fontId="22" fillId="0" borderId="0" xfId="0" applyFont="1" applyNumberFormat="1">
      <alignment horizontal="center" vertical="center" wrapText="1"/>
    </xf>
    <xf numFmtId="0" fontId="22" fillId="49" borderId="14" xfId="0" applyFont="1" applyFill="1" applyBorder="1" applyNumberFormat="1">
      <alignment horizontal="center" vertical="center" wrapText="1"/>
    </xf>
    <xf numFmtId="0" fontId="22" fillId="49" borderId="15" xfId="0" applyFont="1" applyFill="1" applyBorder="1" applyNumberFormat="1">
      <alignment horizontal="center" vertical="center" wrapText="1"/>
    </xf>
    <xf numFmtId="0" fontId="22" fillId="49" borderId="13" xfId="0" applyFont="1" applyFill="1" applyBorder="1" applyNumberFormat="1">
      <alignment horizontal="center" vertical="center" wrapText="1"/>
    </xf>
    <xf numFmtId="49" fontId="47" fillId="47" borderId="14" xfId="0" applyFont="1" applyFill="1" applyBorder="1" applyNumberFormat="1">
      <alignment horizontal="center" vertical="center" wrapText="1"/>
    </xf>
    <xf numFmtId="49" fontId="47" fillId="47" borderId="15" xfId="0" applyFont="1" applyFill="1" applyBorder="1" applyNumberFormat="1">
      <alignment horizontal="center" vertical="center" wrapText="1"/>
    </xf>
    <xf numFmtId="49" fontId="47" fillId="47" borderId="13" xfId="0" applyFont="1" applyFill="1" applyBorder="1" applyNumberFormat="1">
      <alignment horizontal="center" vertical="center" wrapText="1"/>
    </xf>
    <xf numFmtId="49" fontId="47" fillId="50" borderId="14" xfId="0" applyFont="1" applyFill="1" applyBorder="1" applyNumberFormat="1">
      <alignment horizontal="center" vertical="center" wrapText="1"/>
    </xf>
    <xf numFmtId="49" fontId="47" fillId="50" borderId="15" xfId="0" applyFont="1" applyFill="1" applyBorder="1" applyNumberFormat="1">
      <alignment horizontal="center" vertical="center" wrapText="1"/>
    </xf>
    <xf numFmtId="49" fontId="47" fillId="50" borderId="13"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49" fontId="45" fillId="35" borderId="0" xfId="0" applyFont="1" applyFill="1" applyNumberFormat="1">
      <alignment vertical="center" wrapText="1"/>
    </xf>
    <xf numFmtId="49" fontId="22" fillId="35" borderId="12"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0" fontId="22" fillId="41" borderId="12" xfId="0" applyFont="1" applyFill="1" applyBorder="1" applyNumberFormat="1">
      <alignment horizontal="center" vertical="center" wrapText="1"/>
    </xf>
    <xf numFmtId="0" fontId="22" fillId="41" borderId="14" xfId="0" applyFont="1" applyFill="1" applyBorder="1" applyNumberFormat="1">
      <alignment horizontal="center" vertical="center" wrapText="1"/>
    </xf>
    <xf numFmtId="0" fontId="22" fillId="35" borderId="13" xfId="0" applyFont="1" applyFill="1" applyBorder="1" applyNumberFormat="1">
      <alignment horizontal="center" vertical="center" wrapText="1"/>
    </xf>
    <xf numFmtId="0" fontId="22" fillId="41" borderId="13" xfId="0" applyFont="1" applyFill="1" applyBorder="1" applyNumberFormat="1">
      <alignment horizontal="center" vertical="center" wrapText="1"/>
    </xf>
    <xf numFmtId="49" fontId="22" fillId="0" borderId="0" xfId="0" applyFont="1" applyNumberFormat="1">
      <alignment vertical="center" wrapText="1"/>
    </xf>
    <xf numFmtId="49" fontId="45" fillId="0" borderId="0" xfId="0" applyFont="1" applyNumberFormat="1">
      <alignment vertical="top"/>
    </xf>
    <xf numFmtId="0" fontId="22" fillId="35" borderId="29" xfId="0" applyFont="1" applyFill="1" applyBorder="1" applyNumberFormat="1">
      <alignment horizontal="center" vertical="center" wrapText="1"/>
    </xf>
    <xf numFmtId="0" fontId="22" fillId="35" borderId="12" xfId="0" applyFont="1" applyFill="1" applyBorder="1" applyNumberFormat="1">
      <alignment horizontal="center" vertical="center" wrapText="1"/>
    </xf>
    <xf numFmtId="49" fontId="22" fillId="41" borderId="27" xfId="0" applyFont="1" applyFill="1" applyBorder="1" applyNumberFormat="1">
      <alignment horizontal="center" vertical="center" wrapText="1"/>
    </xf>
    <xf numFmtId="49" fontId="45" fillId="35" borderId="0" xfId="0" applyFont="1" applyFill="1" applyNumberFormat="1">
      <alignment vertical="center"/>
    </xf>
    <xf numFmtId="49" fontId="36" fillId="0" borderId="12" xfId="0" applyFont="1" applyBorder="1" applyNumberFormat="1">
      <alignment horizontal="center" vertical="center"/>
    </xf>
    <xf numFmtId="49" fontId="36" fillId="41" borderId="12" xfId="0" applyFont="1" applyFill="1" applyBorder="1" applyNumberFormat="1">
      <alignment horizontal="center" vertical="center"/>
    </xf>
    <xf numFmtId="0" fontId="36" fillId="0" borderId="12" xfId="0" applyFont="1" applyBorder="1" applyNumberFormat="1">
      <alignment horizontal="center" vertical="center"/>
    </xf>
    <xf numFmtId="49" fontId="36" fillId="0" borderId="23" xfId="0" applyFont="1" applyBorder="1" applyNumberFormat="1">
      <alignment horizontal="center" vertical="center"/>
    </xf>
    <xf numFmtId="49" fontId="22" fillId="0" borderId="0" xfId="0" applyFont="1" applyNumberFormat="1">
      <alignment vertical="center"/>
    </xf>
    <xf numFmtId="49" fontId="99" fillId="0" borderId="0" xfId="0" applyFont="1" applyNumberFormat="1">
      <alignment vertical="center"/>
    </xf>
    <xf numFmtId="49" fontId="47"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pplyNumberFormat="1">
      <alignment horizontal="right" vertical="center"/>
    </xf>
    <xf numFmtId="0" fontId="22" fillId="0" borderId="17" xfId="0" applyFont="1" applyBorder="1" applyNumberFormat="1">
      <alignment horizontal="center" vertical="center"/>
    </xf>
    <xf numFmtId="0" fontId="22" fillId="0" borderId="12" xfId="0" applyFont="1" applyBorder="1" applyNumberFormat="1">
      <alignment horizontal="right" vertical="center"/>
    </xf>
    <xf numFmtId="49" fontId="22" fillId="0" borderId="0" xfId="0" applyFont="1" applyNumberFormat="1">
      <alignment vertical="center"/>
    </xf>
    <xf numFmtId="49" fontId="45" fillId="0" borderId="0" xfId="0" applyFont="1" applyNumberFormat="1">
      <alignment vertical="top"/>
    </xf>
    <xf numFmtId="4" fontId="45" fillId="35" borderId="0" xfId="0" applyFont="1" applyFill="1" applyNumberFormat="1">
      <alignment vertical="center"/>
    </xf>
    <xf numFmtId="49" fontId="45" fillId="0" borderId="0" xfId="0" applyFont="1" applyNumberFormat="1">
      <alignment vertical="center" wrapText="1"/>
    </xf>
    <xf numFmtId="49" fontId="45" fillId="0" borderId="0" xfId="0" applyFont="1" applyNumberFormat="1">
      <alignment vertical="top"/>
    </xf>
    <xf numFmtId="0" fontId="45" fillId="0" borderId="0" xfId="0" applyFont="1" applyNumberFormat="1">
      <alignment vertical="center" wrapText="1"/>
    </xf>
    <xf numFmtId="49" fontId="94" fillId="0" borderId="0" xfId="0" applyFont="1" applyNumberFormat="1">
      <alignment vertical="center" wrapText="1"/>
    </xf>
    <xf numFmtId="49" fontId="45" fillId="0" borderId="0" xfId="0" applyFont="1" applyNumberFormat="1">
      <alignment vertical="center" wrapText="1"/>
    </xf>
    <xf numFmtId="49" fontId="99" fillId="0" borderId="0" xfId="0" applyFont="1" applyNumberFormat="1">
      <alignment vertical="center" wrapText="1"/>
    </xf>
    <xf numFmtId="49" fontId="99" fillId="0" borderId="0" xfId="0" applyFont="1" applyNumberFormat="1">
      <alignment vertical="center" wrapText="1"/>
    </xf>
    <xf numFmtId="0" fontId="36" fillId="0" borderId="0" xfId="0" applyFont="1" applyNumberFormat="1">
      <alignment horizontal="center" vertical="center" wrapText="1"/>
    </xf>
    <xf numFmtId="0" fontId="22" fillId="0" borderId="12" xfId="0" applyFont="1" applyBorder="1" applyNumberFormat="1">
      <alignment horizontal="center" vertical="center" wrapText="1"/>
    </xf>
    <xf numFmtId="0" fontId="22" fillId="34" borderId="14" xfId="0" applyFont="1" applyFill="1" applyBorder="1" applyNumberFormat="1">
      <alignment horizontal="left" vertical="top" wrapText="1" indent="1"/>
    </xf>
    <xf numFmtId="0" fontId="22" fillId="0" borderId="14" xfId="0" applyFont="1" applyBorder="1" applyNumberFormat="1">
      <alignment horizontal="center" vertical="center" wrapText="1"/>
    </xf>
    <xf numFmtId="0" fontId="22" fillId="0" borderId="12" xfId="0" applyFont="1" applyBorder="1" applyNumberFormat="1">
      <alignment horizontal="left" vertical="top" wrapText="1"/>
    </xf>
    <xf numFmtId="3" fontId="22" fillId="39" borderId="14" xfId="0" applyFont="1" applyFill="1" applyBorder="1" applyNumberFormat="1">
      <alignment vertical="center" wrapText="1"/>
      <protection locked="0"/>
    </xf>
    <xf numFmtId="0" fontId="22" fillId="0" borderId="12" xfId="0" applyFont="1" applyBorder="1" applyNumberFormat="1">
      <alignment vertical="top" wrapText="1"/>
    </xf>
    <xf numFmtId="0" fontId="22" fillId="0" borderId="12" xfId="0" applyFont="1" applyBorder="1" applyNumberFormat="1">
      <alignment horizontal="left" vertical="top" wrapText="1"/>
    </xf>
    <xf numFmtId="4" fontId="22" fillId="34" borderId="14" xfId="0" applyFont="1" applyFill="1" applyBorder="1" applyNumberFormat="1">
      <alignment horizontal="right" vertical="center" wrapText="1"/>
    </xf>
    <xf numFmtId="0" fontId="47" fillId="0" borderId="12" xfId="0" applyFont="1" applyBorder="1" applyNumberFormat="1">
      <alignment vertical="top" wrapText="1"/>
    </xf>
    <xf numFmtId="49" fontId="22" fillId="39" borderId="12" xfId="0" applyFont="1" applyFill="1" applyBorder="1" applyNumberFormat="1">
      <alignment horizontal="left" vertical="center" wrapText="1" indent="1"/>
      <protection locked="0"/>
    </xf>
    <xf numFmtId="0" fontId="39" fillId="35" borderId="0" xfId="0" applyFont="1" applyFill="1" applyNumberFormat="1">
      <alignment vertical="center" wrapText="1"/>
    </xf>
    <xf numFmtId="0" fontId="22" fillId="35" borderId="0" xfId="0" applyFont="1" applyFill="1" applyNumberFormat="1">
      <alignment vertical="center" wrapText="1"/>
    </xf>
    <xf numFmtId="0" fontId="22" fillId="0" borderId="20" xfId="0" applyFont="1" applyBorder="1" applyNumberFormat="1">
      <alignment horizontal="left" vertical="top" wrapText="1" indent="1"/>
    </xf>
    <xf numFmtId="0" fontId="22" fillId="0" borderId="17" xfId="0" applyFont="1" applyBorder="1" applyNumberFormat="1">
      <alignment horizontal="left" vertical="top" wrapText="1" indent="1"/>
    </xf>
    <xf numFmtId="0" fontId="22" fillId="0" borderId="37" xfId="0" applyFont="1" applyBorder="1" applyNumberFormat="1">
      <alignment horizontal="left" vertical="top" wrapText="1" indent="1"/>
    </xf>
    <xf numFmtId="49" fontId="22" fillId="0" borderId="0" xfId="0" applyFont="1" applyNumberFormat="1">
      <alignment vertical="center" wrapText="1"/>
    </xf>
    <xf numFmtId="0" fontId="22" fillId="0" borderId="29" xfId="0" applyFont="1" applyBorder="1" applyNumberFormat="1">
      <alignment horizontal="left" vertical="center" wrapText="1" indent="1"/>
    </xf>
    <xf numFmtId="0" fontId="22" fillId="0" borderId="23" xfId="0" applyFont="1" applyBorder="1" applyNumberFormat="1">
      <alignment horizontal="left" vertical="center" wrapText="1" indent="1"/>
    </xf>
    <xf numFmtId="0" fontId="22" fillId="0" borderId="30" xfId="0" applyFont="1" applyBorder="1" applyNumberFormat="1">
      <alignment horizontal="left" vertical="center" wrapText="1" indent="1"/>
    </xf>
    <xf numFmtId="0" fontId="22" fillId="35" borderId="0" xfId="0" applyFont="1" applyFill="1" applyNumberFormat="1">
      <alignment horizontal="center" vertical="center" wrapText="1"/>
    </xf>
    <xf numFmtId="49" fontId="22" fillId="0" borderId="0" xfId="0" applyFont="1" applyNumberFormat="1">
      <alignment vertical="center" wrapText="1"/>
    </xf>
    <xf numFmtId="0" fontId="22" fillId="35" borderId="0" xfId="0" applyFont="1" applyFill="1" applyNumberFormat="1">
      <alignment horizontal="center" vertical="center" wrapText="1"/>
    </xf>
    <xf numFmtId="0" fontId="22" fillId="35" borderId="12" xfId="0" applyFont="1" applyFill="1" applyBorder="1" applyNumberFormat="1">
      <alignment horizontal="center" vertical="center" wrapText="1"/>
    </xf>
    <xf numFmtId="0" fontId="0" fillId="0" borderId="12" xfId="0" applyFont="1" applyBorder="1" applyNumberFormat="1">
      <alignment horizontal="center" vertical="center" wrapText="1"/>
    </xf>
    <xf numFmtId="49" fontId="36" fillId="35" borderId="0" xfId="0" applyFont="1" applyFill="1" applyNumberFormat="1">
      <alignment horizontal="center" vertical="center" wrapText="1"/>
    </xf>
    <xf numFmtId="49" fontId="22" fillId="0" borderId="0" xfId="0" applyFont="1" applyNumberFormat="1">
      <alignment vertical="top"/>
    </xf>
    <xf numFmtId="49" fontId="0" fillId="35" borderId="12" xfId="0" applyFont="1" applyFill="1" applyBorder="1" applyNumberFormat="1">
      <alignment horizontal="center" vertical="center" wrapText="1"/>
    </xf>
    <xf numFmtId="0" fontId="0" fillId="0" borderId="12" xfId="0" applyFont="1" applyBorder="1" applyNumberFormat="1">
      <alignment vertical="center" wrapText="1"/>
    </xf>
    <xf numFmtId="0" fontId="0" fillId="0" borderId="12" xfId="0" applyFont="1" applyBorder="1" applyNumberFormat="1">
      <alignment horizontal="center" vertical="center" wrapText="1"/>
    </xf>
    <xf numFmtId="0" fontId="22" fillId="0" borderId="12" xfId="0" applyFont="1" applyBorder="1" applyNumberFormat="1">
      <alignment vertical="center" wrapText="1"/>
    </xf>
    <xf numFmtId="0" fontId="0" fillId="0" borderId="12" xfId="0" applyFont="1" applyBorder="1" applyNumberFormat="1">
      <alignment horizontal="left" vertical="center" wrapText="1" indent="1"/>
    </xf>
    <xf numFmtId="0" fontId="0" fillId="39" borderId="12" xfId="0" applyFont="1" applyFill="1" applyBorder="1" applyNumberFormat="1">
      <alignment horizontal="left" vertical="center" wrapText="1" indent="2"/>
      <protection locked="0"/>
    </xf>
    <xf numFmtId="49" fontId="53" fillId="39" borderId="12" xfId="0" applyFont="1" applyFill="1" applyBorder="1" applyNumberFormat="1">
      <alignment horizontal="left" vertical="center" wrapText="1"/>
      <protection locked="0"/>
    </xf>
    <xf numFmtId="0" fontId="22" fillId="37" borderId="14" xfId="0" applyFont="1" applyFill="1" applyBorder="1" applyNumberFormat="1">
      <alignment vertical="center" wrapText="1"/>
    </xf>
    <xf numFmtId="49" fontId="40" fillId="37" borderId="15" xfId="0" applyFont="1" applyFill="1" applyBorder="1" applyNumberFormat="1">
      <alignment horizontal="left" vertical="center" indent="2"/>
    </xf>
    <xf numFmtId="49" fontId="44" fillId="37" borderId="13" xfId="0" applyFont="1" applyFill="1" applyBorder="1" applyNumberFormat="1">
      <alignment horizontal="center" vertical="top"/>
    </xf>
    <xf numFmtId="0" fontId="47" fillId="0" borderId="0" xfId="0" applyFont="1" applyNumberFormat="1">
      <alignment vertical="center" wrapText="1"/>
    </xf>
    <xf numFmtId="0" fontId="39" fillId="35" borderId="0" xfId="0" applyFont="1" applyFill="1" applyNumberFormat="1">
      <alignment vertical="center" wrapText="1"/>
    </xf>
    <xf numFmtId="49" fontId="44" fillId="37" borderId="15" xfId="0" applyFont="1" applyFill="1" applyBorder="1" applyNumberFormat="1">
      <alignment horizontal="center" vertical="top"/>
    </xf>
    <xf numFmtId="0" fontId="48" fillId="0" borderId="0" xfId="0" applyFont="1" applyNumberFormat="1">
      <alignment vertical="center"/>
    </xf>
    <xf numFmtId="0" fontId="22" fillId="0" borderId="0" xfId="0" applyFont="1" applyNumberFormat="1">
      <alignment vertical="center" wrapText="1"/>
    </xf>
    <xf numFmtId="49" fontId="0" fillId="35" borderId="12" xfId="0" applyFont="1" applyFill="1" applyBorder="1" applyNumberFormat="1">
      <alignment horizontal="center" vertical="center" wrapText="1"/>
    </xf>
    <xf numFmtId="0" fontId="0" fillId="0" borderId="12" xfId="0" applyFont="1" applyBorder="1" applyNumberFormat="1">
      <alignment horizontal="left" vertical="center" wrapText="1" indent="1"/>
    </xf>
    <xf numFmtId="0" fontId="0" fillId="35" borderId="12" xfId="0" applyFont="1" applyFill="1" applyBorder="1" applyNumberFormat="1">
      <alignment horizontal="center" vertical="center" wrapText="1"/>
    </xf>
    <xf numFmtId="0" fontId="0" fillId="0" borderId="12" xfId="0" applyFont="1" applyBorder="1" applyNumberFormat="1">
      <alignment horizontal="left" vertical="center" wrapText="1" indent="1"/>
    </xf>
    <xf numFmtId="49" fontId="67" fillId="0" borderId="12" xfId="0" applyFont="1" applyBorder="1" applyNumberFormat="1">
      <alignment horizontal="center" vertical="center" wrapText="1"/>
    </xf>
    <xf numFmtId="0" fontId="67" fillId="0" borderId="12" xfId="0" applyFont="1" applyBorder="1" applyNumberFormat="1">
      <alignment horizontal="left" vertical="center" wrapText="1" indent="2"/>
    </xf>
    <xf numFmtId="49" fontId="70" fillId="0" borderId="14" xfId="0" applyFont="1" applyBorder="1" applyNumberFormat="1">
      <alignment horizontal="left" vertical="center" wrapText="1"/>
    </xf>
    <xf numFmtId="0" fontId="22" fillId="0" borderId="17" xfId="0" applyFont="1" applyBorder="1" applyNumberFormat="1">
      <alignment vertical="top" wrapText="1"/>
    </xf>
    <xf numFmtId="49" fontId="40" fillId="37" borderId="15" xfId="0" applyFont="1" applyFill="1" applyBorder="1" applyNumberFormat="1">
      <alignment horizontal="left" vertical="center" indent="1"/>
    </xf>
    <xf numFmtId="0" fontId="22" fillId="0" borderId="23" xfId="0" applyFont="1" applyBorder="1" applyNumberFormat="1">
      <alignment vertical="top" wrapText="1"/>
    </xf>
    <xf numFmtId="49" fontId="0" fillId="35" borderId="12" xfId="0" applyFont="1" applyFill="1" applyBorder="1" applyNumberFormat="1">
      <alignment horizontal="center" vertical="center" wrapText="1"/>
    </xf>
    <xf numFmtId="0" fontId="0" fillId="0" borderId="12" xfId="0" applyFont="1" applyBorder="1" applyNumberFormat="1">
      <alignment horizontal="center" vertical="center" wrapText="1"/>
    </xf>
    <xf numFmtId="0" fontId="22" fillId="0" borderId="12" xfId="0" applyFont="1" applyBorder="1" applyNumberFormat="1">
      <alignment vertical="center" wrapText="1"/>
    </xf>
    <xf numFmtId="0" fontId="0" fillId="0" borderId="12" xfId="0" applyFont="1" applyBorder="1" applyNumberFormat="1">
      <alignment horizontal="left" vertical="center" wrapText="1" indent="1"/>
    </xf>
    <xf numFmtId="0" fontId="22" fillId="0" borderId="0" xfId="0" applyFont="1" applyNumberFormat="1">
      <alignment vertical="top" wrapText="1"/>
    </xf>
    <xf numFmtId="49" fontId="22" fillId="0" borderId="0" xfId="0" applyFont="1" applyNumberFormat="1">
      <alignment vertical="center" wrapText="1"/>
    </xf>
    <xf numFmtId="0" fontId="39" fillId="0" borderId="0" xfId="0" applyFont="1" applyNumberFormat="1">
      <alignment vertical="center" wrapText="1"/>
    </xf>
    <xf numFmtId="49" fontId="47" fillId="0" borderId="0" xfId="0" applyFont="1" applyNumberFormat="1">
      <alignment vertical="top"/>
    </xf>
    <xf numFmtId="0" fontId="0" fillId="39" borderId="12" xfId="0" applyFont="1" applyFill="1" applyBorder="1" applyNumberFormat="1">
      <alignment horizontal="left" vertical="center" wrapText="1" indent="1"/>
      <protection locked="0"/>
    </xf>
    <xf numFmtId="49" fontId="53" fillId="39" borderId="12" xfId="0" applyFont="1" applyFill="1" applyBorder="1" applyNumberFormat="1">
      <alignment horizontal="left" vertical="center" wrapText="1"/>
      <protection locked="0"/>
    </xf>
    <xf numFmtId="0" fontId="0" fillId="0" borderId="12" xfId="0" applyFont="1" applyBorder="1" applyNumberFormat="1">
      <alignment horizontal="left" vertical="center" wrapText="1" indent="1"/>
    </xf>
    <xf numFmtId="0" fontId="0" fillId="39" borderId="12" xfId="0" applyFont="1" applyFill="1" applyBorder="1" applyNumberFormat="1">
      <alignment horizontal="left" vertical="center" wrapText="1"/>
      <protection locked="0"/>
    </xf>
    <xf numFmtId="0" fontId="0" fillId="0" borderId="12" xfId="0" applyFont="1" applyBorder="1" applyNumberFormat="1">
      <alignment horizontal="left" vertical="center" wrapText="1" indent="2"/>
    </xf>
    <xf numFmtId="49" fontId="22" fillId="40" borderId="12" xfId="0" applyFont="1" applyFill="1" applyBorder="1" applyNumberFormat="1">
      <alignment horizontal="left" vertical="center" wrapText="1"/>
    </xf>
    <xf numFmtId="0" fontId="0" fillId="0" borderId="12" xfId="0" applyFont="1" applyBorder="1" applyNumberFormat="1">
      <alignment horizontal="left" vertical="center" wrapText="1"/>
    </xf>
    <xf numFmtId="504" fontId="0" fillId="39" borderId="12" xfId="0" applyFont="1" applyFill="1" applyBorder="1" applyNumberFormat="1">
      <alignment horizontal="left" vertical="center" wrapText="1"/>
      <protection locked="0"/>
    </xf>
    <xf numFmtId="0" fontId="22" fillId="0" borderId="12" xfId="0" applyFont="1" applyBorder="1" applyNumberFormat="1">
      <alignment horizontal="left" vertical="top" wrapText="1"/>
    </xf>
    <xf numFmtId="0" fontId="0" fillId="0" borderId="12" xfId="0" applyFont="1" applyBorder="1" applyNumberFormat="1">
      <alignment horizontal="left" vertical="center" wrapText="1"/>
    </xf>
    <xf numFmtId="0" fontId="22" fillId="0" borderId="12" xfId="0" applyFont="1" applyBorder="1" applyNumberFormat="1">
      <alignment horizontal="left" vertical="center" wrapText="1"/>
    </xf>
    <xf numFmtId="0" fontId="0" fillId="0" borderId="12" xfId="0" applyFont="1" applyBorder="1" applyNumberFormat="1">
      <alignment horizontal="left" vertical="center" wrapText="1"/>
    </xf>
    <xf numFmtId="0" fontId="22" fillId="0" borderId="12" xfId="0" applyFont="1" applyBorder="1" applyNumberFormat="1">
      <alignment vertical="top" wrapText="1"/>
    </xf>
    <xf numFmtId="49" fontId="40" fillId="37" borderId="15" xfId="0" applyFont="1" applyFill="1" applyBorder="1" applyNumberFormat="1">
      <alignment horizontal="left" vertical="center" indent="2"/>
    </xf>
    <xf numFmtId="49" fontId="40" fillId="37" borderId="15" xfId="0" applyFont="1" applyFill="1" applyBorder="1" applyNumberFormat="1">
      <alignment horizontal="left" vertical="center" indent="3"/>
    </xf>
    <xf numFmtId="49" fontId="22" fillId="40" borderId="12" xfId="0" applyFont="1" applyFill="1" applyBorder="1" applyNumberFormat="1">
      <alignment horizontal="left" vertical="center" wrapText="1"/>
    </xf>
    <xf numFmtId="49" fontId="22" fillId="0" borderId="0" xfId="0" applyFont="1" applyNumberFormat="1">
      <alignment vertical="top"/>
    </xf>
    <xf numFmtId="49" fontId="48" fillId="0" borderId="0" xfId="0" applyFont="1" applyNumberFormat="1">
      <alignment vertical="top"/>
    </xf>
    <xf numFmtId="49" fontId="22" fillId="0" borderId="0" xfId="0" applyFont="1" applyNumberFormat="1">
      <alignment vertical="top"/>
    </xf>
    <xf numFmtId="49" fontId="22" fillId="0" borderId="0" xfId="0" applyFont="1" applyNumberFormat="1">
      <alignment vertical="top" wrapText="1"/>
    </xf>
    <xf numFmtId="49" fontId="22" fillId="0" borderId="0" xfId="0" applyFont="1" applyNumberFormat="1">
      <alignment vertical="top"/>
    </xf>
    <xf numFmtId="0" fontId="0" fillId="0" borderId="13" xfId="0" applyFont="1" applyBorder="1" applyNumberFormat="1">
      <alignment horizontal="center" vertical="center" wrapText="1"/>
    </xf>
    <xf numFmtId="504" fontId="0" fillId="39" borderId="13" xfId="0" applyFont="1" applyFill="1" applyBorder="1" applyNumberFormat="1">
      <alignment horizontal="left" vertical="center" wrapText="1"/>
      <protection locked="0"/>
    </xf>
    <xf numFmtId="504" fontId="0" fillId="39" borderId="14" xfId="0" applyFont="1" applyFill="1" applyBorder="1" applyNumberFormat="1">
      <alignment horizontal="left" vertical="center" wrapText="1"/>
      <protection locked="0"/>
    </xf>
    <xf numFmtId="0" fontId="22" fillId="40" borderId="12" xfId="0" applyFont="1" applyFill="1" applyBorder="1" applyNumberFormat="1">
      <alignment horizontal="left" vertical="center" wrapText="1"/>
    </xf>
    <xf numFmtId="0" fontId="0" fillId="0" borderId="36" xfId="0" applyFont="1" applyBorder="1" applyNumberFormat="1">
      <alignment horizontal="center" vertical="center" wrapText="1"/>
    </xf>
    <xf numFmtId="0" fontId="0" fillId="0" borderId="13" xfId="0" applyFont="1" applyBorder="1" applyNumberFormat="1">
      <alignment horizontal="center" vertical="center" wrapText="1"/>
    </xf>
    <xf numFmtId="0" fontId="22" fillId="0" borderId="0" xfId="0" applyFont="1" applyNumberFormat="1">
      <alignment horizontal="left" vertical="center" wrapText="1" indent="1"/>
    </xf>
    <xf numFmtId="0" fontId="22" fillId="0" borderId="0" xfId="0" applyFont="1" applyNumberFormat="1">
      <alignment vertical="center" wrapText="1"/>
    </xf>
    <xf numFmtId="0" fontId="0" fillId="0" borderId="12" xfId="0" applyFont="1" applyBorder="1" applyNumberFormat="1">
      <alignment horizontal="center" vertical="center" wrapText="1"/>
    </xf>
    <xf numFmtId="0" fontId="22" fillId="0" borderId="15" xfId="0" applyFont="1" applyBorder="1" applyNumberFormat="1">
      <alignment horizontal="left" vertical="top" wrapText="1" indent="1"/>
    </xf>
    <xf numFmtId="0" fontId="46" fillId="0" borderId="0" xfId="0" applyFont="1" applyNumberFormat="1">
      <alignment vertical="center" wrapText="1"/>
    </xf>
    <xf numFmtId="0" fontId="0" fillId="35" borderId="14" xfId="0" applyFont="1" applyFill="1" applyBorder="1" applyNumberFormat="1">
      <alignment horizontal="right" vertical="center" wrapText="1" indent="1"/>
    </xf>
    <xf numFmtId="0" fontId="71" fillId="0" borderId="0" xfId="0" applyFont="1" applyNumberFormat="1">
      <alignment vertical="center" wrapText="1"/>
    </xf>
    <xf numFmtId="49" fontId="36" fillId="35" borderId="0" xfId="0" applyFont="1" applyFill="1" applyNumberFormat="1">
      <alignment horizontal="center" vertical="center" wrapText="1"/>
    </xf>
    <xf numFmtId="49" fontId="36" fillId="35" borderId="19" xfId="0" applyFont="1" applyFill="1" applyBorder="1" applyNumberFormat="1">
      <alignment horizontal="center" vertical="center" wrapText="1"/>
    </xf>
    <xf numFmtId="49" fontId="0" fillId="35" borderId="17" xfId="0" applyFont="1" applyFill="1" applyBorder="1" applyNumberFormat="1">
      <alignment horizontal="center" vertical="center" wrapText="1"/>
    </xf>
    <xf numFmtId="0" fontId="0" fillId="0" borderId="17" xfId="0" applyFont="1" applyBorder="1" applyNumberFormat="1">
      <alignment horizontal="left" vertical="center" wrapText="1"/>
    </xf>
    <xf numFmtId="0" fontId="0" fillId="0" borderId="17" xfId="0" applyFont="1" applyBorder="1" applyNumberFormat="1">
      <alignment horizontal="left" vertical="center" wrapText="1"/>
    </xf>
    <xf numFmtId="0" fontId="22" fillId="0" borderId="12" xfId="0" applyFont="1" applyBorder="1" applyNumberFormat="1">
      <alignment horizontal="left" vertical="center" wrapText="1"/>
    </xf>
    <xf numFmtId="0" fontId="39" fillId="35" borderId="0" xfId="0" applyFont="1" applyFill="1" applyNumberFormat="1">
      <alignment horizontal="center" vertical="top" wrapText="1"/>
    </xf>
    <xf numFmtId="0" fontId="0" fillId="34" borderId="14" xfId="0" applyFont="1" applyFill="1" applyBorder="1" applyNumberFormat="1">
      <alignment horizontal="left" vertical="center" wrapText="1" indent="1"/>
    </xf>
    <xf numFmtId="0" fontId="0" fillId="0" borderId="13" xfId="0" applyFont="1" applyBorder="1" applyNumberFormat="1">
      <alignment horizontal="center" vertical="center" wrapText="1"/>
    </xf>
    <xf numFmtId="0" fontId="0" fillId="0" borderId="13" xfId="0" applyFont="1" applyBorder="1" applyNumberFormat="1">
      <alignment horizontal="center" vertical="center" wrapText="1"/>
    </xf>
    <xf numFmtId="49" fontId="40" fillId="37" borderId="27" xfId="0" applyFont="1" applyFill="1" applyBorder="1" applyNumberFormat="1">
      <alignment horizontal="left" vertical="center" indent="2"/>
    </xf>
    <xf numFmtId="49" fontId="40" fillId="37" borderId="15" xfId="0" applyFont="1" applyFill="1" applyBorder="1" applyNumberFormat="1">
      <alignment horizontal="left" vertical="center"/>
    </xf>
    <xf numFmtId="0" fontId="39" fillId="35" borderId="24" xfId="0" applyFont="1" applyFill="1" applyBorder="1" applyNumberFormat="1">
      <alignment horizontal="center" vertical="top" wrapText="1"/>
    </xf>
    <xf numFmtId="49" fontId="0" fillId="35" borderId="23" xfId="0" applyFont="1" applyFill="1" applyBorder="1" applyNumberFormat="1">
      <alignment horizontal="center" vertical="center" wrapText="1"/>
    </xf>
    <xf numFmtId="0" fontId="0" fillId="34" borderId="23" xfId="0" applyFont="1" applyFill="1" applyBorder="1" applyNumberFormat="1">
      <alignment horizontal="left" vertical="center" wrapText="1" indent="1"/>
    </xf>
    <xf numFmtId="504" fontId="0" fillId="39" borderId="13" xfId="0" applyFont="1" applyFill="1" applyBorder="1" applyNumberFormat="1">
      <alignment horizontal="left" vertical="center" wrapText="1"/>
      <protection locked="0"/>
    </xf>
    <xf numFmtId="504" fontId="0" fillId="39" borderId="14" xfId="0" applyFont="1" applyFill="1" applyBorder="1" applyNumberFormat="1">
      <alignment horizontal="left" vertical="center" wrapText="1"/>
      <protection locked="0"/>
    </xf>
    <xf numFmtId="0" fontId="0" fillId="0" borderId="13" xfId="0" applyFont="1" applyBorder="1" applyNumberFormat="1">
      <alignment horizontal="center" vertical="center" wrapText="1"/>
    </xf>
    <xf numFmtId="49" fontId="0" fillId="35" borderId="14" xfId="0" applyFont="1" applyFill="1" applyBorder="1" applyNumberFormat="1">
      <alignment horizontal="center" vertical="center" wrapText="1"/>
    </xf>
    <xf numFmtId="49" fontId="27" fillId="39" borderId="12" xfId="0" applyFont="1" applyFill="1" applyBorder="1" applyNumberFormat="1">
      <alignment horizontal="left" vertical="center" wrapText="1"/>
      <protection locked="0"/>
    </xf>
    <xf numFmtId="0" fontId="22" fillId="0" borderId="36" xfId="0" applyFont="1" applyBorder="1" applyNumberFormat="1">
      <alignment horizontal="left" vertical="top" wrapText="1"/>
    </xf>
    <xf numFmtId="49" fontId="22" fillId="0" borderId="0" xfId="0" applyFont="1" applyNumberFormat="1">
      <alignment vertical="top"/>
    </xf>
    <xf numFmtId="49" fontId="22" fillId="0" borderId="19" xfId="0" applyFont="1" applyBorder="1" applyNumberFormat="1">
      <alignment vertical="top"/>
    </xf>
    <xf numFmtId="0" fontId="46" fillId="0" borderId="0" xfId="0" applyFont="1" applyNumberFormat="1">
      <alignment horizontal="right" vertical="top" wrapText="1"/>
    </xf>
    <xf numFmtId="49" fontId="22" fillId="0" borderId="0" xfId="0" applyFont="1" applyNumberFormat="1">
      <alignment vertical="top" wrapText="1"/>
    </xf>
    <xf numFmtId="0" fontId="22" fillId="0" borderId="0" xfId="0" applyFont="1" applyNumberFormat="1">
      <alignment vertical="top" wrapText="1"/>
    </xf>
    <xf numFmtId="49" fontId="22" fillId="0" borderId="0" xfId="0" applyFont="1" applyNumberFormat="1">
      <alignment vertical="top"/>
    </xf>
    <xf numFmtId="0" fontId="22" fillId="35" borderId="12" xfId="0" applyFont="1" applyFill="1" applyBorder="1" applyNumberFormat="1">
      <alignment horizontal="center" vertical="center" wrapText="1"/>
    </xf>
    <xf numFmtId="49" fontId="27" fillId="39" borderId="12" xfId="0" applyFont="1" applyFill="1" applyBorder="1" applyNumberFormat="1">
      <alignment horizontal="left" vertical="center" wrapText="1"/>
      <protection locked="0"/>
    </xf>
    <xf numFmtId="0" fontId="37" fillId="35" borderId="0" xfId="0" applyFont="1" applyFill="1" applyNumberFormat="1">
      <alignment horizontal="center" vertical="center" wrapText="1"/>
    </xf>
    <xf numFmtId="0" fontId="0" fillId="0" borderId="12" xfId="0" applyFont="1" applyBorder="1" applyNumberFormat="1">
      <alignment horizontal="left" vertical="center" wrapText="1"/>
    </xf>
    <xf numFmtId="0" fontId="22" fillId="0" borderId="19" xfId="0" applyFont="1" applyBorder="1" applyNumberFormat="1">
      <alignment vertical="center" wrapText="1"/>
    </xf>
    <xf numFmtId="0" fontId="22" fillId="0" borderId="19" xfId="0" applyFont="1" applyBorder="1" applyNumberFormat="1">
      <alignment horizontal="left" vertical="top" wrapText="1"/>
    </xf>
    <xf numFmtId="49" fontId="22" fillId="0" borderId="0" xfId="0" applyFont="1" applyNumberFormat="1">
      <alignment vertical="center" wrapText="1"/>
    </xf>
    <xf numFmtId="0" fontId="83" fillId="0" borderId="0" xfId="0" applyFont="1" applyNumberFormat="1">
      <alignment vertical="center" wrapText="1"/>
    </xf>
    <xf numFmtId="0" fontId="22" fillId="0" borderId="12" xfId="0" applyFont="1" applyBorder="1" applyNumberFormat="1">
      <alignment horizontal="center" vertical="center" wrapText="1"/>
    </xf>
    <xf numFmtId="0" fontId="22" fillId="0" borderId="12" xfId="0" applyFont="1" applyBorder="1" applyNumberFormat="1">
      <alignment horizontal="left" vertical="center" wrapText="1"/>
    </xf>
    <xf numFmtId="3" fontId="22" fillId="0" borderId="14" xfId="0" applyFont="1" applyBorder="1" applyNumberFormat="1">
      <alignment vertical="center" wrapText="1"/>
    </xf>
    <xf numFmtId="0" fontId="22" fillId="0" borderId="12" xfId="0" applyFont="1" applyBorder="1" applyNumberFormat="1">
      <alignment horizontal="center" vertical="center" wrapText="1"/>
    </xf>
    <xf numFmtId="0" fontId="22" fillId="0" borderId="17" xfId="0" applyFont="1" applyBorder="1" applyNumberFormat="1">
      <alignment horizontal="center" vertical="center" wrapText="1"/>
    </xf>
    <xf numFmtId="0" fontId="22" fillId="0" borderId="17" xfId="0" applyFont="1" applyBorder="1" applyNumberFormat="1">
      <alignment horizontal="center" vertical="center" wrapText="1"/>
    </xf>
    <xf numFmtId="0" fontId="22" fillId="0" borderId="12" xfId="0" applyFont="1" applyBorder="1" applyNumberFormat="1">
      <alignment horizontal="left" vertical="center" wrapText="1" indent="1"/>
    </xf>
    <xf numFmtId="49" fontId="22" fillId="0" borderId="12" xfId="0" applyFont="1" applyBorder="1" applyNumberFormat="1">
      <alignment horizontal="center" vertical="center" wrapText="1"/>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53" fillId="0" borderId="0" xfId="0" applyFont="1" applyNumberFormat="1">
      <alignment vertical="center" wrapText="1"/>
    </xf>
    <xf numFmtId="49" fontId="22" fillId="0" borderId="0" xfId="0" applyFont="1" applyNumberFormat="1">
      <alignment horizontal="center" vertical="top"/>
    </xf>
    <xf numFmtId="49" fontId="32" fillId="47" borderId="0" xfId="0" applyFont="1" applyFill="1" applyNumberFormat="1">
      <alignment horizontal="center" vertical="center"/>
    </xf>
    <xf numFmtId="49" fontId="22" fillId="0" borderId="12" xfId="0" applyFont="1" applyBorder="1" applyNumberFormat="1">
      <alignment horizontal="center" vertical="top"/>
    </xf>
    <xf numFmtId="49" fontId="47" fillId="47" borderId="0" xfId="0" applyFont="1" applyFill="1" applyNumberFormat="1">
      <alignment horizontal="center" vertical="center" wrapText="1"/>
    </xf>
    <xf numFmtId="0" fontId="0" fillId="49" borderId="12" xfId="0" applyFont="1" applyFill="1" applyBorder="1" applyNumberFormat="1">
      <alignment horizontal="center" vertical="center"/>
    </xf>
    <xf numFmtId="49" fontId="0" fillId="0" borderId="0" xfId="0" applyFont="1" applyNumberFormat="1">
      <alignment vertical="center"/>
    </xf>
    <xf numFmtId="49" fontId="47" fillId="47" borderId="12" xfId="0" applyFont="1" applyFill="1" applyBorder="1" applyNumberFormat="1">
      <alignment horizontal="center" vertical="center"/>
    </xf>
    <xf numFmtId="49" fontId="47"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horizontal="center" vertical="top"/>
    </xf>
    <xf numFmtId="49" fontId="22" fillId="0" borderId="0" xfId="0" applyFont="1" applyNumberFormat="1">
      <alignment vertical="top"/>
    </xf>
    <xf numFmtId="0" fontId="22" fillId="0" borderId="12" xfId="0" applyFont="1" applyBorder="1" applyNumberFormat="1">
      <alignment vertical="center"/>
    </xf>
    <xf numFmtId="0" fontId="0" fillId="0" borderId="12" xfId="0" applyFont="1" applyBorder="1" applyNumberFormat="1">
      <alignment vertical="center"/>
    </xf>
    <xf numFmtId="0" fontId="0" fillId="0" borderId="12" xfId="0" applyFont="1" applyBorder="1" applyNumberFormat="1">
      <alignment vertical="center"/>
    </xf>
    <xf numFmtId="0" fontId="0" fillId="0" borderId="14" xfId="0" applyFont="1" applyBorder="1" applyNumberFormat="1">
      <alignment vertical="center"/>
    </xf>
    <xf numFmtId="0" fontId="0" fillId="0" borderId="14" xfId="0" applyFont="1" applyBorder="1" applyNumberFormat="1">
      <alignment vertical="center"/>
    </xf>
    <xf numFmtId="0" fontId="22" fillId="0" borderId="14" xfId="0" applyFont="1" applyBorder="1" applyNumberFormat="1">
      <alignment horizontal="left" vertical="center"/>
    </xf>
    <xf numFmtId="49" fontId="22" fillId="0" borderId="44" xfId="0" applyFont="1" applyBorder="1" applyNumberFormat="1">
      <alignment vertical="center"/>
    </xf>
    <xf numFmtId="49" fontId="22" fillId="0" borderId="45" xfId="0" applyFont="1" applyBorder="1" applyNumberFormat="1">
      <alignment vertical="top"/>
    </xf>
    <xf numFmtId="49" fontId="22" fillId="0" borderId="16" xfId="0" applyFont="1" applyBorder="1" applyNumberFormat="1">
      <alignment vertical="top"/>
    </xf>
    <xf numFmtId="0" fontId="0" fillId="0" borderId="13" xfId="0" applyFont="1" applyBorder="1" applyNumberFormat="1">
      <alignment vertical="center"/>
    </xf>
    <xf numFmtId="0" fontId="0" fillId="0" borderId="12" xfId="0" applyFont="1" applyBorder="1" applyNumberFormat="1">
      <alignment horizontal="right" vertical="top"/>
    </xf>
    <xf numFmtId="0" fontId="0" fillId="0" borderId="12" xfId="0" applyFont="1" applyBorder="1" applyNumberFormat="1">
      <alignment vertical="top"/>
    </xf>
    <xf numFmtId="0" fontId="22" fillId="0" borderId="13" xfId="0" applyFont="1" applyBorder="1" applyNumberFormat="1">
      <alignment vertical="center"/>
    </xf>
    <xf numFmtId="49" fontId="22" fillId="0" borderId="12" xfId="0" applyFont="1" applyBorder="1" applyNumberFormat="1">
      <alignment vertical="center"/>
    </xf>
    <xf numFmtId="0" fontId="0" fillId="0" borderId="0" xfId="0" applyFont="1" applyNumberFormat="1">
      <alignment vertical="top"/>
    </xf>
    <xf numFmtId="0" fontId="22" fillId="0" borderId="12" xfId="0" applyFont="1" applyBorder="1" applyNumberFormat="1">
      <alignment vertical="top"/>
    </xf>
    <xf numFmtId="0" fontId="0" fillId="48" borderId="0" xfId="0" applyFont="1" applyFill="1" applyNumberFormat="1">
      <alignment horizontal="right" vertical="center"/>
    </xf>
    <xf numFmtId="49" fontId="32" fillId="0" borderId="0" xfId="0" applyFont="1" applyNumberFormat="1">
      <alignment horizontal="center" vertical="center"/>
    </xf>
    <xf numFmtId="49" fontId="0" fillId="0" borderId="0" xfId="0" applyFont="1" applyNumberFormat="1">
      <alignment vertical="top"/>
    </xf>
    <xf numFmtId="49" fontId="32" fillId="47" borderId="0" xfId="0" applyFont="1" applyFill="1" applyNumberFormat="1">
      <alignment horizontal="center" vertical="center"/>
    </xf>
    <xf numFmtId="0" fontId="22" fillId="0" borderId="0" xfId="0" applyFont="1" applyNumberFormat="1">
      <alignment vertical="center"/>
    </xf>
    <xf numFmtId="0" fontId="0" fillId="48" borderId="0" xfId="0" applyFont="1" applyFill="1" applyNumberFormat="1">
      <alignment horizontal="left" vertical="center"/>
    </xf>
    <xf numFmtId="0" fontId="0" fillId="0" borderId="0" xfId="0" applyFont="1" applyNumberFormat="1">
      <alignment horizontal="right" vertical="top"/>
    </xf>
    <xf numFmtId="0" fontId="0" fillId="0" borderId="0" xfId="0" applyFont="1" applyNumberFormat="1">
      <alignment vertical="top"/>
    </xf>
    <xf numFmtId="0" fontId="0" fillId="0" borderId="0" xfId="0" applyFont="1" applyNumberFormat="1">
      <alignment vertical="top"/>
    </xf>
    <xf numFmtId="0" fontId="0" fillId="0" borderId="0" xfId="0" applyFont="1" applyNumberFormat="1">
      <alignment horizontal="right" vertical="top"/>
    </xf>
    <xf numFmtId="0" fontId="0" fillId="0" borderId="0" xfId="0" applyFont="1" applyNumberFormat="1">
      <alignment vertical="top"/>
    </xf>
    <xf numFmtId="49" fontId="22" fillId="0" borderId="14" xfId="0" applyFont="1" applyBorder="1" applyNumberFormat="1">
      <alignment vertical="top"/>
    </xf>
    <xf numFmtId="0" fontId="0" fillId="48" borderId="0" xfId="0" applyFont="1" applyFill="1" applyNumberFormat="1">
      <alignment horizontal="right" vertical="center"/>
    </xf>
    <xf numFmtId="0" fontId="0" fillId="0" borderId="0" xfId="0" applyFont="1" applyNumberFormat="1">
      <alignment horizontal="left" vertical="center"/>
    </xf>
    <xf numFmtId="0" fontId="0" fillId="48" borderId="0" xfId="0" applyFont="1" applyFill="1" applyNumberFormat="1">
      <alignment horizontal="right" vertical="center"/>
    </xf>
    <xf numFmtId="0" fontId="0" fillId="48" borderId="0" xfId="0" applyFont="1" applyFill="1" applyNumberFormat="1">
      <alignment horizontal="left" vertical="center"/>
    </xf>
    <xf numFmtId="0" fontId="54" fillId="48" borderId="0" xfId="0" applyFont="1" applyFill="1" applyNumberFormat="1">
      <alignment horizontal="left" vertical="center"/>
    </xf>
    <xf numFmtId="0" fontId="0" fillId="0" borderId="0" xfId="0" applyFont="1" applyNumberFormat="1">
      <alignment vertical="center"/>
    </xf>
    <xf numFmtId="0" fontId="22" fillId="0" borderId="0" xfId="0" applyFont="1" applyNumberFormat="1">
      <alignment vertical="top"/>
    </xf>
    <xf numFmtId="0" fontId="54" fillId="0" borderId="0" xfId="0" applyFont="1" applyNumberFormat="1">
      <alignment horizontal="left" vertical="center"/>
    </xf>
    <xf numFmtId="49" fontId="0" fillId="0" borderId="14" xfId="0" applyFont="1" applyBorder="1" applyNumberFormat="1">
      <alignment vertical="top"/>
    </xf>
    <xf numFmtId="49" fontId="22" fillId="0" borderId="12" xfId="0" applyFont="1" applyBorder="1" applyNumberFormat="1">
      <alignment horizontal="right" vertical="top"/>
    </xf>
    <xf numFmtId="0" fontId="0" fillId="0" borderId="14" xfId="0" applyFont="1" applyBorder="1" applyNumberFormat="1">
      <alignment horizontal="left" vertical="center"/>
    </xf>
    <xf numFmtId="0" fontId="54" fillId="48" borderId="0" xfId="0" applyFont="1" applyFill="1" applyNumberFormat="1">
      <alignment horizontal="left" vertical="center"/>
    </xf>
    <xf numFmtId="49" fontId="22" fillId="0" borderId="17" xfId="0" applyFont="1" applyBorder="1" applyNumberFormat="1">
      <alignment horizontal="right" vertical="top"/>
    </xf>
    <xf numFmtId="0" fontId="0" fillId="0" borderId="17" xfId="0" applyFont="1" applyBorder="1" applyNumberFormat="1">
      <alignment vertical="top"/>
    </xf>
    <xf numFmtId="0" fontId="22" fillId="0" borderId="17" xfId="0" applyFont="1" applyBorder="1" applyNumberFormat="1">
      <alignment vertical="center"/>
    </xf>
    <xf numFmtId="49" fontId="22" fillId="0" borderId="31" xfId="0" applyFont="1" applyBorder="1" applyNumberFormat="1">
      <alignment horizontal="center" vertical="center"/>
    </xf>
    <xf numFmtId="49" fontId="22" fillId="0" borderId="12" xfId="0" applyFont="1" applyBorder="1" applyNumberFormat="1">
      <alignment horizontal="right" vertical="center"/>
    </xf>
    <xf numFmtId="49" fontId="22" fillId="0" borderId="12" xfId="0" applyFont="1" applyBorder="1" applyNumberFormat="1">
      <alignment vertical="top"/>
    </xf>
    <xf numFmtId="49" fontId="0" fillId="0" borderId="0" xfId="0" applyFont="1" applyNumberFormat="1">
      <alignment vertical="center"/>
    </xf>
    <xf numFmtId="0" fontId="22" fillId="48" borderId="0" xfId="0" applyFont="1" applyFill="1" applyNumberFormat="1">
      <alignment horizontal="left" vertical="center"/>
    </xf>
    <xf numFmtId="0" fontId="0" fillId="48" borderId="10" xfId="0" applyFont="1" applyFill="1" applyBorder="1" applyNumberFormat="1">
      <alignment horizontal="center"/>
    </xf>
    <xf numFmtId="49" fontId="104" fillId="0" borderId="16" xfId="0" applyFont="1" applyBorder="1" applyNumberFormat="1">
      <alignment vertical="top"/>
    </xf>
    <xf numFmtId="49" fontId="0" fillId="0" borderId="0" xfId="0" applyFont="1" applyNumberFormat="1">
      <alignment vertical="center"/>
    </xf>
    <xf numFmtId="49" fontId="45" fillId="54" borderId="0" xfId="0" applyFont="1" applyFill="1" applyNumberFormat="1">
      <alignment vertical="center" wrapText="1"/>
    </xf>
    <xf numFmtId="0" fontId="0" fillId="0" borderId="10" xfId="0" applyFont="1" applyBorder="1" applyNumberFormat="1">
      <alignment horizontal="center"/>
    </xf>
    <xf numFmtId="49" fontId="32" fillId="47" borderId="0" xfId="0" applyFont="1" applyFill="1" applyNumberFormat="1">
      <alignment horizontal="center" vertical="center" wrapText="1"/>
    </xf>
    <xf numFmtId="49" fontId="22" fillId="48" borderId="0" xfId="0" applyFont="1" applyFill="1" applyNumberFormat="1">
      <alignment horizontal="center" vertical="center"/>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pplyNumberFormat="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pplyNumberFormat="1">
      <alignment horizontal="center" vertical="center"/>
    </xf>
    <xf numFmtId="0" fontId="102" fillId="0" borderId="46" xfId="0" applyFont="1" applyBorder="1" applyNumberFormat="1">
      <alignment horizontal="center" vertical="center"/>
    </xf>
    <xf numFmtId="0" fontId="0" fillId="0" borderId="46" xfId="0" applyFont="1" applyBorder="1" applyNumberFormat="1">
      <alignment horizontal="center" vertical="center"/>
    </xf>
    <xf numFmtId="49" fontId="32"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pplyNumberFormat="1">
      <alignment vertical="top"/>
    </xf>
    <xf numFmtId="0" fontId="0" fillId="41" borderId="12" xfId="0" applyFont="1" applyFill="1" applyBorder="1" applyNumberFormat="1">
      <alignment horizontal="right" vertical="center"/>
    </xf>
    <xf numFmtId="49" fontId="22" fillId="41" borderId="23" xfId="0" applyFont="1" applyFill="1" applyBorder="1" applyNumberFormat="1">
      <alignment vertical="top"/>
    </xf>
    <xf numFmtId="49" fontId="22" fillId="41" borderId="12" xfId="0" applyFont="1" applyFill="1" applyBorder="1" applyNumberFormat="1">
      <alignment vertical="top"/>
    </xf>
    <xf numFmtId="49" fontId="22" fillId="0" borderId="14" xfId="0" applyFont="1" applyBorder="1" applyNumberFormat="1">
      <alignment horizontal="center" vertical="top"/>
    </xf>
    <xf numFmtId="49" fontId="22" fillId="0" borderId="13" xfId="0" applyFont="1" applyBorder="1" applyNumberFormat="1">
      <alignment horizontal="center" vertical="top"/>
    </xf>
    <xf numFmtId="0" fontId="22" fillId="34" borderId="30" xfId="0" applyFont="1" applyFill="1" applyBorder="1" applyNumberFormat="1">
      <alignment horizontal="center" vertical="top"/>
    </xf>
    <xf numFmtId="0" fontId="22" fillId="34" borderId="30" xfId="0" applyFont="1" applyFill="1" applyBorder="1" applyNumberFormat="1">
      <alignment horizontal="left" vertical="top"/>
    </xf>
    <xf numFmtId="0" fontId="0" fillId="0" borderId="32" xfId="0" applyFont="1" applyBorder="1" applyNumberFormat="1">
      <alignment horizontal="center" vertical="center"/>
    </xf>
    <xf numFmtId="0" fontId="0" fillId="0" borderId="34" xfId="0" applyFont="1" applyBorder="1" applyNumberFormat="1">
      <alignment horizontal="center" vertical="center"/>
    </xf>
    <xf numFmtId="0" fontId="22" fillId="0" borderId="12" xfId="0" applyFont="1" applyBorder="1" applyNumberFormat="1">
      <alignment horizontal="left" vertical="top"/>
    </xf>
    <xf numFmtId="49" fontId="22" fillId="0" borderId="0" xfId="0" applyFont="1" applyNumberFormat="1">
      <alignment horizontal="left" vertical="top"/>
    </xf>
    <xf numFmtId="0" fontId="0" fillId="0" borderId="33" xfId="0" applyFont="1" applyBorder="1" applyNumberFormat="1">
      <alignment horizontal="center" vertical="center"/>
    </xf>
    <xf numFmtId="49" fontId="32" fillId="47" borderId="14" xfId="0" applyFont="1" applyFill="1" applyBorder="1" applyNumberFormat="1">
      <alignment horizontal="right" vertical="center"/>
    </xf>
    <xf numFmtId="49" fontId="22" fillId="0" borderId="12" xfId="0" applyFont="1" applyBorder="1" applyNumberFormat="1">
      <alignment vertical="top"/>
    </xf>
    <xf numFmtId="49" fontId="0" fillId="0" borderId="0" xfId="0" applyFont="1" applyNumberFormat="1">
      <alignment vertical="center"/>
    </xf>
    <xf numFmtId="49" fontId="0" fillId="0" borderId="0" xfId="0" applyFont="1" applyNumberFormat="1">
      <alignment vertical="top"/>
    </xf>
    <xf numFmtId="0" fontId="0" fillId="48" borderId="0" xfId="0" applyFont="1" applyFill="1" applyNumberFormat="1">
      <alignment horizontal="right" vertical="top" wrapText="1"/>
    </xf>
    <xf numFmtId="0" fontId="22" fillId="0" borderId="0" xfId="0" applyFont="1" applyNumberFormat="1">
      <alignment horizontal="left" vertical="top" wrapText="1"/>
    </xf>
    <xf numFmtId="49" fontId="22" fillId="0" borderId="0" xfId="0" applyFont="1" applyNumberFormat="1">
      <alignment vertical="center"/>
    </xf>
    <xf numFmtId="49" fontId="0" fillId="0" borderId="0" xfId="0" applyFont="1" applyNumberFormat="1">
      <alignment vertical="center" wrapText="1"/>
    </xf>
    <xf numFmtId="49" fontId="0" fillId="0" borderId="0" xfId="0" applyFont="1" applyNumberFormat="1">
      <alignment vertical="center"/>
    </xf>
    <xf numFmtId="49" fontId="22" fillId="35" borderId="12" xfId="0" applyFont="1" applyFill="1" applyBorder="1" applyNumberFormat="1">
      <alignment horizontal="center" vertical="center"/>
    </xf>
    <xf numFmtId="49" fontId="22" fillId="39" borderId="12" xfId="0" applyFont="1" applyFill="1" applyBorder="1" applyNumberFormat="1">
      <alignment horizontal="left" vertical="center" wrapText="1"/>
      <protection locked="0"/>
    </xf>
    <xf numFmtId="0" fontId="22" fillId="39" borderId="12" xfId="0" applyFont="1" applyFill="1" applyBorder="1" applyNumberFormat="1">
      <alignment horizontal="center" vertical="center" wrapText="1"/>
      <protection locked="0"/>
    </xf>
    <xf numFmtId="0" fontId="47" fillId="35" borderId="0" xfId="0" applyFont="1" applyFill="1" applyNumberFormat="1"/>
    <xf numFmtId="49" fontId="22" fillId="35" borderId="12" xfId="0" applyFont="1" applyFill="1" applyBorder="1" applyNumberFormat="1">
      <alignment horizontal="center" vertical="center" wrapText="1"/>
    </xf>
    <xf numFmtId="0" fontId="0" fillId="35" borderId="12" xfId="0" applyFont="1" applyFill="1" applyBorder="1" applyNumberFormat="1">
      <alignment horizontal="center" vertical="center" wrapText="1"/>
    </xf>
    <xf numFmtId="0" fontId="22" fillId="34" borderId="12" xfId="0" applyFont="1" applyFill="1" applyBorder="1" applyNumberFormat="1">
      <alignment horizontal="left" vertical="center" wrapText="1"/>
    </xf>
    <xf numFmtId="0" fontId="68" fillId="35" borderId="0" xfId="0" applyFont="1" applyFill="1" applyNumberFormat="1"/>
    <xf numFmtId="0" fontId="22" fillId="35" borderId="12" xfId="0" applyFont="1" applyFill="1" applyBorder="1" applyNumberFormat="1">
      <alignment horizontal="left" vertical="center" wrapText="1"/>
    </xf>
    <xf numFmtId="0" fontId="22" fillId="0" borderId="12" xfId="0" applyFont="1" applyBorder="1" applyNumberFormat="1">
      <alignment horizontal="center" vertical="center" wrapText="1"/>
    </xf>
    <xf numFmtId="49" fontId="22" fillId="0" borderId="12" xfId="0" applyFont="1" applyBorder="1" applyNumberFormat="1">
      <alignment horizontal="center" vertical="center"/>
    </xf>
    <xf numFmtId="49" fontId="22" fillId="36" borderId="12" xfId="0" applyFont="1" applyFill="1" applyBorder="1" applyNumberFormat="1">
      <alignment horizontal="left" vertical="center" wrapText="1"/>
      <protection locked="0"/>
    </xf>
    <xf numFmtId="0" fontId="48" fillId="35" borderId="0" xfId="0" applyFont="1" applyFill="1" applyNumberFormat="1">
      <alignment horizontal="center" vertical="center" wrapText="1"/>
    </xf>
    <xf numFmtId="0" fontId="22" fillId="35" borderId="24" xfId="0" applyFont="1" applyFill="1" applyBorder="1" applyNumberFormat="1">
      <alignment horizontal="center" vertical="center" wrapText="1"/>
    </xf>
    <xf numFmtId="0" fontId="0" fillId="35" borderId="17" xfId="0" applyFont="1" applyFill="1" applyBorder="1" applyNumberFormat="1">
      <alignment horizontal="left" vertical="top" wrapText="1"/>
    </xf>
    <xf numFmtId="0" fontId="67" fillId="35" borderId="0" xfId="0" applyFont="1" applyFill="1" applyNumberFormat="1"/>
    <xf numFmtId="0" fontId="72" fillId="35" borderId="0" xfId="0" applyFont="1" applyFill="1" applyNumberFormat="1">
      <alignment vertical="center" wrapText="1"/>
    </xf>
    <xf numFmtId="0" fontId="48" fillId="35" borderId="12" xfId="0" applyFont="1" applyFill="1" applyBorder="1" applyNumberFormat="1">
      <alignment horizontal="center" vertical="center"/>
    </xf>
    <xf numFmtId="0" fontId="0" fillId="35" borderId="36" xfId="0" applyFont="1" applyFill="1" applyBorder="1" applyNumberFormat="1">
      <alignment horizontal="left" vertical="top" wrapText="1"/>
    </xf>
    <xf numFmtId="0" fontId="67" fillId="35" borderId="0" xfId="0" applyFont="1" applyFill="1" applyNumberFormat="1"/>
    <xf numFmtId="0" fontId="0" fillId="35" borderId="23" xfId="0" applyFont="1" applyFill="1" applyBorder="1" applyNumberFormat="1">
      <alignment horizontal="left" vertical="top" wrapText="1"/>
    </xf>
    <xf numFmtId="0" fontId="84" fillId="35" borderId="0" xfId="0" applyFont="1" applyFill="1" applyNumberFormat="1"/>
    <xf numFmtId="0" fontId="22" fillId="35" borderId="12" xfId="0" applyFont="1" applyFill="1" applyBorder="1" applyNumberFormat="1">
      <alignment horizontal="left" vertical="top" wrapText="1"/>
    </xf>
    <xf numFmtId="49" fontId="53" fillId="36" borderId="23" xfId="0" applyFont="1" applyFill="1" applyBorder="1" applyNumberFormat="1">
      <alignment horizontal="left" vertical="center" wrapText="1"/>
      <protection locked="0"/>
    </xf>
    <xf numFmtId="0" fontId="22" fillId="35" borderId="12" xfId="0" applyFont="1" applyFill="1" applyBorder="1" applyNumberFormat="1">
      <alignment vertical="top" wrapText="1"/>
    </xf>
    <xf numFmtId="0" fontId="22" fillId="0" borderId="12" xfId="0" applyFont="1" applyBorder="1" applyNumberFormat="1">
      <alignment horizontal="center" vertical="center" wrapText="1"/>
    </xf>
    <xf numFmtId="49" fontId="22" fillId="40" borderId="12" xfId="0" applyFont="1" applyFill="1" applyBorder="1" applyNumberFormat="1">
      <alignment horizontal="left" vertical="center" wrapText="1"/>
    </xf>
    <xf numFmtId="14" fontId="22" fillId="39" borderId="14" xfId="0" applyFont="1" applyFill="1" applyBorder="1" applyNumberFormat="1">
      <alignment horizontal="left" vertical="center" wrapText="1" indent="1"/>
      <protection locked="0"/>
    </xf>
    <xf numFmtId="0" fontId="47" fillId="0" borderId="36" xfId="0" applyFont="1" applyBorder="1" applyNumberFormat="1">
      <alignment horizontal="left" vertical="center" wrapText="1" indent="1"/>
    </xf>
    <xf numFmtId="0" fontId="112" fillId="0" borderId="0" xfId="0" applyFont="1" applyNumberFormat="1">
      <alignment vertical="center"/>
    </xf>
    <xf numFmtId="0" fontId="37" fillId="0" borderId="0" xfId="0" applyFont="1" applyNumberFormat="1">
      <alignment horizontal="center" vertical="center" wrapText="1"/>
    </xf>
    <xf numFmtId="4" fontId="22" fillId="0" borderId="17" xfId="0" applyFont="1" applyBorder="1" applyNumberFormat="1">
      <alignment horizontal="center" vertical="center" wrapText="1"/>
    </xf>
    <xf numFmtId="501" fontId="22" fillId="0" borderId="37" xfId="0" applyFont="1" applyBorder="1" applyNumberFormat="1">
      <alignment horizontal="center" vertical="center" wrapText="1"/>
    </xf>
    <xf numFmtId="501"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14" fontId="22" fillId="40" borderId="12" xfId="0" applyFont="1" applyFill="1" applyBorder="1" applyNumberFormat="1">
      <alignment horizontal="left" vertical="center" wrapText="1"/>
    </xf>
    <xf numFmtId="14" fontId="22" fillId="39" borderId="12" xfId="0" applyFont="1" applyFill="1" applyBorder="1" applyNumberFormat="1">
      <alignment horizontal="left" vertical="center" wrapText="1" indent="1"/>
      <protection locked="0"/>
    </xf>
    <xf numFmtId="49" fontId="50"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0" fillId="37" borderId="29" xfId="0" applyFont="1" applyFill="1" applyBorder="1" applyNumberFormat="1">
      <alignment horizontal="right" vertical="center" wrapText="1"/>
    </xf>
    <xf numFmtId="0" fontId="112" fillId="0" borderId="0" xfId="0" applyFont="1" applyNumberFormat="1">
      <alignment vertical="center" wrapText="1"/>
    </xf>
    <xf numFmtId="49" fontId="0" fillId="0" borderId="0" xfId="0" applyFont="1" applyNumberFormat="1">
      <alignment vertical="top"/>
    </xf>
    <xf numFmtId="0" fontId="22" fillId="0" borderId="14" xfId="0" applyFont="1" applyBorder="1" applyNumberFormat="1">
      <alignment horizontal="center" vertical="center" wrapText="1"/>
    </xf>
    <xf numFmtId="0" fontId="22" fillId="34" borderId="12" xfId="0" applyFont="1" applyFill="1" applyBorder="1" applyNumberFormat="1">
      <alignment horizontal="left" vertical="center" wrapText="1" indent="1"/>
    </xf>
    <xf numFmtId="504" fontId="0" fillId="39" borderId="15" xfId="0" applyFont="1" applyFill="1" applyBorder="1" applyNumberFormat="1">
      <alignment horizontal="left" vertical="center" wrapText="1" indent="1"/>
      <protection locked="0"/>
    </xf>
    <xf numFmtId="505" fontId="22" fillId="39" borderId="12" xfId="0" applyFont="1" applyFill="1" applyBorder="1" applyNumberFormat="1">
      <alignment horizontal="left" vertical="center" wrapText="1" indent="1"/>
      <protection locked="0"/>
    </xf>
    <xf numFmtId="504" fontId="48" fillId="0" borderId="0" xfId="0" applyFont="1" applyNumberFormat="1">
      <alignment horizontal="center" vertical="center" wrapText="1"/>
    </xf>
    <xf numFmtId="501" fontId="22" fillId="0" borderId="17" xfId="0" applyFont="1" applyBorder="1" applyNumberFormat="1">
      <alignment horizontal="center" vertical="center" wrapText="1"/>
    </xf>
    <xf numFmtId="501" fontId="22" fillId="0" borderId="14" xfId="0" applyFont="1" applyBorder="1" applyNumberFormat="1">
      <alignment horizontal="center" vertical="center" wrapText="1"/>
    </xf>
    <xf numFmtId="501" fontId="22" fillId="0" borderId="15" xfId="0" applyFont="1" applyBorder="1" applyNumberFormat="1">
      <alignment horizontal="center" vertical="center" wrapText="1"/>
    </xf>
    <xf numFmtId="501" fontId="22" fillId="0" borderId="13" xfId="0" applyFont="1" applyBorder="1" applyNumberFormat="1">
      <alignment horizontal="center" vertical="center" wrapText="1"/>
    </xf>
    <xf numFmtId="4" fontId="22" fillId="0" borderId="36" xfId="0" applyFont="1" applyBorder="1" applyNumberFormat="1">
      <alignment horizontal="center" vertical="center" wrapText="1"/>
    </xf>
    <xf numFmtId="501" fontId="22" fillId="0" borderId="23" xfId="0" applyFont="1" applyBorder="1" applyNumberFormat="1">
      <alignment horizontal="center" vertical="center" wrapText="1"/>
    </xf>
    <xf numFmtId="501" fontId="22" fillId="0" borderId="23" xfId="0" applyFont="1" applyBorder="1" applyNumberFormat="1">
      <alignment horizontal="center" vertical="center" wrapText="1"/>
    </xf>
    <xf numFmtId="0" fontId="22" fillId="0" borderId="23" xfId="0" applyFont="1" applyBorder="1" applyNumberFormat="1">
      <alignment horizontal="center" vertical="center" wrapText="1"/>
    </xf>
    <xf numFmtId="0" fontId="22" fillId="34" borderId="23" xfId="0" applyFont="1" applyFill="1" applyBorder="1" applyNumberFormat="1">
      <alignment horizontal="left" vertical="center" wrapText="1" indent="1"/>
    </xf>
    <xf numFmtId="14" fontId="22" fillId="39" borderId="23" xfId="0" applyFont="1" applyFill="1" applyBorder="1" applyNumberFormat="1">
      <alignment horizontal="left" vertical="center" wrapText="1" indent="1"/>
      <protection locked="0"/>
    </xf>
    <xf numFmtId="0" fontId="22" fillId="0" borderId="29" xfId="0" applyFont="1" applyBorder="1" applyNumberFormat="1">
      <alignment horizontal="left" vertical="top" wrapText="1"/>
    </xf>
    <xf numFmtId="0" fontId="22" fillId="0" borderId="12" xfId="0" applyFont="1" applyBorder="1" applyNumberFormat="1">
      <alignment horizontal="center" vertical="center" wrapText="1"/>
    </xf>
    <xf numFmtId="0" fontId="22" fillId="34" borderId="12" xfId="0" applyFont="1" applyFill="1" applyBorder="1" applyNumberFormat="1">
      <alignment horizontal="left" vertical="center" wrapText="1" indent="1"/>
    </xf>
    <xf numFmtId="0" fontId="48" fillId="0" borderId="0" xfId="0" applyFont="1" applyNumberFormat="1">
      <alignment horizontal="center" vertical="center" wrapText="1"/>
    </xf>
    <xf numFmtId="0" fontId="22" fillId="0" borderId="0" xfId="0" applyFont="1" applyNumberFormat="1">
      <alignment horizontal="right" vertical="center" wrapText="1"/>
    </xf>
    <xf numFmtId="0" fontId="22" fillId="0" borderId="0" xfId="0" applyFont="1" applyNumberFormat="1">
      <alignment horizontal="left" vertical="center" wrapText="1" indent="1"/>
    </xf>
    <xf numFmtId="501" fontId="22" fillId="0" borderId="23" xfId="0" applyFont="1" applyBorder="1" applyNumberFormat="1">
      <alignment horizontal="center" vertical="center" wrapText="1"/>
    </xf>
    <xf numFmtId="0" fontId="22" fillId="0" borderId="23" xfId="0" applyFont="1" applyBorder="1" applyNumberFormat="1">
      <alignment horizontal="left" vertical="center" wrapText="1" indent="1"/>
    </xf>
    <xf numFmtId="14" fontId="22" fillId="0" borderId="23" xfId="0" applyFont="1" applyBorder="1" applyNumberFormat="1">
      <alignment horizontal="left" vertical="center" wrapText="1" inden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0" borderId="14" xfId="0" applyFont="1" applyBorder="1" applyNumberFormat="1">
      <alignment horizontal="center" vertical="center" wrapText="1"/>
    </xf>
    <xf numFmtId="49" fontId="22" fillId="39" borderId="12" xfId="0" applyFont="1" applyFill="1" applyBorder="1" applyNumberFormat="1">
      <alignment horizontal="left" vertical="center" wrapText="1"/>
      <protection locked="0"/>
    </xf>
    <xf numFmtId="49" fontId="22" fillId="40" borderId="12" xfId="0" applyFont="1" applyFill="1" applyBorder="1" applyNumberFormat="1">
      <alignment horizontal="left" vertical="center" wrapText="1"/>
    </xf>
    <xf numFmtId="49" fontId="53" fillId="37" borderId="27" xfId="0" applyFont="1" applyFill="1" applyBorder="1" applyNumberFormat="1">
      <alignment horizontal="left" vertical="center" wrapText="1"/>
    </xf>
    <xf numFmtId="49" fontId="53" fillId="37" borderId="29" xfId="0" applyFont="1" applyFill="1" applyBorder="1" applyNumberFormat="1">
      <alignment horizontal="left" vertical="center" wrapText="1"/>
    </xf>
    <xf numFmtId="0" fontId="22" fillId="35" borderId="36" xfId="0" applyFont="1" applyFill="1" applyBorder="1" applyNumberFormat="1">
      <alignment vertical="center" wrapText="1"/>
    </xf>
    <xf numFmtId="0" fontId="48" fillId="0" borderId="0" xfId="0" applyFont="1" applyNumberFormat="1">
      <alignment horizontal="center" vertical="center" wrapText="1"/>
    </xf>
    <xf numFmtId="0" fontId="48" fillId="0" borderId="27" xfId="0" applyFont="1" applyBorder="1" applyNumberFormat="1">
      <alignment horizontal="center" vertical="center" wrapText="1"/>
    </xf>
    <xf numFmtId="0" fontId="48" fillId="0" borderId="0" xfId="0" applyFont="1" applyNumberFormat="1">
      <alignment horizontal="center" vertical="center" wrapText="1"/>
    </xf>
    <xf numFmtId="0" fontId="48" fillId="0" borderId="0" xfId="0" applyFont="1" applyNumberFormat="1">
      <alignment horizontal="center" vertical="center" wrapText="1"/>
    </xf>
    <xf numFmtId="0" fontId="22" fillId="35" borderId="22" xfId="0" applyFont="1" applyFill="1" applyBorder="1" applyNumberFormat="1">
      <alignment vertical="center" wrapText="1"/>
    </xf>
    <xf numFmtId="0" fontId="36" fillId="0" borderId="12" xfId="0" applyFont="1" applyBorder="1" applyNumberFormat="1">
      <alignment horizontal="center" vertical="center" wrapText="1"/>
    </xf>
    <xf numFmtId="0" fontId="22" fillId="0" borderId="15" xfId="0" applyFont="1" applyBorder="1" applyNumberFormat="1">
      <alignment horizontal="center" vertical="center" wrapText="1"/>
    </xf>
    <xf numFmtId="0" fontId="22" fillId="0" borderId="15" xfId="0" applyFont="1" applyBorder="1" applyNumberFormat="1">
      <alignment horizontal="left" vertical="center" wrapText="1"/>
    </xf>
    <xf numFmtId="0" fontId="42" fillId="0" borderId="0" xfId="0" applyFont="1" applyNumberFormat="1">
      <alignment horizontal="center" vertical="center" wrapText="1"/>
    </xf>
    <xf numFmtId="0" fontId="22" fillId="0" borderId="0" xfId="0" applyFont="1" applyNumberFormat="1">
      <alignment horizontal="center" vertical="center" wrapText="1"/>
    </xf>
    <xf numFmtId="501" fontId="45" fillId="0" borderId="19" xfId="0" applyFont="1" applyBorder="1" applyNumberFormat="1">
      <alignment horizontal="center" vertical="center" wrapText="1"/>
    </xf>
    <xf numFmtId="501" fontId="45" fillId="0" borderId="19" xfId="0" applyFont="1" applyBorder="1" applyNumberFormat="1">
      <alignment horizontal="center" vertical="center" wrapText="1"/>
    </xf>
    <xf numFmtId="501" fontId="45" fillId="0" borderId="20" xfId="0" applyFont="1" applyBorder="1" applyNumberFormat="1">
      <alignment horizontal="center" vertical="center" wrapText="1"/>
    </xf>
    <xf numFmtId="0" fontId="48" fillId="0" borderId="0" xfId="0" applyFont="1" applyNumberFormat="1">
      <alignment horizontal="center" vertical="center"/>
    </xf>
    <xf numFmtId="0" fontId="42" fillId="0" borderId="0" xfId="0" applyFont="1" applyNumberFormat="1">
      <alignment horizontal="center" vertical="center" wrapText="1"/>
    </xf>
    <xf numFmtId="501" fontId="22" fillId="0" borderId="12" xfId="0" applyFont="1" applyBorder="1" applyNumberFormat="1">
      <alignment horizontal="center" vertical="center" wrapText="1"/>
    </xf>
    <xf numFmtId="501" fontId="22" fillId="0" borderId="36" xfId="0" applyFont="1" applyBorder="1" applyNumberFormat="1">
      <alignment horizontal="center" vertical="center" wrapText="1"/>
    </xf>
    <xf numFmtId="501" fontId="22" fillId="0" borderId="12" xfId="0" applyFont="1" applyBorder="1" applyNumberFormat="1">
      <alignment horizontal="center" vertical="center" wrapText="1"/>
    </xf>
    <xf numFmtId="0" fontId="22" fillId="34" borderId="29" xfId="0" applyFont="1" applyFill="1" applyBorder="1" applyNumberFormat="1">
      <alignment horizontal="left" vertical="center" wrapText="1"/>
    </xf>
    <xf numFmtId="14" fontId="22" fillId="40" borderId="23" xfId="0" applyFont="1" applyFill="1" applyBorder="1" applyNumberFormat="1">
      <alignment horizontal="left" vertical="center" wrapText="1"/>
    </xf>
    <xf numFmtId="49" fontId="22" fillId="40" borderId="30" xfId="0" applyFont="1" applyFill="1" applyBorder="1" applyNumberFormat="1">
      <alignment horizontal="left" vertical="center" wrapText="1"/>
    </xf>
    <xf numFmtId="0" fontId="22" fillId="0" borderId="23" xfId="0" applyFont="1" applyBorder="1" applyNumberFormat="1">
      <alignment horizontal="center" vertical="center" wrapText="1"/>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22" fillId="0" borderId="12" xfId="0" applyFont="1" applyBorder="1" applyNumberFormat="1">
      <alignment horizontal="left" vertical="top" wrapText="1"/>
    </xf>
    <xf numFmtId="49" fontId="22" fillId="40" borderId="23" xfId="0" applyFont="1" applyFill="1" applyBorder="1" applyNumberFormat="1">
      <alignment horizontal="left" vertical="center" wrapText="1"/>
    </xf>
    <xf numFmtId="49" fontId="127" fillId="0" borderId="12" xfId="0" applyFont="1" applyBorder="1" applyNumberFormat="1">
      <alignment horizontal="left" vertical="top" wrapText="1"/>
    </xf>
    <xf numFmtId="49" fontId="22" fillId="0" borderId="0" xfId="0" applyFont="1" applyNumberFormat="1">
      <alignment vertical="top"/>
    </xf>
    <xf numFmtId="0" fontId="32" fillId="0" borderId="0" xfId="0" applyFont="1" applyNumberFormat="1">
      <alignment vertical="center" wrapText="1"/>
    </xf>
    <xf numFmtId="0" fontId="37" fillId="35" borderId="0" xfId="0" applyFont="1" applyFill="1" applyNumberFormat="1">
      <alignment horizontal="center" vertical="center" wrapText="1"/>
    </xf>
    <xf numFmtId="0" fontId="22" fillId="35" borderId="0" xfId="0" applyFont="1" applyFill="1" applyNumberFormat="1"/>
    <xf numFmtId="49" fontId="22" fillId="0" borderId="0" xfId="0" applyFont="1" applyNumberFormat="1">
      <alignment vertical="top"/>
    </xf>
    <xf numFmtId="49" fontId="37" fillId="0" borderId="0" xfId="0" applyFont="1" applyNumberFormat="1">
      <alignment horizontal="center" vertical="center"/>
    </xf>
    <xf numFmtId="0" fontId="43" fillId="35" borderId="0" xfId="0" applyFont="1" applyFill="1" applyNumberFormat="1">
      <alignment horizontal="center" vertical="center" wrapText="1"/>
    </xf>
    <xf numFmtId="0" fontId="32" fillId="35" borderId="0" xfId="0" applyFont="1" applyFill="1" applyNumberFormat="1"/>
    <xf numFmtId="49" fontId="32" fillId="0" borderId="0" xfId="0" applyFont="1" applyNumberFormat="1">
      <alignment vertical="top"/>
    </xf>
    <xf numFmtId="0" fontId="22" fillId="35" borderId="12" xfId="0" applyFont="1" applyFill="1" applyBorder="1" applyNumberFormat="1">
      <alignment horizontal="center" vertical="center" wrapText="1"/>
    </xf>
    <xf numFmtId="49" fontId="47" fillId="0" borderId="0" xfId="0" applyFont="1" applyNumberFormat="1">
      <alignment vertical="top"/>
    </xf>
    <xf numFmtId="49" fontId="22" fillId="0" borderId="0" xfId="0" applyFont="1" applyNumberFormat="1">
      <alignment vertical="top"/>
    </xf>
    <xf numFmtId="49" fontId="37" fillId="0" borderId="0" xfId="0" applyFont="1" applyNumberFormat="1">
      <alignment horizontal="center" vertical="center" wrapText="1"/>
    </xf>
    <xf numFmtId="49" fontId="22" fillId="0" borderId="12" xfId="0" applyFont="1" applyBorder="1" applyNumberFormat="1">
      <alignment horizontal="center" vertical="center" wrapText="1"/>
    </xf>
    <xf numFmtId="49" fontId="22" fillId="39" borderId="12" xfId="0" applyFont="1" applyFill="1" applyBorder="1" applyNumberFormat="1">
      <alignment horizontal="left" vertical="center" wrapText="1"/>
      <protection locked="0"/>
    </xf>
    <xf numFmtId="0" fontId="48" fillId="0" borderId="0" xfId="0" applyFont="1" applyNumberFormat="1">
      <alignment vertical="top"/>
    </xf>
    <xf numFmtId="49" fontId="48" fillId="0" borderId="0" xfId="0" applyFont="1" applyNumberFormat="1">
      <alignment vertical="top"/>
    </xf>
    <xf numFmtId="49" fontId="22" fillId="0" borderId="0" xfId="0" applyFont="1" applyNumberFormat="1">
      <alignment vertical="top"/>
    </xf>
    <xf numFmtId="49" fontId="40" fillId="37" borderId="15" xfId="0" applyFont="1" applyFill="1" applyBorder="1" applyNumberFormat="1">
      <alignment horizontal="left" vertical="center"/>
    </xf>
    <xf numFmtId="49" fontId="44" fillId="37" borderId="15" xfId="0" applyFont="1" applyFill="1" applyBorder="1" applyNumberFormat="1">
      <alignment horizontal="center" vertical="top"/>
    </xf>
    <xf numFmtId="49" fontId="22" fillId="0" borderId="0" xfId="0" applyFont="1" applyNumberFormat="1">
      <alignment horizontal="left" vertical="top" wrapText="1"/>
    </xf>
    <xf numFmtId="49" fontId="37" fillId="0" borderId="0" xfId="0" applyFont="1" applyNumberFormat="1">
      <alignment horizontal="center" vertical="center"/>
    </xf>
    <xf numFmtId="0" fontId="22" fillId="0" borderId="0" xfId="0" applyFont="1" applyNumberFormat="1"/>
    <xf numFmtId="0" fontId="37" fillId="35" borderId="0" xfId="0" applyFont="1" applyFill="1" applyNumberFormat="1">
      <alignment horizontal="center" vertical="center"/>
    </xf>
    <xf numFmtId="0" fontId="22" fillId="35" borderId="0" xfId="0" applyFont="1" applyFill="1" applyNumberFormat="1"/>
    <xf numFmtId="0" fontId="22" fillId="0" borderId="13" xfId="0" applyFont="1" applyBorder="1" applyNumberFormat="1">
      <alignment horizontal="left" vertical="center" wrapText="1" indent="1"/>
    </xf>
    <xf numFmtId="0" fontId="22" fillId="0" borderId="14" xfId="0" applyFont="1" applyBorder="1" applyNumberFormat="1">
      <alignment horizontal="left" vertical="center" wrapText="1" indent="1"/>
    </xf>
    <xf numFmtId="0" fontId="64" fillId="0" borderId="0" xfId="0" applyFont="1" applyNumberFormat="1"/>
    <xf numFmtId="0" fontId="22" fillId="0" borderId="12" xfId="0" applyFont="1" applyBorder="1" applyNumberFormat="1">
      <alignment horizontal="center" vertical="center" wrapText="1"/>
    </xf>
    <xf numFmtId="0" fontId="22" fillId="35" borderId="17" xfId="0" applyFont="1" applyFill="1" applyBorder="1" applyNumberFormat="1">
      <alignment horizontal="center" vertical="center"/>
    </xf>
    <xf numFmtId="49" fontId="22" fillId="0" borderId="17" xfId="0" applyFont="1" applyBorder="1" applyNumberFormat="1">
      <alignment horizontal="left" vertical="center" wrapText="1"/>
    </xf>
    <xf numFmtId="0" fontId="37" fillId="35" borderId="0" xfId="0" applyFont="1" applyFill="1" applyNumberFormat="1">
      <alignment horizontal="center" vertical="center" wrapText="1"/>
    </xf>
    <xf numFmtId="0" fontId="22" fillId="35" borderId="12" xfId="0" applyFont="1" applyFill="1" applyBorder="1" applyNumberFormat="1">
      <alignment horizontal="center" vertical="center"/>
    </xf>
    <xf numFmtId="49" fontId="22" fillId="39" borderId="12" xfId="0" applyFont="1" applyFill="1" applyBorder="1" applyNumberFormat="1">
      <alignment horizontal="left" vertical="center" wrapText="1"/>
      <protection locked="0"/>
    </xf>
    <xf numFmtId="49" fontId="50" fillId="37" borderId="14" xfId="0" applyFont="1" applyFill="1" applyBorder="1" applyNumberFormat="1">
      <alignment horizontal="center" vertical="center"/>
    </xf>
    <xf numFmtId="49" fontId="40" fillId="37" borderId="13" xfId="0" applyFont="1" applyFill="1" applyBorder="1" applyNumberFormat="1">
      <alignment horizontal="left" vertical="center"/>
    </xf>
    <xf numFmtId="49" fontId="45" fillId="0" borderId="0" xfId="0" applyFont="1" applyNumberFormat="1">
      <alignment horizontal="right" vertical="top"/>
    </xf>
    <xf numFmtId="49" fontId="22" fillId="0" borderId="0" xfId="0" applyFont="1" applyNumberFormat="1">
      <alignment horizontal="left" vertical="top" wrapText="1"/>
    </xf>
    <xf numFmtId="49" fontId="45" fillId="0" borderId="0" xfId="0" applyFont="1" applyNumberFormat="1">
      <alignment vertical="top"/>
    </xf>
    <xf numFmtId="0" fontId="37" fillId="0" borderId="0" xfId="0" applyFont="1" applyNumberFormat="1">
      <alignment horizontal="center" vertical="center"/>
    </xf>
    <xf numFmtId="0" fontId="22" fillId="0" borderId="0" xfId="0" applyFont="1" applyNumberFormat="1"/>
    <xf numFmtId="0" fontId="37" fillId="0" borderId="0" xfId="0" applyFont="1" applyNumberFormat="1">
      <alignment horizontal="center" vertical="center"/>
    </xf>
    <xf numFmtId="0" fontId="22" fillId="0" borderId="0" xfId="0" applyFont="1" applyNumberFormat="1"/>
    <xf numFmtId="49" fontId="22" fillId="0" borderId="12" xfId="0" applyFont="1" applyBorder="1" applyNumberFormat="1">
      <alignment horizontal="left" vertical="center" wrapText="1"/>
    </xf>
    <xf numFmtId="49" fontId="40" fillId="37" borderId="13" xfId="0" applyFont="1" applyFill="1" applyBorder="1" applyNumberFormat="1">
      <alignment horizontal="left" vertical="center"/>
    </xf>
    <xf numFmtId="49" fontId="0" fillId="0" borderId="0" xfId="0" applyFont="1" applyNumberFormat="1">
      <alignment vertical="top"/>
    </xf>
    <xf numFmtId="49" fontId="0" fillId="0" borderId="15" xfId="0" applyFont="1" applyBorder="1" applyNumberFormat="1">
      <alignment horizontal="left" vertical="center" indent="1"/>
    </xf>
    <xf numFmtId="49" fontId="0" fillId="0" borderId="15" xfId="0" applyFont="1" applyBorder="1" applyNumberFormat="1">
      <alignment horizontal="left" vertical="center" indent="1"/>
    </xf>
    <xf numFmtId="49" fontId="65" fillId="0" borderId="0" xfId="0" applyFont="1" applyNumberFormat="1">
      <alignment vertical="top"/>
    </xf>
    <xf numFmtId="49" fontId="0" fillId="0" borderId="25" xfId="0" applyFont="1" applyBorder="1" applyNumberFormat="1">
      <alignment horizontal="center" vertical="center"/>
    </xf>
    <xf numFmtId="49" fontId="0" fillId="0" borderId="25" xfId="0" applyFont="1" applyBorder="1" applyNumberFormat="1">
      <alignment horizontal="center" vertical="center"/>
    </xf>
    <xf numFmtId="49" fontId="0" fillId="38" borderId="0" xfId="0" applyFont="1" applyFill="1" applyNumberFormat="1">
      <alignment vertical="top"/>
    </xf>
    <xf numFmtId="49" fontId="0" fillId="38" borderId="0" xfId="0" applyFont="1" applyFill="1" applyNumberFormat="1">
      <alignment vertical="top"/>
    </xf>
    <xf numFmtId="0" fontId="37" fillId="35" borderId="0" xfId="0" applyFont="1" applyFill="1" applyNumberFormat="1">
      <alignment horizontal="center" vertical="center" wrapText="1"/>
    </xf>
    <xf numFmtId="0" fontId="37" fillId="35" borderId="0" xfId="0" applyFont="1" applyFill="1" applyNumberFormat="1">
      <alignment horizontal="center"/>
    </xf>
    <xf numFmtId="49" fontId="22" fillId="36" borderId="12" xfId="0" applyFont="1" applyFill="1" applyBorder="1" applyNumberFormat="1">
      <alignment horizontal="left" vertical="center" wrapText="1"/>
      <protection locked="0"/>
    </xf>
    <xf numFmtId="0" fontId="37" fillId="0" borderId="0" xfId="0" applyFont="1" applyNumberFormat="1">
      <alignment horizontal="center" vertical="center" wrapText="1"/>
    </xf>
    <xf numFmtId="0" fontId="22" fillId="0" borderId="12" xfId="0" applyFont="1" applyBorder="1" applyNumberFormat="1">
      <alignment horizontal="center" vertical="center" wrapText="1"/>
    </xf>
    <xf numFmtId="0" fontId="48" fillId="0" borderId="12" xfId="0" applyFont="1" applyBorder="1" applyNumberFormat="1">
      <alignment horizontal="center" vertical="center"/>
    </xf>
    <xf numFmtId="0" fontId="22" fillId="0" borderId="23" xfId="0" applyFont="1" applyBorder="1" applyNumberFormat="1">
      <alignment horizontal="center" vertical="center" wrapText="1"/>
    </xf>
    <xf numFmtId="0" fontId="47" fillId="0" borderId="23" xfId="0" applyFont="1" applyBorder="1" applyNumberFormat="1">
      <alignment horizontal="center" vertical="center" wrapText="1"/>
    </xf>
    <xf numFmtId="0" fontId="47" fillId="0" borderId="0" xfId="0" applyFont="1" applyNumberFormat="1">
      <alignment horizontal="center" vertical="center" wrapText="1"/>
    </xf>
    <xf numFmtId="0" fontId="47" fillId="0" borderId="12" xfId="0" applyFont="1" applyBorder="1" applyNumberFormat="1">
      <alignment horizontal="center" vertical="center" wrapText="1"/>
    </xf>
    <xf numFmtId="14" fontId="22" fillId="40" borderId="12" xfId="0" applyFont="1" applyFill="1" applyBorder="1" applyNumberFormat="1">
      <alignment horizontal="left" vertical="center" wrapText="1" indent="1"/>
    </xf>
    <xf numFmtId="49" fontId="22" fillId="34" borderId="12" xfId="0" applyFont="1" applyFill="1" applyBorder="1" applyNumberFormat="1">
      <alignment horizontal="center" vertical="center" wrapText="1"/>
    </xf>
    <xf numFmtId="49" fontId="52" fillId="38" borderId="0" xfId="0" applyFont="1" applyFill="1" applyNumberFormat="1">
      <alignment vertical="top"/>
    </xf>
    <xf numFmtId="49" fontId="52" fillId="0" borderId="0" xfId="0" applyFont="1" applyNumberFormat="1">
      <alignment vertical="top"/>
    </xf>
    <xf numFmtId="0" fontId="36" fillId="0" borderId="24" xfId="0" applyFont="1" applyBorder="1" applyNumberFormat="1">
      <alignment horizontal="center" vertical="center" wrapText="1"/>
    </xf>
    <xf numFmtId="14" fontId="81" fillId="0" borderId="17" xfId="0" applyFont="1" applyBorder="1" applyNumberFormat="1">
      <alignment horizontal="center" vertical="center" wrapText="1"/>
    </xf>
    <xf numFmtId="0" fontId="75" fillId="0" borderId="12" xfId="0" applyFont="1" applyBorder="1" applyNumberFormat="1">
      <alignment horizontal="left" vertical="center" wrapText="1" indent="1"/>
    </xf>
    <xf numFmtId="0" fontId="81" fillId="0" borderId="17" xfId="0" applyFont="1" applyBorder="1" applyNumberFormat="1">
      <alignment horizontal="center" vertical="center" wrapText="1"/>
    </xf>
    <xf numFmtId="49" fontId="22" fillId="0" borderId="12" xfId="0" applyFont="1" applyBorder="1" applyNumberFormat="1">
      <alignment horizontal="center" vertical="center" wrapText="1"/>
    </xf>
    <xf numFmtId="0" fontId="74" fillId="0" borderId="0" xfId="0" applyFont="1" applyNumberFormat="1">
      <alignment vertical="center"/>
    </xf>
    <xf numFmtId="14" fontId="81" fillId="0" borderId="36" xfId="0" applyFont="1" applyBorder="1" applyNumberFormat="1">
      <alignment horizontal="center" vertical="center" wrapText="1"/>
    </xf>
    <xf numFmtId="0" fontId="75" fillId="0" borderId="12" xfId="0" applyFont="1" applyBorder="1" applyNumberFormat="1">
      <alignment horizontal="left" vertical="top" indent="1"/>
    </xf>
    <xf numFmtId="49" fontId="0" fillId="0" borderId="12" xfId="0" applyFont="1" applyBorder="1" applyNumberFormat="1">
      <alignment vertical="top"/>
    </xf>
    <xf numFmtId="0" fontId="36" fillId="0" borderId="12" xfId="0" applyFont="1" applyBorder="1" applyNumberFormat="1">
      <alignment horizontal="center" vertical="center" wrapText="1"/>
    </xf>
    <xf numFmtId="0" fontId="22" fillId="40" borderId="12" xfId="0" applyFont="1" applyFill="1" applyBorder="1" applyNumberFormat="1">
      <alignment horizontal="left" vertical="center" wrapText="1" indent="1"/>
    </xf>
    <xf numFmtId="0" fontId="36" fillId="0" borderId="12" xfId="0" applyFont="1" applyBorder="1" applyNumberFormat="1">
      <alignment horizontal="center" vertical="center" wrapText="1"/>
    </xf>
    <xf numFmtId="49" fontId="22" fillId="0" borderId="13" xfId="0" applyFont="1" applyBorder="1" applyNumberFormat="1">
      <alignment horizontal="center" vertical="center" wrapText="1"/>
    </xf>
    <xf numFmtId="49" fontId="75" fillId="39" borderId="12" xfId="0" applyFont="1" applyFill="1" applyBorder="1" applyNumberFormat="1">
      <alignment horizontal="left" vertical="center" wrapText="1" indent="1"/>
      <protection locked="0"/>
    </xf>
    <xf numFmtId="49" fontId="22" fillId="35" borderId="0" xfId="0" applyFont="1" applyFill="1" applyNumberFormat="1">
      <alignment horizontal="center" vertical="center" wrapText="1"/>
    </xf>
    <xf numFmtId="0" fontId="22" fillId="35" borderId="0" xfId="0" applyFont="1" applyFill="1" applyNumberFormat="1">
      <alignment horizontal="center" vertical="top" wrapText="1"/>
    </xf>
    <xf numFmtId="49" fontId="22" fillId="40" borderId="14" xfId="0" applyFont="1" applyFill="1" applyBorder="1" applyNumberFormat="1">
      <alignment horizontal="left" vertical="center" wrapText="1"/>
    </xf>
    <xf numFmtId="49" fontId="0" fillId="0" borderId="12" xfId="0" applyFont="1" applyBorder="1" applyNumberFormat="1">
      <alignment vertical="top"/>
    </xf>
    <xf numFmtId="0" fontId="0" fillId="0" borderId="12" xfId="0" applyFont="1" applyBorder="1" applyNumberFormat="1">
      <alignment horizontal="center" vertical="center" wrapText="1"/>
    </xf>
    <xf numFmtId="49" fontId="0" fillId="39" borderId="12" xfId="0" applyFont="1" applyFill="1" applyBorder="1" applyNumberFormat="1">
      <alignment horizontal="left" vertical="center" wrapText="1"/>
      <protection locked="0"/>
    </xf>
    <xf numFmtId="49" fontId="22" fillId="0" borderId="0" xfId="0" applyFont="1" applyNumberFormat="1">
      <alignment vertical="top"/>
    </xf>
    <xf numFmtId="0" fontId="37" fillId="35" borderId="0" xfId="0" applyFont="1" applyFill="1" applyNumberFormat="1">
      <alignment vertical="top" wrapText="1"/>
    </xf>
    <xf numFmtId="0" fontId="22" fillId="35" borderId="14" xfId="0" applyFont="1" applyFill="1" applyBorder="1" applyNumberFormat="1">
      <alignment horizontal="center" vertical="center" wrapText="1"/>
    </xf>
    <xf numFmtId="0" fontId="48" fillId="35" borderId="12" xfId="0" applyFont="1" applyFill="1" applyBorder="1" applyNumberFormat="1">
      <alignment horizontal="center" vertical="center" wrapText="1"/>
    </xf>
    <xf numFmtId="14" fontId="22" fillId="40" borderId="29" xfId="0" applyFont="1" applyFill="1" applyBorder="1" applyNumberFormat="1">
      <alignment horizontal="left" vertical="center" wrapText="1"/>
    </xf>
    <xf numFmtId="49" fontId="122" fillId="39" borderId="12" xfId="0" applyFont="1" applyFill="1" applyBorder="1" applyNumberFormat="1">
      <alignment horizontal="left" vertical="center" wrapText="1"/>
      <protection locked="0"/>
    </xf>
    <xf numFmtId="49" fontId="0" fillId="0" borderId="12" xfId="0" applyFont="1" applyBorder="1" applyNumberFormat="1">
      <alignment horizontal="center" vertical="center" wrapText="1"/>
    </xf>
    <xf numFmtId="0" fontId="22" fillId="40" borderId="14" xfId="0" applyFont="1" applyFill="1" applyBorder="1" applyNumberFormat="1">
      <alignment horizontal="left" vertical="center" wrapText="1"/>
    </xf>
    <xf numFmtId="0" fontId="0" fillId="0" borderId="23" xfId="0" applyFont="1" applyBorder="1" applyNumberFormat="1">
      <alignment horizontal="center" vertical="center" wrapText="1"/>
    </xf>
    <xf numFmtId="49" fontId="37" fillId="0" borderId="0" xfId="0" applyFont="1" applyNumberFormat="1">
      <alignment horizontal="center" vertical="center" wrapText="1"/>
    </xf>
    <xf numFmtId="504"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49" fontId="0" fillId="35" borderId="12" xfId="0" applyFont="1" applyFill="1" applyBorder="1" applyNumberFormat="1">
      <alignment horizontal="center" vertical="center" wrapText="1"/>
    </xf>
    <xf numFmtId="0" fontId="0" fillId="39" borderId="14" xfId="0" applyFont="1" applyFill="1" applyBorder="1" applyNumberFormat="1">
      <alignment horizontal="left" vertical="center" wrapText="1" indent="2"/>
      <protection locked="0"/>
    </xf>
    <xf numFmtId="0" fontId="37" fillId="0" borderId="24" xfId="0" applyFont="1" applyBorder="1" applyNumberFormat="1">
      <alignment horizontal="center" vertical="center" wrapText="1"/>
    </xf>
    <xf numFmtId="49" fontId="22" fillId="0" borderId="12" xfId="0" applyFont="1" applyBorder="1" applyNumberFormat="1">
      <alignment horizontal="center" vertical="top" wrapText="1"/>
    </xf>
    <xf numFmtId="0" fontId="0" fillId="34" borderId="12" xfId="0" applyFont="1" applyFill="1" applyBorder="1" applyNumberFormat="1">
      <alignment horizontal="left" vertical="top" wrapText="1" indent="1"/>
    </xf>
    <xf numFmtId="49" fontId="22" fillId="40" borderId="17" xfId="0" applyFont="1" applyFill="1" applyBorder="1" applyNumberFormat="1">
      <alignment horizontal="center" vertical="top" wrapText="1"/>
    </xf>
    <xf numFmtId="504" fontId="0" fillId="39" borderId="12" xfId="0" applyFont="1" applyFill="1" applyBorder="1" applyNumberFormat="1">
      <alignment horizontal="center" vertical="top" wrapText="1"/>
      <protection locked="0"/>
    </xf>
    <xf numFmtId="504" fontId="0" fillId="36"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22" fillId="39" borderId="12" xfId="0" applyFont="1" applyFill="1" applyBorder="1" applyNumberFormat="1">
      <alignment horizontal="left" vertical="top" wrapText="1"/>
      <protection locked="0"/>
    </xf>
    <xf numFmtId="49" fontId="0" fillId="34" borderId="12" xfId="0" applyFont="1" applyFill="1" applyBorder="1" applyNumberFormat="1">
      <alignment horizontal="center" vertical="top" wrapText="1"/>
    </xf>
    <xf numFmtId="0" fontId="22" fillId="34" borderId="12" xfId="0" applyFont="1" applyFill="1" applyBorder="1" applyNumberFormat="1">
      <alignment horizontal="center" vertical="top" wrapText="1"/>
    </xf>
    <xf numFmtId="0" fontId="22" fillId="36" borderId="12" xfId="0" applyFont="1" applyFill="1" applyBorder="1" applyNumberFormat="1">
      <alignment horizontal="left" vertical="top" wrapText="1"/>
      <protection locked="0"/>
    </xf>
    <xf numFmtId="49" fontId="22" fillId="40" borderId="12" xfId="0" applyFont="1" applyFill="1" applyBorder="1" applyNumberFormat="1">
      <alignment horizontal="center" vertical="top" wrapText="1"/>
    </xf>
    <xf numFmtId="0" fontId="22" fillId="0" borderId="36" xfId="0" applyFont="1" applyBorder="1" applyNumberFormat="1">
      <alignment horizontal="center" vertical="center" wrapText="1"/>
    </xf>
    <xf numFmtId="0" fontId="22" fillId="0" borderId="12" xfId="0" applyFont="1" applyBorder="1" applyNumberFormat="1">
      <alignment horizontal="center" vertical="center" wrapText="1"/>
    </xf>
    <xf numFmtId="49" fontId="22" fillId="39" borderId="17" xfId="0" applyFont="1" applyFill="1" applyBorder="1" applyNumberFormat="1">
      <alignment horizontal="left" vertical="center" wrapText="1" indent="1"/>
      <protection locked="0"/>
    </xf>
    <xf numFmtId="0" fontId="22" fillId="0" borderId="24" xfId="0" applyFont="1" applyBorder="1" applyNumberFormat="1">
      <alignment vertical="top" wrapText="1"/>
    </xf>
    <xf numFmtId="49" fontId="22" fillId="40" borderId="23" xfId="0" applyFont="1" applyFill="1" applyBorder="1" applyNumberFormat="1">
      <alignment horizontal="center" vertical="top" wrapText="1"/>
    </xf>
    <xf numFmtId="49" fontId="0" fillId="39"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40" borderId="14" xfId="0" applyFont="1" applyFill="1" applyBorder="1" applyNumberFormat="1">
      <alignment horizontal="center" vertical="top" wrapText="1"/>
    </xf>
    <xf numFmtId="49" fontId="22" fillId="0" borderId="36" xfId="0" applyFont="1" applyBorder="1" applyNumberFormat="1">
      <alignment horizontal="center" vertical="top" wrapText="1"/>
    </xf>
    <xf numFmtId="0" fontId="0" fillId="34" borderId="36" xfId="0" applyFont="1" applyFill="1" applyBorder="1" applyNumberFormat="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pplyNumberFormat="1">
      <alignment horizontal="center" vertical="top" wrapText="1"/>
    </xf>
    <xf numFmtId="0" fontId="22" fillId="36" borderId="36" xfId="0" applyFont="1" applyFill="1" applyBorder="1" applyNumberFormat="1">
      <alignment horizontal="left" vertical="top" wrapText="1"/>
      <protection locked="0"/>
    </xf>
    <xf numFmtId="0" fontId="103" fillId="0" borderId="48" xfId="0" applyFont="1" applyBorder="1" applyNumberFormat="1">
      <alignment horizontal="left" vertical="center" indent="1"/>
    </xf>
    <xf numFmtId="0" fontId="103" fillId="0" borderId="49" xfId="0" applyFont="1" applyBorder="1" applyNumberFormat="1">
      <alignment horizontal="left" vertical="center" indent="1"/>
    </xf>
    <xf numFmtId="0" fontId="0" fillId="0" borderId="49" xfId="0" applyFont="1" applyBorder="1" applyNumberFormat="1">
      <alignment horizontal="left" vertical="center" wrapText="1"/>
    </xf>
    <xf numFmtId="0" fontId="22" fillId="0" borderId="49" xfId="0" applyFont="1" applyBorder="1" applyNumberFormat="1">
      <alignment vertical="center" wrapText="1"/>
    </xf>
    <xf numFmtId="0" fontId="22" fillId="0" borderId="53" xfId="0" applyFont="1" applyBorder="1" applyNumberFormat="1">
      <alignment vertical="center" wrapText="1"/>
    </xf>
    <xf numFmtId="0" fontId="22" fillId="0" borderId="54" xfId="0" applyFont="1" applyBorder="1" applyNumberFormat="1">
      <alignment vertical="center" wrapText="1"/>
    </xf>
    <xf numFmtId="0" fontId="22" fillId="0" borderId="22" xfId="0" applyFont="1" applyBorder="1" applyNumberFormat="1">
      <alignment vertical="center" wrapText="1"/>
    </xf>
    <xf numFmtId="49" fontId="22" fillId="34" borderId="12" xfId="0" applyFont="1" applyFill="1" applyBorder="1" applyNumberFormat="1">
      <alignment horizontal="center" vertical="center" wrapText="1"/>
    </xf>
    <xf numFmtId="49" fontId="22" fillId="0" borderId="13" xfId="0" applyFont="1" applyBorder="1" applyNumberFormat="1">
      <alignment horizontal="center" vertical="center" wrapText="1"/>
    </xf>
    <xf numFmtId="49" fontId="47" fillId="0" borderId="13" xfId="0" applyFont="1" applyBorder="1" applyNumberFormat="1">
      <alignment horizontal="center" vertical="center" wrapText="1"/>
    </xf>
    <xf numFmtId="49" fontId="47" fillId="0" borderId="13" xfId="0" applyFont="1" applyBorder="1" applyNumberFormat="1">
      <alignment horizontal="left" vertical="center" wrapText="1"/>
    </xf>
    <xf numFmtId="49" fontId="47" fillId="0" borderId="12" xfId="0" applyFont="1" applyBorder="1" applyNumberFormat="1">
      <alignment horizontal="left" vertical="center" wrapText="1"/>
    </xf>
    <xf numFmtId="49" fontId="47" fillId="0" borderId="14" xfId="0" applyFont="1" applyBorder="1" applyNumberFormat="1">
      <alignment horizontal="center" vertical="center" wrapText="1"/>
    </xf>
    <xf numFmtId="49" fontId="94" fillId="0" borderId="43" xfId="0" applyFont="1" applyBorder="1" applyNumberFormat="1">
      <alignment horizontal="left" vertical="center" indent="1"/>
    </xf>
    <xf numFmtId="49" fontId="94" fillId="0" borderId="43" xfId="0" applyFont="1" applyBorder="1" applyNumberFormat="1">
      <alignment horizontal="center" vertical="center"/>
    </xf>
    <xf numFmtId="3" fontId="47" fillId="0" borderId="12" xfId="0" applyFont="1" applyBorder="1" applyNumberFormat="1">
      <alignment horizontal="center" vertical="center" wrapText="1"/>
    </xf>
    <xf numFmtId="49" fontId="125" fillId="0" borderId="13" xfId="0" applyFont="1" applyBorder="1" applyNumberFormat="1">
      <alignment horizontal="center" vertical="center" wrapText="1"/>
    </xf>
    <xf numFmtId="0" fontId="94" fillId="0" borderId="12" xfId="0" applyFont="1" applyBorder="1" applyNumberFormat="1">
      <alignment horizontal="center" vertical="center"/>
    </xf>
    <xf numFmtId="49" fontId="47" fillId="0" borderId="17" xfId="0" applyFont="1" applyBorder="1" applyNumberFormat="1">
      <alignment horizontal="left" vertical="center" wrapText="1" indent="1"/>
    </xf>
    <xf numFmtId="49" fontId="47" fillId="0" borderId="12" xfId="0" applyFont="1" applyBorder="1" applyNumberFormat="1">
      <alignment horizontal="left" vertical="center" wrapTex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47" fillId="0" borderId="36" xfId="0" applyFont="1" applyBorder="1" applyNumberFormat="1">
      <alignment horizontal="left" vertical="center" wrapText="1" indent="1"/>
    </xf>
    <xf numFmtId="49" fontId="125" fillId="0" borderId="0" xfId="0" applyFont="1" applyNumberFormat="1">
      <alignment horizontal="center" vertical="top" wrapText="1"/>
    </xf>
    <xf numFmtId="0" fontId="94" fillId="0" borderId="12" xfId="0" applyFont="1" applyBorder="1" applyNumberFormat="1">
      <alignment horizontal="center" vertical="center"/>
    </xf>
    <xf numFmtId="0" fontId="94" fillId="0" borderId="12" xfId="0" applyFont="1" applyBorder="1" applyNumberFormat="1">
      <alignment horizontal="left" vertical="center" wrapText="1" indent="1"/>
    </xf>
    <xf numFmtId="4" fontId="47" fillId="0" borderId="31" xfId="0" applyFont="1" applyBorder="1" applyNumberFormat="1">
      <alignment horizontal="right" vertical="center" wrapText="1"/>
    </xf>
    <xf numFmtId="49" fontId="47" fillId="0" borderId="23" xfId="0" applyFont="1" applyBorder="1" applyNumberFormat="1">
      <alignment horizontal="left" vertical="center" wrapText="1" indent="1"/>
    </xf>
    <xf numFmtId="49" fontId="47"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22" fillId="34" borderId="74" xfId="0" applyFont="1" applyFill="1" applyBorder="1" applyNumberFormat="1">
      <alignment horizontal="center" vertical="center" wrapText="1"/>
    </xf>
    <xf numFmtId="0" fontId="0" fillId="37" borderId="50" xfId="0" applyFont="1" applyFill="1" applyBorder="1" applyNumberFormat="1">
      <alignment horizontal="left" vertical="center"/>
    </xf>
    <xf numFmtId="49" fontId="40" fillId="37" borderId="51" xfId="0" applyFont="1" applyFill="1" applyBorder="1" applyNumberFormat="1">
      <alignment horizontal="left" vertical="center" indent="1"/>
    </xf>
    <xf numFmtId="0" fontId="22" fillId="37" borderId="50" xfId="0" applyFont="1" applyFill="1" applyBorder="1" applyNumberFormat="1">
      <alignment vertical="center" wrapText="1"/>
    </xf>
    <xf numFmtId="0" fontId="22" fillId="37" borderId="51" xfId="0" applyFont="1" applyFill="1" applyBorder="1" applyNumberFormat="1">
      <alignment vertical="center" wrapText="1"/>
    </xf>
    <xf numFmtId="49" fontId="0" fillId="34" borderId="36" xfId="0" applyFont="1" applyFill="1" applyBorder="1" applyNumberFormat="1">
      <alignment vertical="top"/>
    </xf>
    <xf numFmtId="49" fontId="0" fillId="0" borderId="36" xfId="0" applyFont="1" applyBorder="1" applyNumberFormat="1">
      <alignment vertical="top"/>
    </xf>
    <xf numFmtId="49" fontId="22" fillId="40" borderId="17" xfId="0" applyFont="1" applyFill="1" applyBorder="1" applyNumberFormat="1">
      <alignment vertical="center" wrapText="1"/>
    </xf>
    <xf numFmtId="49" fontId="0" fillId="39" borderId="36" xfId="0" applyFont="1" applyFill="1" applyBorder="1" applyNumberFormat="1">
      <alignment vertical="top"/>
      <protection locked="0"/>
    </xf>
    <xf numFmtId="49" fontId="123" fillId="0" borderId="12" xfId="0" applyFont="1" applyBorder="1" applyNumberFormat="1">
      <alignment horizontal="center" vertical="center" wrapText="1"/>
    </xf>
    <xf numFmtId="0" fontId="45" fillId="0" borderId="12" xfId="0" applyFont="1" applyBorder="1" applyNumberFormat="1">
      <alignment horizontal="center" vertical="center"/>
    </xf>
    <xf numFmtId="49" fontId="22" fillId="40" borderId="17"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45" fillId="37" borderId="15" xfId="0" applyFont="1" applyFill="1" applyBorder="1" applyNumberFormat="1">
      <alignment vertical="top" wrapText="1"/>
    </xf>
    <xf numFmtId="49" fontId="0" fillId="39" borderId="17" xfId="0" applyFont="1" applyFill="1" applyBorder="1" applyNumberFormat="1">
      <alignment vertical="top"/>
      <protection locked="0"/>
    </xf>
    <xf numFmtId="14" fontId="22" fillId="40" borderId="36" xfId="0" applyFont="1" applyFill="1" applyBorder="1" applyNumberFormat="1">
      <alignment horizontal="left" vertical="center" wrapText="1" indent="1"/>
    </xf>
    <xf numFmtId="14" fontId="22" fillId="40" borderId="22" xfId="0" applyFont="1" applyFill="1" applyBorder="1" applyNumberFormat="1">
      <alignment horizontal="left" vertical="center" wrapText="1" indent="1"/>
    </xf>
    <xf numFmtId="49" fontId="22" fillId="40" borderId="36" xfId="0" applyFont="1" applyFill="1" applyBorder="1" applyNumberFormat="1">
      <alignment vertical="center" wrapText="1"/>
    </xf>
    <xf numFmtId="49" fontId="22" fillId="40" borderId="36" xfId="0" applyFont="1" applyFill="1" applyBorder="1" applyNumberFormat="1">
      <alignment horizontal="left" vertical="center" wrapText="1" indent="1"/>
    </xf>
    <xf numFmtId="49" fontId="22" fillId="34" borderId="12" xfId="0" applyFont="1" applyFill="1" applyBorder="1" applyNumberFormat="1">
      <alignment horizontal="left" vertical="center" wrapText="1"/>
    </xf>
    <xf numFmtId="49" fontId="123" fillId="0" borderId="0" xfId="0" applyFont="1" applyNumberFormat="1">
      <alignment horizontal="center" vertical="top" wrapText="1"/>
    </xf>
    <xf numFmtId="0" fontId="45" fillId="0" borderId="12" xfId="0" applyFont="1" applyBorder="1" applyNumberFormat="1">
      <alignment horizontal="center" vertical="center"/>
    </xf>
    <xf numFmtId="0" fontId="45" fillId="40" borderId="12" xfId="0" applyFont="1" applyFill="1" applyBorder="1" applyNumberFormat="1">
      <alignment horizontal="left" vertical="center" wrapText="1" indent="1"/>
    </xf>
    <xf numFmtId="4" fontId="22" fillId="39" borderId="31" xfId="0" applyFont="1" applyFill="1" applyBorder="1" applyNumberFormat="1">
      <alignment horizontal="right" vertical="center" wrapText="1"/>
      <protection locked="0"/>
    </xf>
    <xf numFmtId="49" fontId="22" fillId="40" borderId="23" xfId="0" applyFont="1" applyFill="1" applyBorder="1" applyNumberFormat="1">
      <alignment vertical="center" wrapText="1"/>
    </xf>
    <xf numFmtId="49" fontId="22" fillId="40" borderId="23" xfId="0" applyFont="1" applyFill="1" applyBorder="1" applyNumberFormat="1">
      <alignment horizontal="left" vertical="center" wrapText="1" indent="1"/>
    </xf>
    <xf numFmtId="49" fontId="40" fillId="37" borderId="15" xfId="0" applyFont="1" applyFill="1" applyBorder="1" applyNumberFormat="1">
      <alignment horizontal="left" vertical="center" indent="1"/>
    </xf>
    <xf numFmtId="49" fontId="0" fillId="39" borderId="23" xfId="0" applyFont="1" applyFill="1" applyBorder="1" applyNumberFormat="1">
      <alignment vertical="top"/>
      <protection locked="0"/>
    </xf>
    <xf numFmtId="49" fontId="123" fillId="0" borderId="36" xfId="0" applyFont="1" applyBorder="1" applyNumberFormat="1">
      <alignment horizontal="center" vertical="top" wrapText="1"/>
    </xf>
    <xf numFmtId="0" fontId="45" fillId="0" borderId="13" xfId="0" applyFont="1" applyBorder="1" applyNumberFormat="1">
      <alignment horizontal="center" vertical="center"/>
    </xf>
    <xf numFmtId="49" fontId="22" fillId="40" borderId="13" xfId="0" applyFont="1" applyFill="1" applyBorder="1" applyNumberFormat="1">
      <alignment horizontal="left" vertical="center" wrapText="1"/>
    </xf>
    <xf numFmtId="49" fontId="22" fillId="39" borderId="12" xfId="0" applyFont="1" applyFill="1" applyBorder="1" applyNumberFormat="1">
      <alignment horizontal="left" vertical="center" wrapText="1"/>
      <protection locked="0"/>
    </xf>
    <xf numFmtId="49" fontId="105" fillId="37" borderId="42"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3"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0" fontId="45" fillId="0" borderId="13" xfId="0" applyFont="1" applyBorder="1" applyNumberFormat="1">
      <alignment horizontal="center" vertical="center"/>
    </xf>
    <xf numFmtId="49" fontId="45" fillId="37" borderId="13" xfId="0" applyFont="1" applyFill="1" applyBorder="1" applyNumberFormat="1">
      <alignment vertical="top" wrapText="1"/>
    </xf>
    <xf numFmtId="49" fontId="45"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0" fontId="103" fillId="0" borderId="47" xfId="0" applyFont="1" applyBorder="1" applyNumberFormat="1">
      <alignment horizontal="left" vertical="center" indent="1"/>
    </xf>
    <xf numFmtId="49" fontId="22" fillId="0" borderId="55" xfId="0" applyFont="1" applyBorder="1" applyNumberFormat="1">
      <alignment horizontal="center" vertical="center"/>
    </xf>
    <xf numFmtId="0" fontId="22" fillId="0" borderId="55" xfId="0" applyFont="1" applyBorder="1" applyNumberFormat="1">
      <alignment horizontal="right" vertical="center"/>
    </xf>
    <xf numFmtId="0" fontId="22" fillId="0" borderId="55" xfId="0" applyFont="1" applyBorder="1" applyNumberFormat="1">
      <alignment horizontal="center" vertical="center"/>
    </xf>
    <xf numFmtId="0" fontId="22" fillId="0" borderId="15" xfId="0" applyFont="1" applyBorder="1" applyNumberFormat="1">
      <alignment horizontal="right" vertical="center"/>
    </xf>
    <xf numFmtId="0" fontId="22" fillId="0" borderId="13" xfId="0" applyFont="1" applyBorder="1" applyNumberFormat="1">
      <alignment horizontal="right" vertical="center"/>
    </xf>
    <xf numFmtId="49" fontId="0" fillId="0" borderId="0" xfId="0" applyFont="1" applyNumberFormat="1">
      <alignment vertical="top"/>
    </xf>
    <xf numFmtId="0" fontId="22" fillId="35" borderId="12" xfId="0" applyFont="1" applyFill="1" applyBorder="1" applyNumberFormat="1">
      <alignment horizontal="center" vertical="center"/>
    </xf>
    <xf numFmtId="0" fontId="22" fillId="40" borderId="12" xfId="0" applyFont="1" applyFill="1" applyBorder="1" applyNumberFormat="1">
      <alignment horizontal="left" vertical="center" wrapText="1" indent="1"/>
    </xf>
    <xf numFmtId="0" fontId="22" fillId="39" borderId="12" xfId="0" applyFont="1" applyFill="1" applyBorder="1" applyNumberFormat="1">
      <alignment horizontal="left" vertical="center" wrapText="1" indent="1"/>
      <protection locked="0"/>
    </xf>
    <xf numFmtId="49" fontId="22" fillId="36" borderId="12" xfId="0" applyFont="1" applyFill="1" applyBorder="1" applyNumberFormat="1">
      <alignment horizontal="left" vertical="center" indent="1"/>
      <protection locked="0"/>
    </xf>
    <xf numFmtId="0" fontId="22" fillId="41" borderId="12" xfId="0" applyFont="1" applyFill="1" applyBorder="1" applyNumberFormat="1">
      <alignment horizontal="right" vertical="center"/>
    </xf>
    <xf numFmtId="4" fontId="22" fillId="36" borderId="12" xfId="0" applyFont="1" applyFill="1" applyBorder="1" applyNumberFormat="1">
      <alignment horizontal="right" vertical="center"/>
      <protection locked="0"/>
    </xf>
    <xf numFmtId="49" fontId="40" fillId="37" borderId="56"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52" borderId="13" xfId="0" applyFont="1" applyFill="1" applyBorder="1" applyNumberFormat="1">
      <alignment horizontal="left" vertical="center" indent="1"/>
    </xf>
    <xf numFmtId="49" fontId="22" fillId="0" borderId="0" xfId="0" applyFont="1" applyNumberFormat="1">
      <alignment vertical="top"/>
    </xf>
    <xf numFmtId="49" fontId="22" fillId="0" borderId="17" xfId="0" applyFont="1" applyBorder="1" applyNumberFormat="1">
      <alignment horizontal="center" vertical="center" wrapText="1"/>
    </xf>
    <xf numFmtId="49" fontId="22" fillId="0" borderId="36" xfId="0" applyFont="1" applyBorder="1" applyNumberFormat="1">
      <alignment horizontal="center" vertical="center" wrapText="1"/>
    </xf>
    <xf numFmtId="0" fontId="47" fillId="0" borderId="0" xfId="0" applyFont="1" applyNumberFormat="1">
      <alignment horizontal="center" vertical="center" wrapText="1"/>
    </xf>
    <xf numFmtId="0" fontId="22" fillId="0" borderId="12" xfId="0" applyFont="1" applyBorder="1" applyNumberFormat="1">
      <alignment horizontal="left" vertical="center" wrapText="1"/>
    </xf>
    <xf numFmtId="0" fontId="48" fillId="0" borderId="0" xfId="0" applyFont="1" applyNumberFormat="1">
      <alignment horizontal="center" vertical="center" wrapText="1"/>
    </xf>
    <xf numFmtId="0" fontId="40" fillId="0" borderId="12" xfId="0" applyFont="1" applyBorder="1" applyNumberFormat="1">
      <alignment horizontal="left" vertical="center" indent="1"/>
    </xf>
    <xf numFmtId="0" fontId="47" fillId="0" borderId="0" xfId="0" applyFont="1" applyNumberFormat="1">
      <alignment horizontal="center" vertical="top"/>
    </xf>
    <xf numFmtId="49" fontId="22" fillId="0" borderId="23" xfId="0" applyFont="1" applyBorder="1" applyNumberFormat="1">
      <alignment horizontal="center" vertical="center" wrapText="1"/>
    </xf>
    <xf numFmtId="0" fontId="48" fillId="0" borderId="23" xfId="0" applyFont="1" applyBorder="1" applyNumberFormat="1">
      <alignment vertical="center" wrapText="1"/>
    </xf>
    <xf numFmtId="4" fontId="48" fillId="0" borderId="12" xfId="0" applyFont="1" applyBorder="1" applyNumberFormat="1">
      <alignment horizontal="right" vertical="center" wrapText="1"/>
    </xf>
    <xf numFmtId="2" fontId="48" fillId="0" borderId="23" xfId="0" applyFont="1" applyBorder="1" applyNumberFormat="1">
      <alignment horizontal="center" vertical="center" wrapText="1"/>
    </xf>
    <xf numFmtId="0" fontId="48" fillId="0" borderId="0" xfId="0" applyFont="1" applyNumberFormat="1">
      <alignment horizontal="center" vertical="top"/>
    </xf>
    <xf numFmtId="49" fontId="48" fillId="0" borderId="0" xfId="0" applyFont="1" applyNumberFormat="1">
      <alignment vertical="top"/>
    </xf>
    <xf numFmtId="49" fontId="48" fillId="0" borderId="14" xfId="0" applyFont="1" applyBorder="1" applyNumberFormat="1">
      <alignment horizontal="left" vertical="center"/>
    </xf>
    <xf numFmtId="49" fontId="48" fillId="0" borderId="15" xfId="0" applyFont="1" applyBorder="1" applyNumberFormat="1">
      <alignment horizontal="left" vertical="center" indent="1"/>
    </xf>
    <xf numFmtId="49" fontId="48" fillId="0" borderId="15" xfId="0" applyFont="1" applyBorder="1" applyNumberFormat="1">
      <alignment horizontal="left" vertical="center"/>
    </xf>
    <xf numFmtId="49" fontId="48" fillId="0" borderId="13" xfId="0" applyFont="1" applyBorder="1" applyNumberFormat="1">
      <alignment horizontal="left" vertical="center" indent="1"/>
    </xf>
    <xf numFmtId="0" fontId="48" fillId="0" borderId="12" xfId="0" applyFont="1" applyBorder="1" applyNumberFormat="1">
      <alignment horizontal="left" vertical="center" indent="1"/>
    </xf>
    <xf numFmtId="49" fontId="0" fillId="0" borderId="19" xfId="0" applyFont="1" applyBorder="1" applyNumberFormat="1">
      <alignment vertical="top"/>
    </xf>
    <xf numFmtId="49" fontId="37" fillId="0" borderId="17"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0" fillId="0" borderId="13" xfId="0" applyFont="1" applyBorder="1" applyNumberFormat="1">
      <alignment horizontal="center" vertical="center" wrapText="1"/>
    </xf>
    <xf numFmtId="0" fontId="0" fillId="0" borderId="12" xfId="0" applyFont="1" applyBorder="1" applyNumberFormat="1">
      <alignment horizontal="left" vertical="center" wrapText="1"/>
    </xf>
    <xf numFmtId="49" fontId="0" fillId="0" borderId="12" xfId="0" applyFont="1" applyBorder="1" applyNumberFormat="1">
      <alignment horizontal="center" vertical="center"/>
    </xf>
    <xf numFmtId="0" fontId="0" fillId="0" borderId="12" xfId="0" applyFont="1" applyBorder="1" applyNumberFormat="1">
      <alignment horizontal="center" vertical="center" wrapText="1"/>
    </xf>
    <xf numFmtId="4" fontId="0" fillId="34" borderId="12" xfId="0" applyFont="1" applyFill="1" applyBorder="1" applyNumberFormat="1">
      <alignment horizontal="right" vertical="center" wrapText="1"/>
    </xf>
    <xf numFmtId="49" fontId="22" fillId="0" borderId="36" xfId="0" applyFont="1" applyBorder="1" applyNumberFormat="1">
      <alignment horizontal="center" vertical="top" wrapText="1"/>
    </xf>
    <xf numFmtId="0" fontId="0" fillId="39" borderId="12" xfId="0" applyFont="1" applyFill="1" applyBorder="1" applyNumberFormat="1">
      <alignment horizontal="left" vertical="center" wrapText="1"/>
      <protection locked="0"/>
    </xf>
    <xf numFmtId="49" fontId="0" fillId="39" borderId="14" xfId="0" applyFont="1" applyFill="1" applyBorder="1" applyNumberFormat="1">
      <alignment horizontal="left" vertical="center" wrapText="1"/>
      <protection locked="0"/>
    </xf>
    <xf numFmtId="0" fontId="0" fillId="0" borderId="12" xfId="0" applyFont="1" applyBorder="1" applyNumberFormat="1">
      <alignment vertical="center" wrapText="1"/>
    </xf>
    <xf numFmtId="49" fontId="0" fillId="0" borderId="29" xfId="0" applyFont="1" applyBorder="1" applyNumberFormat="1">
      <alignment horizontal="center" vertical="center" wrapText="1"/>
    </xf>
    <xf numFmtId="49" fontId="0" fillId="39"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7" fillId="0" borderId="12" xfId="0" applyFont="1" applyBorder="1" applyNumberFormat="1">
      <alignment horizontal="right" vertical="center" wrapText="1"/>
    </xf>
    <xf numFmtId="49" fontId="0" fillId="39" borderId="12" xfId="0" applyFont="1" applyFill="1" applyBorder="1" applyNumberFormat="1">
      <alignment horizontal="left" vertical="center" wrapText="1"/>
      <protection locked="0"/>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40" fillId="37" borderId="15" xfId="0" applyFont="1" applyFill="1" applyBorder="1" applyNumberFormat="1">
      <alignment horizontal="left" vertical="center"/>
    </xf>
    <xf numFmtId="49" fontId="40" fillId="37" borderId="13" xfId="0" applyFont="1" applyFill="1" applyBorder="1" applyNumberFormat="1">
      <alignment horizontal="left" vertical="center" indent="1"/>
    </xf>
    <xf numFmtId="49" fontId="22" fillId="0" borderId="23" xfId="0" applyFont="1" applyBorder="1" applyNumberFormat="1">
      <alignment horizontal="center" vertical="top" wrapText="1"/>
    </xf>
    <xf numFmtId="49" fontId="22" fillId="39" borderId="12" xfId="0" applyFont="1" applyFill="1" applyBorder="1" applyNumberFormat="1">
      <alignment horizontal="left" vertical="center" wrapText="1" indent="1"/>
      <protection locked="0"/>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37" fillId="0" borderId="0" xfId="0" applyFont="1" applyNumberFormat="1">
      <alignment horizontal="center" vertical="center" wrapText="1"/>
    </xf>
    <xf numFmtId="0" fontId="0" fillId="0" borderId="12" xfId="0" applyFont="1" applyBorder="1" applyNumberFormat="1">
      <alignment horizontal="center" vertical="center"/>
    </xf>
    <xf numFmtId="0" fontId="22" fillId="40" borderId="12" xfId="0" applyFont="1" applyFill="1" applyBorder="1" applyNumberFormat="1">
      <alignment horizontal="left" vertical="top" wrapText="1"/>
    </xf>
    <xf numFmtId="49" fontId="22" fillId="36" borderId="12" xfId="0" applyFont="1" applyFill="1" applyBorder="1" applyNumberFormat="1">
      <alignment horizontal="left" vertical="center" wrapText="1"/>
      <protection locked="0"/>
    </xf>
    <xf numFmtId="0" fontId="0" fillId="40" borderId="12" xfId="0" applyFont="1" applyFill="1" applyBorder="1" applyNumberFormat="1">
      <alignment horizontal="left" vertical="center" wrapText="1"/>
    </xf>
    <xf numFmtId="49" fontId="0" fillId="39" borderId="12" xfId="0" applyFont="1" applyFill="1" applyBorder="1" applyNumberFormat="1">
      <alignment horizontal="left" vertical="center" wrapText="1"/>
      <protection locked="0"/>
    </xf>
    <xf numFmtId="49" fontId="22" fillId="0" borderId="12" xfId="0" applyFont="1" applyBorder="1" applyNumberFormat="1">
      <alignment horizontal="center" vertical="center" wrapText="1"/>
    </xf>
    <xf numFmtId="49" fontId="0" fillId="39"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0" fontId="0" fillId="0" borderId="0" xfId="0" applyFont="1" applyNumberFormat="1">
      <alignment horizontal="left" vertical="center" indent="1"/>
    </xf>
    <xf numFmtId="0" fontId="0" fillId="0" borderId="0" xfId="0" applyFont="1" applyNumberFormat="1">
      <alignment vertical="center"/>
    </xf>
    <xf numFmtId="0" fontId="40" fillId="37" borderId="14"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3" xfId="0" applyFont="1" applyFill="1" applyBorder="1" applyNumberFormat="1">
      <alignment horizontal="left" vertical="center"/>
    </xf>
    <xf numFmtId="49" fontId="0" fillId="0" borderId="12" xfId="0" applyFont="1" applyBorder="1" applyNumberFormat="1">
      <alignment vertical="top"/>
    </xf>
    <xf numFmtId="49" fontId="0" fillId="0" borderId="12" xfId="0" applyFont="1" applyBorder="1" applyNumberFormat="1">
      <alignment horizontal="left" vertical="top"/>
    </xf>
    <xf numFmtId="49" fontId="0" fillId="40" borderId="12" xfId="0" applyFont="1" applyFill="1" applyBorder="1" applyNumberFormat="1">
      <alignment horizontal="left" vertical="top"/>
    </xf>
    <xf numFmtId="49" fontId="0" fillId="36" borderId="12" xfId="0" applyFont="1" applyFill="1" applyBorder="1" applyNumberFormat="1">
      <alignment horizontal="left" vertical="top"/>
      <protection locked="0"/>
    </xf>
    <xf numFmtId="49" fontId="0" fillId="40" borderId="12" xfId="0" applyFont="1" applyFill="1" applyBorder="1" applyNumberFormat="1">
      <alignment horizontal="left" vertical="center" wrapText="1"/>
    </xf>
    <xf numFmtId="0" fontId="0" fillId="37" borderId="15" xfId="0" applyFont="1" applyFill="1" applyBorder="1" applyNumberFormat="1">
      <alignment vertical="center"/>
    </xf>
    <xf numFmtId="49" fontId="0" fillId="0" borderId="36" xfId="0" applyFont="1" applyBorder="1" applyNumberFormat="1">
      <alignment horizontal="left" vertical="top"/>
    </xf>
    <xf numFmtId="0" fontId="22" fillId="40" borderId="36" xfId="0" applyFont="1" applyFill="1" applyBorder="1" applyNumberFormat="1">
      <alignment horizontal="center" vertical="top" wrapText="1"/>
    </xf>
    <xf numFmtId="49" fontId="0" fillId="40" borderId="36" xfId="0" applyFont="1" applyFill="1" applyBorder="1" applyNumberFormat="1">
      <alignment horizontal="left" vertical="top"/>
    </xf>
    <xf numFmtId="49" fontId="0" fillId="36" borderId="36" xfId="0" applyFont="1" applyFill="1" applyBorder="1" applyNumberFormat="1">
      <alignment horizontal="left" vertical="top"/>
      <protection locked="0"/>
    </xf>
    <xf numFmtId="49" fontId="22" fillId="40" borderId="0" xfId="0" applyFont="1" applyFill="1" applyNumberFormat="1">
      <alignment horizontal="center" vertical="center" wrapText="1"/>
    </xf>
    <xf numFmtId="0" fontId="40" fillId="0" borderId="36" xfId="0" applyFont="1" applyBorder="1" applyNumberFormat="1">
      <alignment horizontal="left" vertical="center"/>
    </xf>
    <xf numFmtId="49" fontId="0" fillId="40" borderId="36" xfId="0" applyFont="1" applyFill="1" applyBorder="1" applyNumberFormat="1">
      <alignment horizontal="left" vertical="center" wrapText="1"/>
    </xf>
    <xf numFmtId="49" fontId="22" fillId="40" borderId="36" xfId="0" applyFont="1" applyFill="1" applyBorder="1" applyNumberFormat="1">
      <alignment horizontal="center" vertical="center" wrapText="1"/>
    </xf>
    <xf numFmtId="0" fontId="40" fillId="36" borderId="36" xfId="0" applyFont="1" applyFill="1" applyBorder="1" applyNumberFormat="1">
      <alignment horizontal="left" vertical="center"/>
      <protection locked="0"/>
    </xf>
    <xf numFmtId="0" fontId="40" fillId="39" borderId="36" xfId="0" applyFont="1" applyFill="1" applyBorder="1" applyNumberFormat="1">
      <alignment horizontal="left" vertical="center"/>
      <protection locked="0"/>
    </xf>
    <xf numFmtId="49" fontId="48" fillId="0" borderId="12" xfId="0" applyFont="1" applyBorder="1" applyNumberFormat="1">
      <alignment horizontal="center" vertical="center" wrapText="1"/>
    </xf>
    <xf numFmtId="49" fontId="48" fillId="0" borderId="14" xfId="0" applyFont="1" applyBorder="1" applyNumberFormat="1">
      <alignment horizontal="left" vertical="center" wrapText="1"/>
    </xf>
    <xf numFmtId="0" fontId="48" fillId="0" borderId="14" xfId="0" applyFont="1" applyBorder="1" applyNumberFormat="1">
      <alignment horizontal="left" vertical="center"/>
    </xf>
    <xf numFmtId="0" fontId="48" fillId="0" borderId="15" xfId="0" applyFont="1" applyBorder="1" applyNumberFormat="1">
      <alignment horizontal="left" vertical="center"/>
    </xf>
    <xf numFmtId="0" fontId="40" fillId="37" borderId="29" xfId="0" applyFont="1" applyFill="1" applyBorder="1" applyNumberFormat="1">
      <alignment horizontal="left" vertical="center"/>
    </xf>
    <xf numFmtId="49" fontId="0" fillId="0" borderId="0" xfId="0" applyFont="1" applyNumberFormat="1">
      <alignment vertical="top"/>
    </xf>
    <xf numFmtId="49" fontId="0" fillId="36" borderId="36" xfId="0" applyFont="1" applyFill="1" applyBorder="1" applyNumberFormat="1">
      <alignment vertical="top"/>
      <protection locked="0"/>
    </xf>
    <xf numFmtId="0" fontId="0" fillId="0" borderId="0" xfId="0" applyFont="1" applyNumberFormat="1">
      <alignment vertical="center"/>
    </xf>
    <xf numFmtId="0" fontId="0" fillId="0" borderId="12" xfId="0" applyFont="1" applyBorder="1" applyNumberFormat="1">
      <alignment horizontal="center" vertical="center"/>
    </xf>
    <xf numFmtId="0" fontId="0" fillId="0" borderId="37" xfId="0" applyFont="1" applyBorder="1" applyNumberFormat="1">
      <alignment horizontal="center" vertical="center"/>
    </xf>
    <xf numFmtId="0" fontId="0" fillId="0" borderId="19" xfId="0" applyFont="1" applyBorder="1" applyNumberFormat="1">
      <alignment horizontal="center" vertical="center"/>
    </xf>
    <xf numFmtId="0" fontId="0" fillId="0" borderId="19" xfId="0" applyFont="1" applyBorder="1" applyNumberFormat="1">
      <alignment horizontal="left"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0" fillId="0" borderId="22" xfId="0" applyFont="1" applyBorder="1" applyNumberFormat="1">
      <alignment horizontal="center" vertical="center"/>
    </xf>
    <xf numFmtId="0" fontId="0" fillId="0" borderId="0" xfId="0" applyFont="1" applyNumberFormat="1">
      <alignment horizontal="center" vertical="center"/>
    </xf>
    <xf numFmtId="0" fontId="0" fillId="0" borderId="0" xfId="0" applyFont="1" applyNumberFormat="1">
      <alignment horizontal="left" vertical="center" wrapText="1"/>
    </xf>
    <xf numFmtId="49" fontId="0" fillId="0" borderId="0" xfId="0" applyFont="1" applyNumberFormat="1">
      <alignment horizontal="left" vertical="center" wrapText="1"/>
    </xf>
    <xf numFmtId="49" fontId="0" fillId="0" borderId="0" xfId="0" applyFont="1" applyNumberFormat="1">
      <alignment horizontal="left" vertical="top"/>
    </xf>
    <xf numFmtId="49" fontId="22" fillId="0" borderId="0" xfId="0" applyFont="1" applyNumberFormat="1">
      <alignment horizontal="center" vertical="center" wrapText="1"/>
    </xf>
    <xf numFmtId="0" fontId="0" fillId="0" borderId="0" xfId="0" applyFont="1" applyNumberFormat="1">
      <alignment vertical="center"/>
    </xf>
    <xf numFmtId="0" fontId="0" fillId="0" borderId="27" xfId="0" applyFont="1" applyBorder="1" applyNumberFormat="1">
      <alignment vertical="center"/>
    </xf>
    <xf numFmtId="49" fontId="22" fillId="0" borderId="36" xfId="0" applyFont="1" applyBorder="1" applyNumberFormat="1">
      <alignment horizontal="center" vertical="center"/>
    </xf>
    <xf numFmtId="49" fontId="22" fillId="0" borderId="36" xfId="0" applyFont="1" applyBorder="1" applyNumberFormat="1">
      <alignment vertical="center" wrapText="1"/>
    </xf>
    <xf numFmtId="0" fontId="22" fillId="0" borderId="24" xfId="0" applyFont="1" applyBorder="1" applyNumberFormat="1">
      <alignment horizontal="center" vertical="center"/>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37" fillId="0" borderId="36" xfId="0" applyFont="1" applyBorder="1" applyNumberFormat="1">
      <alignment vertical="center" wrapText="1"/>
    </xf>
    <xf numFmtId="0" fontId="22" fillId="40" borderId="17" xfId="0" applyFont="1" applyFill="1" applyBorder="1" applyNumberFormat="1">
      <alignment horizontal="left" vertical="center" wrapText="1"/>
    </xf>
    <xf numFmtId="49" fontId="22" fillId="0" borderId="17" xfId="0" applyFont="1" applyBorder="1" applyNumberFormat="1">
      <alignment horizontal="center" vertical="center" wrapText="1"/>
    </xf>
    <xf numFmtId="49" fontId="22" fillId="40" borderId="17" xfId="0" applyFont="1" applyFill="1" applyBorder="1" applyNumberFormat="1">
      <alignment horizontal="left" vertical="center" wrapText="1"/>
    </xf>
    <xf numFmtId="0" fontId="22" fillId="0" borderId="17" xfId="0" applyFont="1" applyBorder="1" applyNumberFormat="1">
      <alignment horizontal="left" vertical="center" wrapText="1"/>
    </xf>
    <xf numFmtId="49" fontId="22" fillId="0" borderId="17" xfId="0" applyFont="1" applyBorder="1" applyNumberFormat="1">
      <alignment horizontal="center" vertical="center" wrapText="1"/>
    </xf>
    <xf numFmtId="49" fontId="22" fillId="40" borderId="17" xfId="0" applyFont="1" applyFill="1" applyBorder="1" applyNumberFormat="1">
      <alignment vertical="center" wrapText="1"/>
    </xf>
    <xf numFmtId="0" fontId="22" fillId="0" borderId="36" xfId="0" applyFont="1" applyBorder="1" applyNumberFormat="1">
      <alignment horizontal="left" vertical="center" wrapText="1"/>
    </xf>
    <xf numFmtId="49" fontId="22" fillId="0" borderId="36" xfId="0" applyFont="1" applyBorder="1" applyNumberFormat="1">
      <alignment horizontal="left" vertical="center" wrapText="1"/>
    </xf>
    <xf numFmtId="0" fontId="22" fillId="40" borderId="36" xfId="0" applyFont="1" applyFill="1" applyBorder="1" applyNumberFormat="1">
      <alignment horizontal="left" vertical="center" wrapText="1"/>
    </xf>
    <xf numFmtId="49" fontId="22" fillId="0" borderId="36" xfId="0" applyFont="1" applyBorder="1" applyNumberFormat="1">
      <alignment horizontal="center" vertical="center" wrapText="1"/>
    </xf>
    <xf numFmtId="0" fontId="22" fillId="0" borderId="23" xfId="0" applyFont="1" applyBorder="1" applyNumberFormat="1">
      <alignment horizontal="left" vertical="center" wrapText="1"/>
    </xf>
    <xf numFmtId="0" fontId="40" fillId="0" borderId="23" xfId="0" applyFont="1" applyBorder="1" applyNumberFormat="1">
      <alignment horizontal="left" vertical="center"/>
    </xf>
    <xf numFmtId="0" fontId="40" fillId="37" borderId="14"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3" xfId="0" applyFont="1" applyFill="1" applyBorder="1" applyNumberFormat="1">
      <alignment horizontal="left" vertical="center"/>
    </xf>
    <xf numFmtId="49" fontId="22" fillId="0" borderId="36" xfId="0" applyFont="1" applyBorder="1" applyNumberFormat="1">
      <alignment horizontal="center" vertical="center" wrapText="1"/>
    </xf>
    <xf numFmtId="0" fontId="40" fillId="37" borderId="37" xfId="0" applyFont="1" applyFill="1" applyBorder="1" applyNumberFormat="1">
      <alignment horizontal="left" vertical="center"/>
    </xf>
    <xf numFmtId="0" fontId="40" fillId="37" borderId="19" xfId="0" applyFont="1" applyFill="1" applyBorder="1" applyNumberFormat="1">
      <alignment horizontal="left" vertical="center"/>
    </xf>
    <xf numFmtId="0" fontId="40" fillId="37" borderId="20" xfId="0" applyFont="1" applyFill="1" applyBorder="1" applyNumberFormat="1">
      <alignment horizontal="left" vertical="center"/>
    </xf>
    <xf numFmtId="49" fontId="22" fillId="39" borderId="17" xfId="0" applyFont="1" applyFill="1" applyBorder="1" applyNumberFormat="1">
      <alignment horizontal="left" vertical="center" wrapText="1"/>
      <protection locked="0"/>
    </xf>
    <xf numFmtId="49" fontId="37" fillId="0" borderId="36" xfId="0" applyFont="1" applyBorder="1" applyNumberFormat="1">
      <alignment horizontal="center" vertical="center" wrapText="1"/>
    </xf>
    <xf numFmtId="0" fontId="40" fillId="37" borderId="37" xfId="0" applyFont="1" applyFill="1" applyBorder="1" applyNumberFormat="1">
      <alignment vertical="center"/>
    </xf>
    <xf numFmtId="0" fontId="40" fillId="0" borderId="36" xfId="0" applyFont="1" applyBorder="1" applyNumberFormat="1">
      <alignment horizontal="left" vertical="center"/>
    </xf>
    <xf numFmtId="49" fontId="22" fillId="36" borderId="17" xfId="0" applyFont="1" applyFill="1" applyBorder="1" applyNumberFormat="1">
      <alignment horizontal="left" vertical="center" wrapText="1"/>
      <protection locked="0"/>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0" borderId="19" xfId="0" applyFont="1" applyBorder="1" applyNumberFormat="1">
      <alignment horizontal="left" vertical="center" wrapText="1"/>
    </xf>
    <xf numFmtId="49" fontId="22" fillId="0" borderId="19" xfId="0" applyFont="1" applyBorder="1" applyNumberFormat="1">
      <alignment horizontal="left" vertical="center" wrapText="1"/>
    </xf>
    <xf numFmtId="49" fontId="37" fillId="0" borderId="19" xfId="0" applyFont="1" applyBorder="1" applyNumberFormat="1">
      <alignment vertical="center" wrapText="1"/>
    </xf>
    <xf numFmtId="49" fontId="22" fillId="0" borderId="0" xfId="0" applyFont="1" applyNumberFormat="1">
      <alignment horizontal="left" vertical="center" wrapText="1"/>
    </xf>
    <xf numFmtId="49" fontId="37" fillId="0" borderId="0" xfId="0" applyFont="1" applyNumberFormat="1">
      <alignment vertical="center" wrapText="1"/>
    </xf>
    <xf numFmtId="0" fontId="40" fillId="0" borderId="0" xfId="0" applyFont="1" applyNumberFormat="1">
      <alignment horizontal="left" vertical="center"/>
    </xf>
    <xf numFmtId="49" fontId="37" fillId="0" borderId="0" xfId="0" applyFont="1" applyNumberFormat="1">
      <alignment horizontal="center" vertical="center" wrapText="1"/>
    </xf>
    <xf numFmtId="49" fontId="95" fillId="0" borderId="12" xfId="0" applyFont="1" applyBorder="1" applyNumberFormat="1">
      <alignment vertical="top" wrapText="1"/>
    </xf>
    <xf numFmtId="49" fontId="91" fillId="0" borderId="12" xfId="0" applyFont="1" applyBorder="1" applyNumberFormat="1">
      <alignment horizontal="center" vertical="top" wrapText="1"/>
    </xf>
    <xf numFmtId="49" fontId="91" fillId="41" borderId="12" xfId="0" applyFont="1" applyFill="1" applyBorder="1" applyNumberFormat="1">
      <alignment horizontal="center" vertical="top"/>
    </xf>
    <xf numFmtId="49" fontId="91" fillId="0" borderId="12" xfId="0" applyFont="1" applyBorder="1" applyNumberFormat="1">
      <alignment vertical="top" wrapText="1"/>
    </xf>
    <xf numFmtId="0" fontId="91" fillId="0" borderId="12" xfId="0" applyFont="1" applyBorder="1" applyNumberFormat="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0" fontId="95" fillId="0" borderId="12" xfId="0" applyFont="1" applyBorder="1" applyNumberFormat="1">
      <alignment vertical="top" wrapText="1"/>
    </xf>
    <xf numFmtId="49" fontId="95" fillId="0" borderId="0" xfId="0" applyFont="1" applyNumberFormat="1">
      <alignment vertical="top" wrapText="1"/>
    </xf>
    <xf numFmtId="49" fontId="95" fillId="0" borderId="0" xfId="0" applyFont="1" applyNumberFormat="1">
      <alignment vertical="top"/>
    </xf>
    <xf numFmtId="49" fontId="95" fillId="0" borderId="0" xfId="0" applyFont="1" applyNumberFormat="1">
      <alignment horizontal="center" vertical="top" wrapText="1"/>
    </xf>
    <xf numFmtId="49" fontId="95" fillId="0" borderId="12" xfId="0" applyFont="1" applyBorder="1" applyNumberFormat="1">
      <alignment horizontal="center" vertical="top" wrapText="1"/>
    </xf>
    <xf numFmtId="49" fontId="95" fillId="0" borderId="12" xfId="0" applyFont="1" applyBorder="1" applyNumberFormat="1">
      <alignment horizontal="center" vertical="top" wrapText="1"/>
    </xf>
    <xf numFmtId="49" fontId="95" fillId="41" borderId="12" xfId="0" applyFont="1" applyFill="1" applyBorder="1" applyNumberFormat="1">
      <alignment horizontal="center" vertical="top" wrapText="1"/>
    </xf>
    <xf numFmtId="49" fontId="91" fillId="41" borderId="12" xfId="0" applyFont="1" applyFill="1" applyBorder="1" applyNumberFormat="1">
      <alignment horizontal="center" vertical="top" wrapText="1"/>
    </xf>
    <xf numFmtId="49" fontId="95" fillId="0" borderId="12" xfId="0" applyFont="1" applyBorder="1" applyNumberFormat="1">
      <alignment horizontal="left" vertical="top" wrapText="1"/>
    </xf>
    <xf numFmtId="0" fontId="91" fillId="41" borderId="12" xfId="0" applyFont="1" applyFill="1" applyBorder="1" applyNumberFormat="1">
      <alignment horizontal="center" vertical="top" wrapText="1"/>
    </xf>
    <xf numFmtId="0" fontId="95" fillId="41" borderId="12" xfId="0" applyFont="1" applyFill="1" applyBorder="1" applyNumberFormat="1">
      <alignment horizontal="right" vertical="center"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0" fontId="95" fillId="0" borderId="12" xfId="0" applyFont="1" applyBorder="1" applyNumberFormat="1">
      <alignment horizontal="left" vertical="top" wrapText="1"/>
    </xf>
    <xf numFmtId="49" fontId="95" fillId="41" borderId="12" xfId="0" applyFont="1" applyFill="1" applyBorder="1" applyNumberFormat="1">
      <alignment horizontal="left" vertical="top" wrapText="1"/>
    </xf>
    <xf numFmtId="0" fontId="95" fillId="41" borderId="12" xfId="0" applyFont="1" applyFill="1" applyBorder="1" applyNumberFormat="1">
      <alignment horizontal="center" vertical="center" wrapText="1"/>
    </xf>
    <xf numFmtId="0" fontId="95" fillId="41" borderId="12" xfId="0" applyFont="1" applyFill="1" applyBorder="1" applyNumberFormat="1">
      <alignment horizontal="center" vertical="center"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17" xfId="0" applyFont="1" applyBorder="1" applyNumberFormat="1">
      <alignment horizontal="center" vertical="top" wrapText="1"/>
    </xf>
    <xf numFmtId="0" fontId="95" fillId="0" borderId="17" xfId="0" applyFont="1" applyBorder="1" applyNumberFormat="1">
      <alignment horizontal="left" vertical="top" wrapText="1"/>
    </xf>
    <xf numFmtId="49" fontId="95" fillId="0" borderId="37" xfId="0" applyFont="1" applyBorder="1" applyNumberFormat="1">
      <alignment horizontal="center" vertical="top" wrapText="1"/>
    </xf>
    <xf numFmtId="49" fontId="95" fillId="0" borderId="37" xfId="0" applyFont="1" applyBorder="1" applyNumberFormat="1">
      <alignment horizontal="center" vertical="top" wrapText="1"/>
    </xf>
    <xf numFmtId="0" fontId="95" fillId="0" borderId="13" xfId="0" applyFont="1" applyBorder="1" applyNumberFormat="1">
      <alignment horizontal="left" vertical="top" wrapText="1"/>
    </xf>
    <xf numFmtId="49" fontId="95" fillId="0" borderId="23"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22" xfId="0" applyFont="1" applyBorder="1" applyNumberFormat="1">
      <alignment horizontal="center" vertical="top" wrapText="1"/>
    </xf>
    <xf numFmtId="0" fontId="95" fillId="0" borderId="17" xfId="0" applyFont="1" applyBorder="1" applyNumberFormat="1">
      <alignment vertical="top" wrapText="1"/>
    </xf>
    <xf numFmtId="49" fontId="91" fillId="0" borderId="12" xfId="0" applyFont="1" applyBorder="1" applyNumberFormat="1">
      <alignment horizontal="left" vertical="top" wrapText="1"/>
    </xf>
    <xf numFmtId="0" fontId="91" fillId="0" borderId="14" xfId="0" applyFont="1" applyBorder="1" applyNumberFormat="1">
      <alignment horizontal="center" vertical="center" wrapText="1"/>
    </xf>
    <xf numFmtId="0" fontId="91" fillId="0" borderId="14" xfId="0" applyFont="1" applyBorder="1" applyNumberFormat="1">
      <alignment horizontal="center" vertical="center"/>
    </xf>
    <xf numFmtId="49" fontId="91" fillId="0" borderId="12" xfId="0" applyFont="1" applyBorder="1" applyNumberFormat="1">
      <alignment horizontal="center" vertical="center" wrapText="1"/>
    </xf>
    <xf numFmtId="0" fontId="91" fillId="0" borderId="12" xfId="0" applyFont="1" applyBorder="1" applyNumberFormat="1">
      <alignment vertical="center" wrapText="1"/>
    </xf>
    <xf numFmtId="49" fontId="95" fillId="0" borderId="14" xfId="0" applyFont="1" applyBorder="1" applyNumberFormat="1">
      <alignment horizontal="left" vertical="top" wrapText="1"/>
    </xf>
    <xf numFmtId="0" fontId="91" fillId="0" borderId="12" xfId="0" applyFont="1" applyBorder="1" applyNumberFormat="1">
      <alignment horizontal="center" vertical="center" wrapText="1"/>
    </xf>
    <xf numFmtId="0" fontId="91" fillId="0" borderId="17" xfId="0" applyFont="1" applyBorder="1" applyNumberFormat="1">
      <alignment vertical="center" wrapText="1"/>
    </xf>
    <xf numFmtId="0" fontId="91" fillId="0" borderId="23" xfId="0" applyFont="1" applyBorder="1" applyNumberFormat="1">
      <alignment vertical="center" wrapText="1"/>
    </xf>
    <xf numFmtId="49" fontId="95" fillId="0" borderId="30" xfId="0" applyFont="1" applyBorder="1" applyNumberFormat="1">
      <alignment horizontal="left" vertical="top" wrapText="1"/>
    </xf>
    <xf numFmtId="49" fontId="95" fillId="0" borderId="13" xfId="0" applyFont="1" applyBorder="1" applyNumberFormat="1">
      <alignment horizontal="left" vertical="top"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pplyNumberFormat="1">
      <alignment horizontal="center" vertical="center" wrapText="1"/>
    </xf>
    <xf numFmtId="49" fontId="95" fillId="0" borderId="36" xfId="0" applyFont="1" applyBorder="1" applyNumberFormat="1">
      <alignment horizontal="left" vertical="top" wrapText="1"/>
    </xf>
    <xf numFmtId="0" fontId="95" fillId="0" borderId="36" xfId="0" applyFont="1" applyBorder="1" applyNumberFormat="1">
      <alignment horizontal="left" vertical="top" wrapText="1"/>
    </xf>
    <xf numFmtId="49" fontId="95" fillId="0" borderId="0" xfId="0" applyFont="1" applyNumberFormat="1">
      <alignment horizontal="left" vertical="top" wrapText="1"/>
    </xf>
    <xf numFmtId="49" fontId="95" fillId="41" borderId="0" xfId="0" applyFont="1" applyFill="1" applyNumberFormat="1">
      <alignment horizontal="left" vertical="top" wrapText="1"/>
    </xf>
    <xf numFmtId="0" fontId="95" fillId="0" borderId="0" xfId="0" applyFont="1" applyNumberFormat="1">
      <alignment vertical="top" wrapText="1"/>
    </xf>
    <xf numFmtId="0" fontId="46" fillId="0" borderId="19" xfId="0" applyFont="1" applyBorder="1" applyNumberFormat="1">
      <alignment horizontal="left" vertical="center" wrapText="1" indent="1"/>
    </xf>
    <xf numFmtId="0" fontId="46" fillId="0" borderId="27" xfId="0" applyFont="1" applyBorder="1" applyNumberFormat="1">
      <alignment horizontal="left" vertical="center" wrapText="1" indent="1"/>
    </xf>
    <xf numFmtId="0" fontId="0" fillId="0" borderId="0" xfId="0" applyFont="1" applyNumberFormat="1">
      <alignment horizontal="left" vertical="center"/>
    </xf>
    <xf numFmtId="0" fontId="0" fillId="35" borderId="12" xfId="0" applyFont="1" applyFill="1" applyBorder="1" applyNumberFormat="1">
      <alignment horizontal="right" vertical="center" wrapText="1" indent="1"/>
    </xf>
    <xf numFmtId="0" fontId="0" fillId="0" borderId="14" xfId="0" applyFont="1" applyBorder="1" applyNumberFormat="1">
      <alignment vertical="center"/>
    </xf>
    <xf numFmtId="0" fontId="22" fillId="0" borderId="0" xfId="0" applyFont="1" applyNumberFormat="1">
      <alignment horizontal="left" vertical="center" wrapText="1"/>
    </xf>
    <xf numFmtId="0" fontId="22" fillId="0" borderId="0" xfId="0" applyFont="1" applyNumberFormat="1">
      <alignment horizontal="right" vertical="center" wrapText="1"/>
    </xf>
    <xf numFmtId="0" fontId="22" fillId="0" borderId="0" xfId="0" applyFont="1" applyNumberFormat="1">
      <alignment horizontal="right" vertical="center" wrapText="1"/>
    </xf>
    <xf numFmtId="0" fontId="0" fillId="0" borderId="12" xfId="0" applyFont="1" applyBorder="1" applyNumberFormat="1">
      <alignment horizontal="center" vertical="center" wrapText="1"/>
    </xf>
    <xf numFmtId="0" fontId="80" fillId="35" borderId="19" xfId="0" applyFont="1" applyFill="1" applyBorder="1" applyNumberFormat="1">
      <alignment horizontal="center" vertical="center" wrapText="1"/>
    </xf>
    <xf numFmtId="0" fontId="22" fillId="35" borderId="12" xfId="0" applyFont="1" applyFill="1" applyBorder="1" applyNumberFormat="1">
      <alignment horizontal="left" vertical="center" wrapText="1"/>
    </xf>
    <xf numFmtId="4" fontId="22" fillId="34" borderId="12" xfId="0" applyFont="1" applyFill="1" applyBorder="1" applyNumberFormat="1">
      <alignment horizontal="left" vertical="center" wrapText="1"/>
    </xf>
    <xf numFmtId="0" fontId="22" fillId="0" borderId="0" xfId="0" applyFont="1" applyNumberFormat="1">
      <alignment horizontal="center" vertical="center" wrapText="1"/>
    </xf>
    <xf numFmtId="0" fontId="47" fillId="0" borderId="0" xfId="0" applyFont="1" applyNumberFormat="1">
      <alignment horizontal="center" vertical="center" wrapText="1"/>
    </xf>
    <xf numFmtId="0" fontId="48" fillId="0" borderId="0" xfId="0" applyFont="1" applyNumberFormat="1">
      <alignment horizontal="center" vertical="center" wrapText="1"/>
    </xf>
    <xf numFmtId="504" fontId="0" fillId="39" borderId="12" xfId="0" applyFont="1" applyFill="1" applyBorder="1" applyNumberFormat="1">
      <alignment horizontal="center" vertical="center" wrapText="1"/>
      <protection locked="0"/>
    </xf>
    <xf numFmtId="49" fontId="22" fillId="0" borderId="12" xfId="0" applyFont="1" applyBorder="1" applyNumberFormat="1">
      <alignment horizontal="left" vertical="center" wrapText="1"/>
    </xf>
    <xf numFmtId="49" fontId="101" fillId="37" borderId="14" xfId="0" applyFont="1" applyFill="1" applyBorder="1" applyNumberFormat="1">
      <alignment horizontal="left" vertical="center"/>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47" fillId="0" borderId="0" xfId="0" applyFont="1" applyNumberFormat="1">
      <alignment horizontal="left" vertical="center"/>
    </xf>
    <xf numFmtId="49" fontId="32" fillId="0" borderId="0" xfId="0" applyFont="1" applyNumberFormat="1">
      <alignment vertical="top"/>
    </xf>
    <xf numFmtId="49" fontId="0" fillId="0" borderId="24" xfId="0" applyFont="1" applyBorder="1" applyNumberFormat="1">
      <alignment vertical="top"/>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47" fillId="0" borderId="0" xfId="0" applyFont="1" applyNumberFormat="1">
      <alignment horizontal="left" vertical="center"/>
    </xf>
    <xf numFmtId="49" fontId="47" fillId="0" borderId="0" xfId="0" applyFont="1" applyNumberFormat="1">
      <alignment horizontal="left" vertical="top"/>
    </xf>
    <xf numFmtId="49" fontId="67" fillId="37" borderId="14" xfId="0" applyFont="1" applyFill="1" applyBorder="1" applyNumberFormat="1">
      <alignment horizontal="left" vertical="top"/>
    </xf>
    <xf numFmtId="49" fontId="109" fillId="37" borderId="15" xfId="0" applyFont="1" applyFill="1" applyBorder="1" applyNumberFormat="1">
      <alignment horizontal="left" vertical="center"/>
    </xf>
    <xf numFmtId="49" fontId="48" fillId="0" borderId="0" xfId="0" applyFont="1" applyNumberFormat="1">
      <alignment vertical="top"/>
    </xf>
    <xf numFmtId="0" fontId="22" fillId="0" borderId="0" xfId="0" applyFont="1" applyNumberFormat="1">
      <alignment horizontal="left" vertical="top" wrapText="1"/>
    </xf>
    <xf numFmtId="49" fontId="22" fillId="0" borderId="0" xfId="0" applyFont="1" applyNumberFormat="1">
      <alignment vertical="center" wrapText="1"/>
    </xf>
    <xf numFmtId="49" fontId="0" fillId="0" borderId="0" xfId="0" applyFont="1" applyNumberFormat="1">
      <alignment vertical="top"/>
    </xf>
    <xf numFmtId="49" fontId="0" fillId="0" borderId="12" xfId="0" applyFont="1" applyBorder="1" applyNumberFormat="1">
      <alignment vertical="top"/>
    </xf>
    <xf numFmtId="49" fontId="0" fillId="0" borderId="14" xfId="0" applyFont="1" applyBorder="1" applyNumberFormat="1">
      <alignment vertical="top"/>
    </xf>
    <xf numFmtId="49" fontId="0" fillId="0" borderId="12" xfId="0" applyFont="1" applyBorder="1" applyNumberFormat="1">
      <alignment horizontal="center" vertical="top"/>
    </xf>
    <xf numFmtId="49" fontId="0" fillId="0" borderId="14" xfId="0" applyFont="1" applyBorder="1" applyNumberFormat="1">
      <alignment horizontal="center" vertical="top"/>
    </xf>
    <xf numFmtId="49" fontId="0" fillId="0" borderId="12" xfId="0" applyFont="1" applyBorder="1" applyNumberFormat="1">
      <alignment vertical="top"/>
    </xf>
    <xf numFmtId="49" fontId="0" fillId="43" borderId="17" xfId="0" applyFont="1" applyFill="1" applyBorder="1" applyNumberFormat="1">
      <alignment vertical="top"/>
    </xf>
    <xf numFmtId="49" fontId="0" fillId="0" borderId="14" xfId="0" applyFont="1" applyBorder="1" applyNumberFormat="1">
      <alignment horizontal="center" vertical="top"/>
    </xf>
    <xf numFmtId="49" fontId="0" fillId="0" borderId="12" xfId="0" applyFont="1" applyBorder="1" applyNumberFormat="1">
      <alignment vertical="top"/>
    </xf>
    <xf numFmtId="49" fontId="0" fillId="0" borderId="14" xfId="0" applyFont="1" applyBorder="1" applyNumberFormat="1">
      <alignment vertical="top"/>
    </xf>
    <xf numFmtId="49" fontId="0" fillId="44" borderId="12" xfId="0" applyFont="1" applyFill="1" applyBorder="1" applyNumberFormat="1">
      <alignment vertical="top"/>
    </xf>
    <xf numFmtId="49" fontId="0" fillId="0" borderId="15" xfId="0" applyFont="1" applyBorder="1" applyNumberFormat="1">
      <alignment horizontal="center" vertical="top"/>
    </xf>
    <xf numFmtId="49" fontId="0" fillId="3" borderId="12" xfId="0" applyFont="1" applyFill="1" applyBorder="1" applyNumberFormat="1">
      <alignment vertical="top"/>
    </xf>
    <xf numFmtId="49" fontId="0" fillId="0" borderId="15" xfId="0" applyFont="1" applyBorder="1" applyNumberFormat="1">
      <alignment horizontal="center" vertical="top"/>
    </xf>
    <xf numFmtId="49" fontId="0" fillId="45" borderId="12" xfId="0" applyFont="1" applyFill="1" applyBorder="1" applyNumberFormat="1">
      <alignment vertical="top"/>
    </xf>
    <xf numFmtId="49" fontId="0" fillId="16" borderId="17" xfId="0" applyFont="1" applyFill="1" applyBorder="1" applyNumberFormat="1">
      <alignment vertical="top"/>
    </xf>
    <xf numFmtId="49" fontId="0" fillId="5" borderId="14" xfId="0" applyFont="1" applyFill="1" applyBorder="1" applyNumberFormat="1">
      <alignment vertical="top"/>
    </xf>
    <xf numFmtId="49" fontId="0" fillId="5" borderId="12" xfId="0" applyFont="1" applyFill="1" applyBorder="1" applyNumberFormat="1">
      <alignment vertical="top"/>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35" borderId="0" xfId="0" applyFont="1" applyFill="1" applyNumberFormat="1">
      <alignment vertical="top"/>
    </xf>
    <xf numFmtId="49" fontId="0" fillId="35" borderId="0" xfId="0" applyFont="1" applyFill="1" applyNumberFormat="1">
      <alignment vertical="top"/>
    </xf>
    <xf numFmtId="49" fontId="0" fillId="35" borderId="0" xfId="0" applyFont="1" applyFill="1" applyNumberFormat="1">
      <alignment vertical="top"/>
    </xf>
    <xf numFmtId="0" fontId="0" fillId="0" borderId="0" xfId="0" applyFont="1" applyNumberFormat="1">
      <alignment vertical="top"/>
    </xf>
    <xf numFmtId="0" fontId="0" fillId="0" borderId="0" xfId="0" applyFont="1" applyNumberFormat="1">
      <alignment vertical="top"/>
    </xf>
    <xf numFmtId="0" fontId="0" fillId="0" borderId="0" xfId="0" applyFont="1" applyNumberFormat="1"/>
    <xf numFmtId="0" fontId="1" fillId="0" borderId="0" xfId="0" applyFont="1" applyNumberFormat="1"/>
    <xf numFmtId="0" fontId="29" fillId="0" borderId="0" xfId="0" applyFont="1" applyNumberFormat="1"/>
    <xf numFmtId="49" fontId="22" fillId="34" borderId="10" xfId="0" applyFont="1" applyFill="1" applyBorder="1" applyNumberFormat="1">
      <alignment horizontal="center" vertical="top"/>
    </xf>
    <xf numFmtId="49" fontId="38" fillId="0" borderId="11" xfId="0" applyFont="1" applyBorder="1" applyNumberFormat="1">
      <alignment vertical="top" wrapText="1"/>
    </xf>
    <xf numFmtId="0" fontId="0" fillId="0" borderId="11" xfId="0" applyFont="1" applyBorder="1" applyNumberFormat="1">
      <alignment vertical="top" wrapText="1"/>
    </xf>
    <xf numFmtId="0" fontId="46" fillId="0" borderId="18" xfId="0" applyFont="1" applyBorder="1" applyNumberFormat="1">
      <alignment vertical="top" wrapText="1"/>
    </xf>
    <xf numFmtId="0" fontId="0" fillId="0" borderId="0" xfId="0" applyFont="1" applyNumberFormat="1">
      <alignment vertical="top"/>
    </xf>
    <xf numFmtId="0" fontId="0" fillId="0" borderId="12" xfId="0" applyFont="1" applyBorder="1" applyNumberFormat="1">
      <alignment vertical="top" wrapText="1"/>
    </xf>
    <xf numFmtId="49" fontId="0" fillId="0" borderId="12" xfId="0" applyFont="1" applyBorder="1" applyNumberFormat="1">
      <alignment vertical="top" wrapText="1"/>
    </xf>
    <xf numFmtId="49" fontId="0" fillId="0" borderId="17" xfId="0" applyFont="1" applyBorder="1" applyNumberFormat="1">
      <alignment vertical="top"/>
    </xf>
    <xf numFmtId="49" fontId="0" fillId="0" borderId="0" xfId="0" applyFont="1" applyNumberFormat="1">
      <alignment vertical="top"/>
    </xf>
    <xf numFmtId="0" fontId="50" fillId="0" borderId="11" xfId="0" applyFont="1" applyBorder="1" applyNumberFormat="1">
      <alignment vertical="center" wrapText="1"/>
    </xf>
    <xf numFmtId="0" fontId="46" fillId="0" borderId="0" xfId="0" applyFont="1" applyNumberFormat="1">
      <alignment vertical="top" wrapText="1"/>
    </xf>
    <xf numFmtId="0" fontId="22" fillId="0" borderId="11" xfId="0" applyFont="1" applyBorder="1" applyNumberFormat="1">
      <alignment vertical="center" wrapText="1"/>
    </xf>
    <xf numFmtId="0" fontId="115" fillId="0" borderId="0" xfId="0" applyFont="1" applyNumberForma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102" fillId="0" borderId="0" xfId="0" applyFont="1" applyNumberFormat="1">
      <alignment vertical="center" wrapText="1"/>
    </xf>
    <xf numFmtId="0" fontId="102" fillId="0" borderId="0" xfId="0" applyFont="1" applyNumberFormat="1">
      <alignment horizontal="left" vertical="center" wrapText="1"/>
    </xf>
    <xf numFmtId="49" fontId="117" fillId="0" borderId="0" xfId="0" applyFont="1" applyNumberFormat="1">
      <alignment wrapText="1"/>
    </xf>
    <xf numFmtId="0" fontId="102" fillId="0" borderId="0" xfId="0" applyFont="1" applyNumberFormat="1">
      <alignment vertical="center"/>
    </xf>
    <xf numFmtId="0" fontId="46" fillId="0" borderId="0" xfId="0" applyFont="1" applyNumberFormat="1">
      <alignment horizontal="left" vertical="top" wrapText="1"/>
    </xf>
    <xf numFmtId="49" fontId="22" fillId="0" borderId="0" xfId="0" applyFont="1" applyNumberFormat="1">
      <alignment vertical="top" wrapText="1"/>
    </xf>
    <xf numFmtId="0" fontId="46" fillId="56" borderId="63" xfId="0" applyFont="1" applyFill="1" applyBorder="1" applyNumberFormat="1">
      <alignment horizontal="center" vertical="center" wrapText="1"/>
    </xf>
    <xf numFmtId="0" fontId="46" fillId="56" borderId="64" xfId="0" applyFont="1" applyFill="1" applyBorder="1" applyNumberFormat="1">
      <alignment horizontal="center" vertical="center" wrapText="1"/>
    </xf>
    <xf numFmtId="0" fontId="46" fillId="56" borderId="65" xfId="0" applyFont="1" applyFill="1" applyBorder="1" applyNumberFormat="1">
      <alignment horizontal="center" vertical="center" wrapText="1"/>
    </xf>
    <xf numFmtId="0" fontId="66" fillId="0" borderId="0" xfId="0" applyFont="1" applyNumberFormat="1">
      <alignment wrapText="1"/>
    </xf>
    <xf numFmtId="0" fontId="46" fillId="46" borderId="38" xfId="0" applyFont="1" applyFill="1" applyBorder="1" applyNumberFormat="1">
      <alignment horizontal="right" vertical="center" wrapText="1" indent="1"/>
    </xf>
    <xf numFmtId="0" fontId="46" fillId="46" borderId="66" xfId="0" applyFont="1" applyFill="1" applyBorder="1" applyNumberFormat="1">
      <alignment horizontal="right" vertical="center" wrapText="1" indent="1"/>
    </xf>
    <xf numFmtId="0" fontId="118" fillId="0" borderId="0" xfId="0" applyFont="1" applyNumberFormat="1">
      <alignment horizontal="left" vertical="center" wrapText="1"/>
    </xf>
    <xf numFmtId="0" fontId="119" fillId="0" borderId="0" xfId="0" applyFont="1" applyNumberFormat="1">
      <alignment vertical="center" wrapText="1"/>
    </xf>
    <xf numFmtId="0" fontId="66" fillId="0" borderId="38" xfId="0" applyFont="1" applyBorder="1" applyNumberFormat="1">
      <alignment wrapText="1"/>
    </xf>
    <xf numFmtId="0" fontId="66" fillId="0" borderId="0" xfId="0" applyFont="1" applyNumberFormat="1"/>
    <xf numFmtId="0" fontId="118" fillId="0" borderId="0" xfId="0" applyFont="1" applyNumberFormat="1"/>
    <xf numFmtId="0" fontId="120" fillId="0" borderId="0" xfId="0" applyFont="1" applyNumberFormat="1">
      <alignment wrapText="1"/>
    </xf>
    <xf numFmtId="0" fontId="0" fillId="36" borderId="60" xfId="0" applyFont="1" applyFill="1" applyBorder="1" applyNumberFormat="1">
      <alignment horizontal="center" vertical="center" wrapText="1"/>
    </xf>
    <xf numFmtId="0" fontId="120" fillId="0" borderId="38" xfId="0" applyFont="1" applyBorder="1" applyNumberFormat="1">
      <alignment vertical="center" wrapText="1"/>
    </xf>
    <xf numFmtId="0" fontId="120" fillId="0" borderId="0" xfId="0" applyFont="1" applyNumberFormat="1">
      <alignment vertical="center" wrapText="1"/>
    </xf>
    <xf numFmtId="0" fontId="0" fillId="53" borderId="60" xfId="0" applyFont="1" applyFill="1" applyBorder="1" applyNumberFormat="1">
      <alignment horizontal="center" vertical="center" wrapText="1"/>
    </xf>
    <xf numFmtId="0" fontId="120" fillId="0" borderId="38" xfId="0" applyFont="1" applyBorder="1" applyNumberFormat="1">
      <alignment horizontal="left" vertical="center" wrapText="1"/>
    </xf>
    <xf numFmtId="0" fontId="120" fillId="0" borderId="0" xfId="0" applyFont="1" applyNumberFormat="1">
      <alignment horizontal="left" vertical="center" wrapText="1"/>
    </xf>
    <xf numFmtId="0" fontId="0" fillId="34" borderId="60" xfId="0" applyFont="1" applyFill="1" applyBorder="1" applyNumberFormat="1">
      <alignment horizontal="center" vertical="center" wrapText="1"/>
    </xf>
    <xf numFmtId="0" fontId="0" fillId="39" borderId="60" xfId="0" applyFont="1" applyFill="1" applyBorder="1" applyNumberFormat="1">
      <alignment horizontal="center" vertical="center" wrapText="1"/>
    </xf>
    <xf numFmtId="0" fontId="46" fillId="46" borderId="0" xfId="0" applyFont="1" applyFill="1" applyNumberFormat="1">
      <alignment horizontal="right" vertical="center" wrapText="1" indent="1"/>
    </xf>
    <xf numFmtId="0" fontId="118" fillId="0" borderId="38" xfId="0" applyFont="1" applyBorder="1" applyNumberFormat="1">
      <alignment horizontal="left" vertical="center" wrapText="1"/>
    </xf>
    <xf numFmtId="0" fontId="118" fillId="0" borderId="61" xfId="0" applyFont="1" applyBorder="1" applyNumberFormat="1">
      <alignment horizontal="left" vertical="center" wrapText="1"/>
    </xf>
    <xf numFmtId="0" fontId="46" fillId="46" borderId="60" xfId="0" applyFont="1" applyFill="1" applyBorder="1" applyNumberFormat="1">
      <alignment horizontal="right" vertical="center" wrapText="1" indent="1"/>
    </xf>
    <xf numFmtId="0" fontId="46" fillId="46" borderId="67" xfId="0" applyFont="1" applyFill="1" applyBorder="1" applyNumberFormat="1">
      <alignment horizontal="right" vertical="center" wrapText="1" indent="1"/>
    </xf>
    <xf numFmtId="0" fontId="120" fillId="0" borderId="0" xfId="0" applyFont="1" applyNumberFormat="1"/>
    <xf numFmtId="0" fontId="120" fillId="0" borderId="38" xfId="0" applyFont="1" applyBorder="1" applyNumberFormat="1">
      <alignment wrapText="1"/>
    </xf>
    <xf numFmtId="0" fontId="120" fillId="0" borderId="0" xfId="0" applyFont="1" applyNumberFormat="1">
      <alignment vertical="top" wrapText="1"/>
    </xf>
    <xf numFmtId="0" fontId="46" fillId="46" borderId="62" xfId="0" applyFont="1" applyFill="1" applyBorder="1" applyNumberFormat="1">
      <alignment horizontal="right" vertical="center" wrapText="1" indent="1"/>
    </xf>
    <xf numFmtId="0" fontId="46" fillId="46" borderId="39" xfId="0" applyFont="1" applyFill="1" applyBorder="1" applyNumberFormat="1">
      <alignment horizontal="right" vertical="center" wrapText="1" indent="1"/>
    </xf>
    <xf numFmtId="0" fontId="66" fillId="0" borderId="62" xfId="0" applyFont="1" applyBorder="1" applyNumberFormat="1">
      <alignment wrapText="1"/>
    </xf>
    <xf numFmtId="0" fontId="66" fillId="0" borderId="39" xfId="0" applyFont="1" applyBorder="1" applyNumberFormat="1">
      <alignment wrapText="1"/>
    </xf>
    <xf numFmtId="0" fontId="66" fillId="0" borderId="39" xfId="0" applyFont="1" applyBorder="1" applyNumberFormat="1">
      <alignment vertical="center" wrapText="1"/>
    </xf>
    <xf numFmtId="0" fontId="116" fillId="0" borderId="0" xfId="0" applyFont="1" applyNumberFormat="1"/>
    <xf numFmtId="49" fontId="66" fillId="0" borderId="0" xfId="0" applyFont="1" applyNumberFormat="1">
      <alignment vertical="top" wrapText="1"/>
    </xf>
    <xf numFmtId="0" fontId="29" fillId="0" borderId="0" xfId="0" applyFont="1" applyNumberFormat="1"/>
    <xf numFmtId="0" fontId="63" fillId="0" borderId="0" xfId="0" applyFont="1" applyNumberFormat="1">
      <alignment vertical="center" wrapText="1"/>
    </xf>
    <xf numFmtId="0" fontId="91" fillId="0" borderId="0" xfId="0" applyFont="1" applyNumberFormat="1">
      <alignment horizontal="left" vertical="center" wrapText="1"/>
    </xf>
    <xf numFmtId="0" fontId="63" fillId="0" borderId="0" xfId="0" applyFont="1" applyNumberFormat="1">
      <alignment horizontal="left" vertical="center" wrapText="1"/>
    </xf>
    <xf numFmtId="0" fontId="63" fillId="0" borderId="0" xfId="0" applyFont="1" applyNumberFormat="1">
      <alignment vertical="center" wrapText="1"/>
    </xf>
    <xf numFmtId="0" fontId="32" fillId="0" borderId="0" xfId="0" applyFont="1" applyNumberFormat="1">
      <alignment horizontal="center" vertical="center" wrapText="1"/>
    </xf>
    <xf numFmtId="0" fontId="32" fillId="0" borderId="0" xfId="0" applyFont="1" applyNumberFormat="1">
      <alignment vertical="center" wrapText="1"/>
    </xf>
    <xf numFmtId="0" fontId="48" fillId="0" borderId="0" xfId="0" applyFont="1" applyNumberFormat="1">
      <alignment vertical="center" wrapText="1"/>
    </xf>
    <xf numFmtId="0" fontId="32" fillId="0" borderId="0" xfId="0" applyFont="1" applyNumberFormat="1">
      <alignment vertical="center" wrapText="1"/>
    </xf>
    <xf numFmtId="0" fontId="32" fillId="0" borderId="0" xfId="0" applyFont="1" applyNumberFormat="1">
      <alignment horizontal="left" vertical="center" wrapText="1"/>
    </xf>
    <xf numFmtId="0" fontId="22" fillId="0" borderId="0" xfId="0" applyFont="1" applyNumberFormat="1">
      <alignment horizontal="left" vertical="top" indent="1"/>
    </xf>
    <xf numFmtId="49" fontId="66" fillId="0" borderId="0" xfId="0" applyFont="1" applyNumberFormat="1">
      <alignment vertical="top"/>
    </xf>
    <xf numFmtId="49" fontId="22" fillId="0" borderId="0" xfId="0" applyFont="1" applyNumberFormat="1">
      <alignment vertical="center" wrapText="1"/>
    </xf>
    <xf numFmtId="49" fontId="47" fillId="0" borderId="0" xfId="0" applyFont="1" applyNumberFormat="1">
      <alignment vertical="center" wrapText="1"/>
    </xf>
    <xf numFmtId="0" fontId="0" fillId="0" borderId="0" xfId="0" applyFont="1" applyNumberFormat="1">
      <alignment horizontal="left" vertical="center" indent="1"/>
    </xf>
    <xf numFmtId="49" fontId="0" fillId="0" borderId="0" xfId="0" applyFont="1" applyNumberFormat="1">
      <alignment vertical="top"/>
    </xf>
    <xf numFmtId="49" fontId="47" fillId="0" borderId="0" xfId="0" applyFont="1" applyNumberFormat="1">
      <alignment vertical="top"/>
    </xf>
    <xf numFmtId="49" fontId="0" fillId="0" borderId="0" xfId="0" applyFont="1" applyNumberFormat="1">
      <alignment vertical="top"/>
    </xf>
    <xf numFmtId="0" fontId="22" fillId="0" borderId="0" xfId="0" applyFont="1" applyNumberFormat="1">
      <alignment vertical="center" wrapText="1"/>
    </xf>
    <xf numFmtId="0" fontId="60" fillId="0" borderId="0" xfId="0" applyFont="1" applyNumberFormat="1">
      <alignment vertical="center" wrapText="1"/>
    </xf>
    <xf numFmtId="0" fontId="91" fillId="0" borderId="0" xfId="0" applyFont="1" applyNumberFormat="1">
      <alignment horizontal="left" vertical="center" wrapText="1"/>
    </xf>
    <xf numFmtId="0" fontId="58" fillId="0" borderId="0" xfId="0" applyFont="1" applyNumberFormat="1">
      <alignment horizontal="left" vertical="center" wrapText="1"/>
    </xf>
    <xf numFmtId="0" fontId="59" fillId="0" borderId="0" xfId="0" applyFont="1" applyNumberFormat="1">
      <alignment vertical="center" wrapText="1"/>
    </xf>
    <xf numFmtId="0" fontId="60" fillId="35" borderId="0" xfId="0" applyFont="1" applyFill="1" applyNumberFormat="1">
      <alignment vertical="center" wrapText="1"/>
    </xf>
    <xf numFmtId="0" fontId="60" fillId="0" borderId="0" xfId="0" applyFont="1" applyNumberFormat="1">
      <alignment vertical="center" wrapText="1"/>
    </xf>
    <xf numFmtId="0" fontId="60" fillId="0" borderId="0" xfId="0" applyFont="1" applyNumberFormat="1">
      <alignment horizontal="right" vertical="center"/>
    </xf>
    <xf numFmtId="0" fontId="22" fillId="0" borderId="0" xfId="0" applyFont="1" applyNumberFormat="1">
      <alignment horizontal="center" vertical="center" wrapText="1"/>
    </xf>
    <xf numFmtId="0" fontId="22" fillId="0" borderId="0" xfId="0" applyFont="1" applyNumberFormat="1">
      <alignment vertical="center" wrapText="1"/>
    </xf>
    <xf numFmtId="0" fontId="88" fillId="0" borderId="0" xfId="0" applyFont="1" applyNumberFormat="1">
      <alignment vertical="center" wrapText="1"/>
    </xf>
    <xf numFmtId="0" fontId="60" fillId="0" borderId="0" xfId="0" applyFont="1" applyNumberFormat="1">
      <alignment vertical="center" wrapText="1"/>
    </xf>
    <xf numFmtId="0" fontId="34" fillId="35" borderId="0" xfId="0" applyFont="1" applyFill="1" applyNumberFormat="1">
      <alignment vertical="center" wrapText="1"/>
    </xf>
    <xf numFmtId="0" fontId="22" fillId="0" borderId="13" xfId="0" applyFont="1" applyBorder="1" applyNumberFormat="1">
      <alignment horizontal="center" vertical="center" wrapText="1"/>
    </xf>
    <xf numFmtId="0" fontId="22" fillId="0" borderId="14" xfId="0" applyFont="1" applyBorder="1" applyNumberFormat="1">
      <alignment horizontal="center" vertical="center" wrapText="1"/>
    </xf>
    <xf numFmtId="0" fontId="50" fillId="35" borderId="0" xfId="0" applyFont="1" applyFill="1" applyNumberFormat="1">
      <alignment vertical="center" wrapText="1"/>
    </xf>
    <xf numFmtId="0" fontId="96" fillId="0" borderId="0" xfId="0" applyFont="1" applyNumberFormat="1">
      <alignment vertical="center" wrapText="1"/>
    </xf>
    <xf numFmtId="0" fontId="60" fillId="35" borderId="0" xfId="0" applyFont="1" applyFill="1" applyNumberFormat="1">
      <alignment horizontal="right" vertical="center" wrapText="1" indent="1"/>
    </xf>
    <xf numFmtId="0" fontId="62" fillId="35" borderId="0" xfId="0" applyFont="1" applyFill="1" applyNumberFormat="1">
      <alignment horizontal="center" vertical="center" wrapText="1"/>
    </xf>
    <xf numFmtId="0" fontId="22" fillId="35" borderId="26" xfId="0" applyFont="1" applyFill="1" applyBorder="1" applyNumberFormat="1">
      <alignment horizontal="right" vertical="center" wrapText="1" indent="1"/>
    </xf>
    <xf numFmtId="0" fontId="0" fillId="34" borderId="12" xfId="0" applyFont="1" applyFill="1" applyBorder="1" applyNumberFormat="1">
      <alignment horizontal="left" vertical="center" wrapText="1" indent="1"/>
    </xf>
    <xf numFmtId="14" fontId="91" fillId="35" borderId="0" xfId="0" applyFont="1" applyFill="1" applyNumberFormat="1">
      <alignment horizontal="left" vertical="center" wrapText="1"/>
    </xf>
    <xf numFmtId="0" fontId="58" fillId="35" borderId="0" xfId="0" applyFont="1" applyFill="1" applyNumberFormat="1">
      <alignment horizontal="center" vertical="center" wrapText="1"/>
    </xf>
    <xf numFmtId="0" fontId="60" fillId="35" borderId="0" xfId="0" applyFont="1" applyFill="1" applyNumberFormat="1">
      <alignment horizontal="left" vertical="center" wrapText="1" indent="1"/>
    </xf>
    <xf numFmtId="0" fontId="22" fillId="35" borderId="0" xfId="0" applyFont="1" applyFill="1" applyNumberFormat="1">
      <alignment horizontal="center" vertical="center" wrapText="1"/>
    </xf>
    <xf numFmtId="0" fontId="88" fillId="0" borderId="0" xfId="0" applyFont="1" applyNumberFormat="1">
      <alignment horizontal="center" vertical="center" wrapText="1"/>
    </xf>
    <xf numFmtId="0" fontId="22" fillId="0" borderId="0" xfId="0" applyFont="1" applyNumberFormat="1">
      <alignment vertical="center" wrapText="1"/>
    </xf>
    <xf numFmtId="0" fontId="33" fillId="0" borderId="0" xfId="0" applyFont="1" applyNumberFormat="1">
      <alignment vertical="center" wrapText="1"/>
    </xf>
    <xf numFmtId="0" fontId="34" fillId="35" borderId="0" xfId="0" applyFont="1" applyFill="1" applyNumberFormat="1">
      <alignment vertical="center" wrapText="1"/>
    </xf>
    <xf numFmtId="0" fontId="22" fillId="35" borderId="26" xfId="0" applyFont="1" applyFill="1" applyBorder="1" applyNumberFormat="1">
      <alignment horizontal="right" vertical="center" wrapText="1" indent="1"/>
    </xf>
    <xf numFmtId="0" fontId="22" fillId="39" borderId="12" xfId="0" applyFont="1" applyFill="1" applyBorder="1" applyNumberFormat="1">
      <alignment horizontal="left" vertical="top" wrapText="1" indent="1"/>
      <protection locked="0"/>
    </xf>
    <xf numFmtId="0" fontId="22" fillId="0" borderId="0" xfId="0" applyFont="1" applyNumberFormat="1">
      <alignment horizontal="left" vertical="center" wrapText="1"/>
    </xf>
    <xf numFmtId="0" fontId="47" fillId="0" borderId="0" xfId="0" applyFont="1" applyNumberFormat="1">
      <alignment vertical="center" wrapText="1"/>
    </xf>
    <xf numFmtId="0" fontId="58" fillId="0" borderId="0" xfId="0" applyFont="1" applyNumberFormat="1">
      <alignment horizontal="left" vertical="center" wrapText="1"/>
    </xf>
    <xf numFmtId="0" fontId="59" fillId="0" borderId="0" xfId="0" applyFont="1" applyNumberFormat="1">
      <alignment vertical="center" wrapText="1"/>
    </xf>
    <xf numFmtId="49" fontId="22" fillId="40" borderId="12" xfId="0" applyFont="1" applyFill="1" applyBorder="1" applyNumberFormat="1">
      <alignment horizontal="left" vertical="center" wrapText="1" indent="1"/>
    </xf>
    <xf numFmtId="0" fontId="60" fillId="0" borderId="0" xfId="0" applyFont="1" applyNumberFormat="1">
      <alignment vertical="center" wrapText="1"/>
    </xf>
    <xf numFmtId="14" fontId="93" fillId="0" borderId="12" xfId="0" applyFont="1" applyBorder="1" applyNumberFormat="1">
      <alignment horizontal="center" vertical="center" wrapText="1"/>
    </xf>
    <xf numFmtId="504" fontId="0" fillId="39" borderId="12" xfId="0" applyFont="1" applyFill="1" applyBorder="1" applyNumberFormat="1">
      <alignment horizontal="left" vertical="center" wrapText="1" indent="1"/>
      <protection locked="0"/>
    </xf>
    <xf numFmtId="0" fontId="53" fillId="0" borderId="0" xfId="0" applyFont="1" applyNumberFormat="1">
      <alignment horizontal="left" vertical="center" indent="1"/>
    </xf>
    <xf numFmtId="0" fontId="22" fillId="35" borderId="0" xfId="0" applyFont="1" applyFill="1" applyNumberFormat="1">
      <alignment vertical="center" wrapText="1"/>
    </xf>
    <xf numFmtId="14" fontId="93" fillId="0" borderId="12" xfId="0" applyFont="1" applyBorder="1" applyNumberFormat="1">
      <alignment horizontal="left" vertical="center" wrapText="1"/>
    </xf>
    <xf numFmtId="49" fontId="22" fillId="35" borderId="26" xfId="0" applyFont="1" applyFill="1" applyBorder="1" applyNumberFormat="1">
      <alignment horizontal="right" vertical="center" wrapText="1" indent="1"/>
    </xf>
    <xf numFmtId="504" fontId="0" fillId="39" borderId="12" xfId="0" applyFont="1" applyFill="1" applyBorder="1" applyNumberFormat="1">
      <alignment horizontal="left" vertical="center" wrapText="1" indent="1"/>
      <protection locked="0"/>
    </xf>
    <xf numFmtId="49" fontId="47" fillId="0" borderId="0" xfId="0" applyFont="1" applyNumberFormat="1">
      <alignment vertical="center" wrapText="1"/>
    </xf>
    <xf numFmtId="0" fontId="0" fillId="39" borderId="12"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504" fontId="0" fillId="0" borderId="12" xfId="0" applyFont="1" applyBorder="1" applyNumberFormat="1">
      <alignment horizontal="left" vertical="center" wrapText="1" indent="1"/>
    </xf>
    <xf numFmtId="0" fontId="0" fillId="35" borderId="0" xfId="0" applyFont="1" applyFill="1" applyNumberFormat="1">
      <alignment horizontal="right" vertical="center" wrapText="1" indent="1"/>
    </xf>
    <xf numFmtId="0" fontId="96" fillId="0" borderId="0" xfId="0" applyFont="1" applyNumberFormat="1">
      <alignment horizontal="left" vertical="center" wrapText="1"/>
    </xf>
    <xf numFmtId="0" fontId="22" fillId="35" borderId="0" xfId="0" applyFont="1" applyFill="1" applyNumberFormat="1">
      <alignment horizontal="right" vertical="center" wrapText="1" indent="1"/>
    </xf>
    <xf numFmtId="0" fontId="22" fillId="0" borderId="0" xfId="0" applyFont="1" applyNumberFormat="1">
      <alignment horizontal="center" vertical="center" wrapText="1"/>
    </xf>
    <xf numFmtId="0" fontId="22" fillId="35" borderId="0" xfId="0" applyFont="1" applyFill="1" applyNumberFormat="1">
      <alignment horizontal="center" vertical="center" wrapText="1"/>
    </xf>
    <xf numFmtId="504" fontId="0" fillId="39" borderId="12" xfId="0" applyFont="1" applyFill="1" applyBorder="1" applyNumberFormat="1">
      <alignment horizontal="left" vertical="center" wrapText="1" indent="1"/>
      <protection locked="0"/>
    </xf>
    <xf numFmtId="0" fontId="0" fillId="35" borderId="0" xfId="0" applyFont="1" applyFill="1" applyNumberFormat="1">
      <alignment horizontal="left" vertical="center" wrapText="1" indent="1"/>
    </xf>
    <xf numFmtId="49" fontId="22" fillId="39" borderId="12" xfId="0" applyFont="1" applyFill="1" applyBorder="1" applyNumberFormat="1">
      <alignment horizontal="left" vertical="center" wrapText="1" indent="1"/>
      <protection locked="0"/>
    </xf>
    <xf numFmtId="49" fontId="22" fillId="0" borderId="12" xfId="0" applyFont="1" applyBorder="1" applyNumberFormat="1">
      <alignment horizontal="left" vertical="center" wrapText="1" indent="1"/>
    </xf>
    <xf numFmtId="0" fontId="33" fillId="0" borderId="0" xfId="0" applyFont="1" applyNumberFormat="1">
      <alignment horizontal="center" vertical="center" wrapText="1"/>
    </xf>
    <xf numFmtId="0" fontId="35" fillId="35" borderId="0" xfId="0" applyFont="1" applyFill="1" applyNumberFormat="1">
      <alignment horizontal="center" vertical="center" wrapText="1"/>
    </xf>
    <xf numFmtId="49" fontId="22" fillId="34" borderId="12" xfId="0" applyFont="1" applyFill="1" applyBorder="1" applyNumberFormat="1">
      <alignment horizontal="left" vertical="center" wrapText="1" indent="1"/>
    </xf>
    <xf numFmtId="14" fontId="22" fillId="35" borderId="0" xfId="0" applyFont="1" applyFill="1" applyNumberFormat="1">
      <alignment horizontal="center" vertical="center" wrapText="1"/>
    </xf>
    <xf numFmtId="0" fontId="0" fillId="35" borderId="26" xfId="0" applyFont="1" applyFill="1" applyBorder="1" applyNumberFormat="1">
      <alignment horizontal="right" vertical="center" wrapText="1" indent="1"/>
    </xf>
    <xf numFmtId="0" fontId="22" fillId="0" borderId="0" xfId="0" applyFont="1" applyNumberFormat="1">
      <alignment vertical="center"/>
    </xf>
    <xf numFmtId="14" fontId="22" fillId="35" borderId="0" xfId="0" applyFont="1" applyFill="1" applyNumberFormat="1">
      <alignment horizontal="left" vertical="center" wrapText="1"/>
    </xf>
    <xf numFmtId="0" fontId="22" fillId="39" borderId="12" xfId="0" applyFont="1" applyFill="1" applyBorder="1" applyNumberFormat="1">
      <alignment horizontal="left" vertical="center" wrapText="1" indent="1"/>
      <protection locked="0"/>
    </xf>
    <xf numFmtId="0" fontId="61" fillId="35" borderId="0" xfId="0" applyFont="1" applyFill="1" applyNumberFormat="1">
      <alignment horizontal="right" vertical="center" wrapText="1" indent="1"/>
    </xf>
    <xf numFmtId="0" fontId="61" fillId="35" borderId="0" xfId="0" applyFont="1" applyFill="1" applyNumberFormat="1">
      <alignment horizontal="left" vertical="center" wrapText="1" indent="1"/>
    </xf>
    <xf numFmtId="49" fontId="22" fillId="40" borderId="12" xfId="0" applyFont="1" applyFill="1" applyBorder="1" applyNumberFormat="1">
      <alignment horizontal="left" vertical="center" wrapText="1" indent="1"/>
    </xf>
    <xf numFmtId="0" fontId="60" fillId="35" borderId="0" xfId="0" applyFont="1" applyFill="1" applyNumberFormat="1">
      <alignment vertical="center" wrapText="1"/>
    </xf>
    <xf numFmtId="0" fontId="61" fillId="35" borderId="0" xfId="0" applyFont="1" applyFill="1" applyNumberFormat="1">
      <alignment horizontal="right" vertical="center" wrapText="1" indent="1"/>
    </xf>
    <xf numFmtId="0" fontId="32" fillId="0" borderId="0" xfId="0" applyFont="1" applyNumberFormat="1">
      <alignment horizontal="left" vertical="center" wrapText="1"/>
    </xf>
    <xf numFmtId="49" fontId="124" fillId="0" borderId="12" xfId="0" applyFont="1" applyBorder="1" applyNumberFormat="1">
      <alignment horizontal="left" vertical="center" wrapText="1" indent="1"/>
    </xf>
    <xf numFmtId="0" fontId="32" fillId="0" borderId="0" xfId="0" applyFont="1" applyNumberFormat="1">
      <alignment horizontal="left" vertical="center" wrapText="1"/>
    </xf>
    <xf numFmtId="14" fontId="92" fillId="0" borderId="0" xfId="0" applyFont="1" applyNumberFormat="1">
      <alignment horizontal="center" vertical="center" wrapText="1"/>
    </xf>
    <xf numFmtId="0" fontId="33" fillId="0" borderId="0" xfId="0" applyFont="1" applyNumberFormat="1">
      <alignment vertical="center" wrapText="1"/>
    </xf>
    <xf numFmtId="0" fontId="32" fillId="0" borderId="0" xfId="0" applyFont="1" applyNumberFormat="1">
      <alignment horizontal="center" vertical="center" wrapText="1"/>
    </xf>
    <xf numFmtId="0" fontId="22" fillId="0" borderId="0" xfId="0" applyFont="1" applyNumberFormat="1">
      <alignment horizontal="center" vertical="center" wrapText="1"/>
    </xf>
    <xf numFmtId="0" fontId="47" fillId="0" borderId="0" xfId="0" applyFont="1" applyNumberFormat="1">
      <alignment horizontal="center" vertical="center" wrapText="1"/>
    </xf>
    <xf numFmtId="0" fontId="47" fillId="0" borderId="0" xfId="0" applyFont="1" applyNumberFormat="1">
      <alignment vertical="center" wrapText="1"/>
    </xf>
    <xf numFmtId="0" fontId="83" fillId="0" borderId="0" xfId="0" applyFont="1" applyNumberFormat="1">
      <alignment vertical="center" wrapText="1"/>
    </xf>
    <xf numFmtId="0" fontId="22" fillId="0" borderId="0" xfId="0" applyFont="1" applyNumberFormat="1">
      <alignment vertical="center" wrapText="1"/>
    </xf>
    <xf numFmtId="0" fontId="22" fillId="40" borderId="12" xfId="0" applyFont="1" applyFill="1" applyBorder="1" applyNumberFormat="1">
      <alignment horizontal="left" vertical="center" wrapText="1" indent="1"/>
    </xf>
    <xf numFmtId="504" fontId="0" fillId="0" borderId="11" xfId="0" applyFont="1" applyBorder="1" applyNumberFormat="1">
      <alignment horizontal="left" vertical="center" wrapText="1" indent="1"/>
    </xf>
    <xf numFmtId="0" fontId="22" fillId="40" borderId="12" xfId="0" applyFont="1" applyFill="1" applyBorder="1" applyNumberFormat="1">
      <alignment horizontal="left" vertical="center" wrapText="1" indent="1"/>
    </xf>
    <xf numFmtId="0" fontId="22" fillId="39" borderId="12" xfId="0" applyFont="1" applyFill="1" applyBorder="1" applyNumberFormat="1">
      <alignment horizontal="left" vertical="center" wrapText="1" indent="1"/>
      <protection locked="0"/>
    </xf>
    <xf numFmtId="49" fontId="22" fillId="40" borderId="12" xfId="0" applyFont="1" applyFill="1" applyBorder="1" applyNumberFormat="1">
      <alignment horizontal="left" vertical="center" wrapText="1" indent="1"/>
    </xf>
    <xf numFmtId="0" fontId="91" fillId="0" borderId="0" xfId="0" applyFont="1" applyNumberFormat="1">
      <alignment horizontal="left" vertical="center" wrapText="1"/>
    </xf>
    <xf numFmtId="49" fontId="32" fillId="0" borderId="0" xfId="0" applyFont="1" applyNumberFormat="1">
      <alignment horizontal="left" vertical="center" wrapText="1"/>
    </xf>
    <xf numFmtId="49" fontId="34" fillId="35" borderId="0" xfId="0" applyFont="1" applyFill="1" applyNumberFormat="1">
      <alignment horizontal="center" vertical="center" wrapText="1"/>
    </xf>
    <xf numFmtId="0" fontId="22" fillId="0" borderId="0" xfId="0" applyFont="1" applyNumberFormat="1">
      <alignment horizontal="left" vertical="center" wrapText="1" indent="4"/>
    </xf>
    <xf numFmtId="0" fontId="22" fillId="0" borderId="0" xfId="0" applyFont="1" applyNumberFormat="1">
      <alignment horizontal="left" vertical="center" wrapText="1" indent="1"/>
    </xf>
    <xf numFmtId="49" fontId="22" fillId="39" borderId="12" xfId="0" applyFont="1" applyFill="1" applyBorder="1" applyNumberFormat="1">
      <alignment horizontal="left" vertical="center" wrapText="1" indent="1"/>
      <protection locked="0"/>
    </xf>
    <xf numFmtId="49" fontId="27" fillId="39" borderId="12" xfId="0" applyFont="1" applyFill="1" applyBorder="1" applyNumberFormat="1">
      <alignment horizontal="left" vertical="center" wrapText="1" indent="1"/>
      <protection locked="0"/>
    </xf>
    <xf numFmtId="0" fontId="0" fillId="0" borderId="0" xfId="0" applyFont="1" applyNumberFormat="1">
      <alignment horizontal="center" vertical="center" wrapText="1"/>
    </xf>
    <xf numFmtId="49" fontId="22" fillId="35" borderId="0" xfId="0" applyFont="1" applyFill="1" applyNumberFormat="1">
      <alignment horizontal="right" vertical="center" wrapText="1" indent="1"/>
    </xf>
    <xf numFmtId="49" fontId="47" fillId="0" borderId="0" xfId="0" applyFont="1" applyNumberFormat="1">
      <alignment horizontal="center" vertical="center" wrapText="1"/>
    </xf>
    <xf numFmtId="49" fontId="22" fillId="0" borderId="0" xfId="0" applyFont="1" applyNumberFormat="1">
      <alignment horizontal="center" vertical="center" wrapText="1"/>
    </xf>
    <xf numFmtId="49" fontId="0" fillId="35" borderId="0" xfId="0" applyFont="1" applyFill="1" applyNumberFormat="1">
      <alignment horizontal="right" vertical="center" wrapText="1" indent="1"/>
    </xf>
    <xf numFmtId="0" fontId="50" fillId="0" borderId="0" xfId="0" applyFont="1" applyNumberFormat="1">
      <alignment vertical="top" wrapText="1"/>
    </xf>
    <xf numFmtId="0" fontId="33" fillId="0" borderId="0" xfId="0" applyFont="1" applyNumberFormat="1">
      <alignment vertical="center" wrapText="1"/>
    </xf>
    <xf numFmtId="0" fontId="91" fillId="0" borderId="0" xfId="0" applyFont="1" applyNumberFormat="1">
      <alignment horizontal="left" vertical="center" wrapText="1"/>
    </xf>
    <xf numFmtId="0" fontId="32" fillId="0" borderId="0" xfId="0" applyFont="1" applyNumberFormat="1">
      <alignment horizontal="left" vertical="center" wrapText="1"/>
    </xf>
    <xf numFmtId="0" fontId="33" fillId="0" borderId="0" xfId="0" applyFont="1" applyNumberFormat="1">
      <alignment vertical="center" wrapText="1"/>
    </xf>
    <xf numFmtId="0" fontId="22" fillId="0" borderId="0" xfId="0" applyFont="1" applyNumberFormat="1">
      <alignment horizontal="center" vertical="center" wrapText="1"/>
    </xf>
    <xf numFmtId="0" fontId="32" fillId="0" borderId="0" xfId="0" applyFont="1" applyNumberFormat="1">
      <alignment horizontal="center" vertical="center" wrapText="1"/>
    </xf>
    <xf numFmtId="0" fontId="47" fillId="0" borderId="0" xfId="0" applyFont="1" applyNumberFormat="1">
      <alignment vertical="center" wrapText="1"/>
    </xf>
    <xf numFmtId="0" fontId="48" fillId="0" borderId="0" xfId="0" applyFont="1" applyNumberFormat="1">
      <alignment vertical="center" wrapText="1"/>
    </xf>
    <xf numFmtId="0" fontId="72" fillId="0" borderId="0" xfId="0" applyFont="1" applyNumberFormat="1">
      <alignment vertical="center" wrapText="1"/>
    </xf>
    <xf numFmtId="0" fontId="48" fillId="0" borderId="0" xfId="0" applyFont="1" applyNumberFormat="1">
      <alignment vertical="center" wrapText="1"/>
    </xf>
    <xf numFmtId="0" fontId="48" fillId="0" borderId="0" xfId="0" applyFont="1" applyNumberFormat="1">
      <alignment horizontal="center" vertical="center" wrapText="1"/>
    </xf>
    <xf numFmtId="0" fontId="48" fillId="0" borderId="0" xfId="0" applyFont="1" applyNumberFormat="1">
      <alignment horizontal="left" vertical="center" indent="1"/>
    </xf>
    <xf numFmtId="0" fontId="48" fillId="0" borderId="0" xfId="0" applyFont="1" applyNumberFormat="1">
      <alignment horizontal="center" vertical="center" wrapText="1"/>
    </xf>
    <xf numFmtId="0" fontId="48" fillId="0" borderId="0" xfId="0" applyFont="1" applyNumberFormat="1">
      <alignment horizontal="left" vertical="center" wrapText="1" indent="1"/>
    </xf>
    <xf numFmtId="0" fontId="48" fillId="0" borderId="0" xfId="0" applyFont="1" applyNumberFormat="1">
      <alignment horizontal="left" vertical="center" indent="1"/>
    </xf>
    <xf numFmtId="0" fontId="48" fillId="0" borderId="0" xfId="0" applyFont="1" applyNumberFormat="1">
      <alignment vertical="center" wrapText="1"/>
    </xf>
    <xf numFmtId="0" fontId="56" fillId="0" borderId="0" xfId="0" applyFont="1" applyNumberFormat="1">
      <alignment vertical="center" wrapText="1"/>
    </xf>
    <xf numFmtId="0" fontId="22" fillId="0" borderId="0" xfId="0" applyFont="1" applyNumberFormat="1">
      <alignment horizontal="left" vertical="center" wrapText="1" indent="1"/>
    </xf>
    <xf numFmtId="0" fontId="47" fillId="0" borderId="0" xfId="0" applyFont="1" applyNumberFormat="1">
      <alignment horizontal="left" vertical="center" wrapText="1" indent="1"/>
    </xf>
    <xf numFmtId="0" fontId="56" fillId="0" borderId="0" xfId="0" applyFont="1" applyNumberFormat="1">
      <alignment horizontal="left" vertical="center" wrapText="1" indent="1"/>
    </xf>
    <xf numFmtId="0" fontId="57" fillId="0" borderId="0" xfId="0" applyFont="1" applyNumberFormat="1">
      <alignment horizontal="left" vertical="center" indent="1"/>
    </xf>
    <xf numFmtId="0" fontId="56" fillId="0" borderId="0" xfId="0" applyFont="1" applyNumberFormat="1">
      <alignment vertical="center" wrapText="1"/>
    </xf>
    <xf numFmtId="0" fontId="42" fillId="0" borderId="0" xfId="0" applyFont="1" applyNumberFormat="1">
      <alignment vertical="center" wrapText="1"/>
    </xf>
    <xf numFmtId="0" fontId="22" fillId="0" borderId="0" xfId="0" applyFont="1" applyNumberFormat="1">
      <alignment vertical="center" wrapText="1"/>
    </xf>
    <xf numFmtId="0" fontId="47" fillId="0" borderId="0" xfId="0" applyFont="1" applyNumberFormat="1">
      <alignment vertical="center" wrapText="1"/>
    </xf>
    <xf numFmtId="0" fontId="37" fillId="0" borderId="0" xfId="0" applyFont="1" applyNumberFormat="1">
      <alignment horizontal="center" vertical="center" wrapText="1"/>
    </xf>
    <xf numFmtId="0" fontId="22" fillId="0" borderId="0" xfId="0" applyFont="1" applyNumberFormat="1">
      <alignment vertical="center" wrapText="1"/>
    </xf>
    <xf numFmtId="0" fontId="22" fillId="0" borderId="0" xfId="0" applyFont="1" applyNumberFormat="1">
      <alignment vertical="center" wrapText="1"/>
    </xf>
    <xf numFmtId="0" fontId="22" fillId="0" borderId="0" xfId="0" applyFont="1" applyNumberFormat="1">
      <alignment horizontal="right" vertical="center" wrapText="1"/>
    </xf>
    <xf numFmtId="0" fontId="48" fillId="0" borderId="0" xfId="0" applyFont="1" applyNumberFormat="1">
      <alignment vertical="center"/>
    </xf>
    <xf numFmtId="0" fontId="48" fillId="0" borderId="0" xfId="0" applyFont="1" applyNumberFormat="1">
      <alignment vertical="center"/>
    </xf>
    <xf numFmtId="0" fontId="55" fillId="0" borderId="0" xfId="0" applyFont="1" applyNumberFormat="1">
      <alignment vertical="center"/>
    </xf>
    <xf numFmtId="0" fontId="42" fillId="0" borderId="0" xfId="0" applyFont="1" applyNumberFormat="1">
      <alignment vertical="center" wrapText="1"/>
    </xf>
    <xf numFmtId="0" fontId="22" fillId="0" borderId="15" xfId="0" applyFont="1" applyBorder="1" applyNumberFormat="1">
      <alignment horizontal="left" vertical="center" wrapText="1" indent="1"/>
    </xf>
    <xf numFmtId="4" fontId="22" fillId="0" borderId="0" xfId="0" applyFont="1" applyNumberFormat="1">
      <alignment horizontal="right" vertical="center" wrapText="1"/>
    </xf>
    <xf numFmtId="0" fontId="22" fillId="0" borderId="0" xfId="0" applyFont="1" applyNumberFormat="1">
      <alignment horizontal="left" vertical="center" wrapText="1" indent="1"/>
    </xf>
    <xf numFmtId="49" fontId="22" fillId="0" borderId="0" xfId="0" applyFont="1" applyNumberFormat="1">
      <alignment vertical="top"/>
    </xf>
    <xf numFmtId="49" fontId="47" fillId="0" borderId="0" xfId="0" applyFont="1" applyNumberFormat="1">
      <alignment vertical="top"/>
    </xf>
    <xf numFmtId="49" fontId="22" fillId="0" borderId="0" xfId="0" applyFont="1" applyNumberFormat="1">
      <alignment vertical="top"/>
    </xf>
    <xf numFmtId="49" fontId="22" fillId="0" borderId="0" xfId="0" applyFont="1" applyNumberFormat="1">
      <alignment horizontal="center" vertical="center" wrapText="1"/>
    </xf>
    <xf numFmtId="4" fontId="22" fillId="0" borderId="0" xfId="0" applyFont="1" applyNumberFormat="1">
      <alignment horizontal="center" vertical="center" wrapText="1"/>
    </xf>
    <xf numFmtId="0" fontId="22" fillId="0" borderId="0" xfId="0" applyFont="1" applyNumberFormat="1">
      <alignment vertical="center" wrapText="1"/>
    </xf>
    <xf numFmtId="0" fontId="22" fillId="0" borderId="14" xfId="0" applyFont="1" applyBorder="1" applyNumberFormat="1">
      <alignment horizontal="center" vertical="center" wrapText="1"/>
    </xf>
    <xf numFmtId="0" fontId="22" fillId="0" borderId="15" xfId="0" applyFont="1" applyBorder="1" applyNumberFormat="1">
      <alignment horizontal="center" vertical="center" wrapText="1"/>
    </xf>
    <xf numFmtId="0" fontId="22" fillId="0" borderId="13" xfId="0" applyFont="1" applyBorder="1" applyNumberFormat="1">
      <alignment horizontal="center" vertical="center" wrapText="1"/>
    </xf>
    <xf numFmtId="4" fontId="22" fillId="0" borderId="12" xfId="0" applyFont="1" applyBorder="1" applyNumberFormat="1">
      <alignment horizontal="center" vertical="center" wrapText="1"/>
    </xf>
    <xf numFmtId="501" fontId="22" fillId="0" borderId="14" xfId="0" applyFont="1" applyBorder="1" applyNumberFormat="1">
      <alignment horizontal="center" vertical="center" wrapText="1"/>
    </xf>
    <xf numFmtId="501" fontId="22" fillId="0" borderId="12" xfId="0" applyFont="1" applyBorder="1" applyNumberFormat="1">
      <alignment horizontal="center" vertical="center" wrapText="1"/>
    </xf>
    <xf numFmtId="0" fontId="36" fillId="0" borderId="0" xfId="0" applyFont="1" applyNumberFormat="1">
      <alignment horizontal="center" vertical="center" wrapText="1"/>
    </xf>
    <xf numFmtId="49" fontId="36" fillId="0" borderId="15" xfId="0" applyFont="1" applyBorder="1" applyNumberFormat="1">
      <alignment horizontal="center" vertical="center" wrapText="1"/>
    </xf>
    <xf numFmtId="49" fontId="36" fillId="0" borderId="15" xfId="0" applyFont="1" applyBorder="1" applyNumberFormat="1">
      <alignment horizontal="center" vertical="center" wrapText="1"/>
    </xf>
    <xf numFmtId="0" fontId="47" fillId="0" borderId="0" xfId="0" applyFont="1" applyNumberFormat="1">
      <alignment vertical="center"/>
    </xf>
    <xf numFmtId="0" fontId="47" fillId="0" borderId="0" xfId="0" applyFont="1" applyNumberFormat="1">
      <alignment vertical="center"/>
    </xf>
    <xf numFmtId="0" fontId="54" fillId="0" borderId="0" xfId="0" applyFont="1" applyNumberFormat="1">
      <alignment vertical="center"/>
    </xf>
    <xf numFmtId="49" fontId="22" fillId="37" borderId="19" xfId="0" applyFont="1" applyFill="1" applyBorder="1" applyNumberFormat="1">
      <alignment horizontal="center" vertical="center" wrapText="1"/>
    </xf>
    <xf numFmtId="49" fontId="47" fillId="37" borderId="19" xfId="0" applyFont="1" applyFill="1" applyBorder="1" applyNumberFormat="1">
      <alignment horizontal="left" vertical="center" wrapText="1"/>
    </xf>
    <xf numFmtId="49" fontId="47" fillId="37" borderId="20" xfId="0" applyFont="1" applyFill="1" applyBorder="1" applyNumberFormat="1">
      <alignment horizontal="left" vertical="center" wrapText="1"/>
    </xf>
    <xf numFmtId="0" fontId="48" fillId="0" borderId="22" xfId="0" applyFont="1" applyBorder="1" applyNumberFormat="1">
      <alignment vertical="center"/>
    </xf>
    <xf numFmtId="0" fontId="22" fillId="0" borderId="0" xfId="0" applyFont="1" applyNumberFormat="1">
      <alignment horizontal="center" vertical="center" wrapText="1"/>
    </xf>
    <xf numFmtId="0" fontId="37" fillId="0" borderId="0" xfId="0" applyFont="1" applyNumberFormat="1">
      <alignment horizontal="center" vertical="center" wrapText="1"/>
    </xf>
    <xf numFmtId="0" fontId="22" fillId="0" borderId="12" xfId="0" applyFont="1" applyBorder="1" applyNumberFormat="1">
      <alignment horizontal="center" vertical="center" wrapText="1"/>
    </xf>
    <xf numFmtId="0" fontId="48" fillId="0" borderId="12" xfId="0" applyFont="1" applyBorder="1" applyNumberFormat="1">
      <alignment horizontal="center" vertical="center" wrapText="1"/>
    </xf>
    <xf numFmtId="49" fontId="22" fillId="39" borderId="12" xfId="0" applyFont="1" applyFill="1" applyBorder="1" applyNumberFormat="1">
      <alignment vertical="center" wrapText="1"/>
      <protection locked="0"/>
    </xf>
    <xf numFmtId="49" fontId="47" fillId="0" borderId="12" xfId="0" applyFont="1" applyBorder="1" applyNumberFormat="1">
      <alignment horizontal="left" vertical="center" wrapText="1"/>
    </xf>
    <xf numFmtId="0" fontId="48" fillId="0" borderId="0" xfId="0" applyFont="1" applyNumberFormat="1">
      <alignment vertical="center"/>
    </xf>
    <xf numFmtId="0" fontId="48" fillId="0" borderId="0" xfId="0" applyFont="1" applyNumberFormat="1">
      <alignment vertical="center"/>
    </xf>
    <xf numFmtId="0" fontId="42" fillId="0" borderId="0" xfId="0" applyFont="1" applyNumberFormat="1">
      <alignment vertical="center" wrapText="1"/>
    </xf>
    <xf numFmtId="49" fontId="0" fillId="0" borderId="0" xfId="0" applyFont="1" applyNumberFormat="1">
      <alignment vertical="top"/>
    </xf>
    <xf numFmtId="0" fontId="36" fillId="0" borderId="24" xfId="0" applyFont="1" applyBorder="1" applyNumberFormat="1">
      <alignment vertical="top" wrapText="1"/>
    </xf>
    <xf numFmtId="0" fontId="22" fillId="0" borderId="23" xfId="0" applyFont="1" applyBorder="1" applyNumberFormat="1">
      <alignment horizontal="center" vertical="center" wrapText="1"/>
    </xf>
    <xf numFmtId="0" fontId="48" fillId="0" borderId="23" xfId="0" applyFont="1" applyBorder="1" applyNumberFormat="1">
      <alignment horizontal="center" vertical="center" wrapText="1"/>
    </xf>
    <xf numFmtId="14" fontId="22" fillId="40" borderId="23" xfId="0" applyFont="1" applyFill="1" applyBorder="1" applyNumberFormat="1">
      <alignment horizontal="left" vertical="center" wrapText="1" indent="1"/>
    </xf>
    <xf numFmtId="49" fontId="22" fillId="34" borderId="23" xfId="0" applyFont="1" applyFill="1" applyBorder="1" applyNumberFormat="1">
      <alignment horizontal="center" vertical="center" wrapText="1"/>
    </xf>
    <xf numFmtId="0" fontId="74" fillId="0" borderId="0" xfId="0" applyFont="1" applyNumberFormat="1">
      <alignment vertical="center" wrapText="1"/>
    </xf>
    <xf numFmtId="49" fontId="47" fillId="0" borderId="0" xfId="0" applyFont="1" applyNumberFormat="1">
      <alignment vertical="top"/>
    </xf>
    <xf numFmtId="49" fontId="48" fillId="0" borderId="0" xfId="0" applyFont="1" applyNumberFormat="1">
      <alignment vertical="top"/>
    </xf>
    <xf numFmtId="49" fontId="0" fillId="0" borderId="0" xfId="0" applyFont="1" applyNumberFormat="1">
      <alignment vertical="top"/>
    </xf>
    <xf numFmtId="0" fontId="0" fillId="0" borderId="0" xfId="0" applyFont="1" applyNumberFormat="1">
      <alignment vertical="center" wrapText="1"/>
    </xf>
    <xf numFmtId="0" fontId="36" fillId="0" borderId="0" xfId="0" applyFont="1" applyNumberFormat="1">
      <alignment vertical="top" wrapText="1"/>
    </xf>
    <xf numFmtId="49" fontId="50" fillId="37" borderId="14" xfId="0" applyFont="1" applyFill="1" applyBorder="1" applyNumberFormat="1">
      <alignment horizontal="right" vertical="center" wrapText="1"/>
    </xf>
    <xf numFmtId="49" fontId="50" fillId="37" borderId="15" xfId="0" applyFont="1" applyFill="1" applyBorder="1" applyNumberFormat="1">
      <alignment horizontal="right" vertical="center" wrapText="1"/>
    </xf>
    <xf numFmtId="49" fontId="40" fillId="37" borderId="15" xfId="0" applyFont="1" applyFill="1" applyBorder="1" applyNumberFormat="1">
      <alignment horizontal="left" vertical="center" indent="1"/>
    </xf>
    <xf numFmtId="49" fontId="0" fillId="37" borderId="15" xfId="0" applyFont="1" applyFill="1" applyBorder="1" applyNumberFormat="1">
      <alignment horizontal="right" vertical="center" wrapText="1"/>
    </xf>
    <xf numFmtId="49" fontId="0" fillId="37" borderId="13" xfId="0" applyFont="1" applyFill="1" applyBorder="1" applyNumberFormat="1">
      <alignment horizontal="right" vertical="center" wrapText="1"/>
    </xf>
    <xf numFmtId="49" fontId="22" fillId="37" borderId="14"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40" fillId="37" borderId="15" xfId="0" applyFont="1" applyFill="1" applyBorder="1" applyNumberFormat="1">
      <alignment horizontal="left" vertical="center"/>
    </xf>
    <xf numFmtId="49" fontId="22" fillId="37" borderId="13" xfId="0" applyFont="1" applyFill="1" applyBorder="1" applyNumberFormat="1">
      <alignment horizontal="right" vertical="center" wrapText="1"/>
    </xf>
    <xf numFmtId="0" fontId="37" fillId="0" borderId="0" xfId="0" applyFont="1" applyNumberFormat="1">
      <alignment horizontal="center" vertical="center" wrapText="1"/>
    </xf>
    <xf numFmtId="0" fontId="22" fillId="0" borderId="21" xfId="0" applyFont="1" applyBorder="1" applyNumberFormat="1">
      <alignment vertical="center" wrapText="1"/>
    </xf>
    <xf numFmtId="0" fontId="45" fillId="0" borderId="0" xfId="0" applyFont="1" applyNumberFormat="1">
      <alignment vertical="center" wrapText="1"/>
    </xf>
    <xf numFmtId="0" fontId="94" fillId="0" borderId="0" xfId="0" applyFont="1" applyNumberFormat="1">
      <alignment vertical="center" wrapText="1"/>
    </xf>
    <xf numFmtId="0" fontId="51" fillId="0" borderId="0" xfId="0" applyFont="1" applyNumberFormat="1">
      <alignment horizontal="center" vertical="center" wrapText="1"/>
    </xf>
    <xf numFmtId="0" fontId="45" fillId="0" borderId="0" xfId="0" applyFont="1" applyNumberFormat="1">
      <alignment vertical="center" wrapText="1"/>
    </xf>
    <xf numFmtId="49" fontId="0" fillId="0" borderId="0" xfId="0" applyFont="1" applyNumberFormat="1">
      <alignment vertical="top"/>
    </xf>
    <xf numFmtId="0" fontId="37" fillId="0" borderId="0" xfId="0" applyFont="1" applyNumberFormat="1">
      <alignment horizontal="center" vertical="center" wrapText="1"/>
    </xf>
    <xf numFmtId="0" fontId="48" fillId="0" borderId="0" xfId="0" applyFont="1" applyNumberFormat="1">
      <alignment vertical="center"/>
    </xf>
    <xf numFmtId="0" fontId="55" fillId="0" borderId="0" xfId="0" applyFont="1" applyNumberFormat="1">
      <alignment vertical="center"/>
    </xf>
    <xf numFmtId="0" fontId="0" fillId="0" borderId="0" xfId="0" applyFont="1" applyNumberFormat="1">
      <alignment vertical="center"/>
    </xf>
    <xf numFmtId="0" fontId="22" fillId="0" borderId="0" xfId="0" applyFont="1" applyNumberFormat="1">
      <alignment vertical="center"/>
    </xf>
    <xf numFmtId="0" fontId="22" fillId="0" borderId="20" xfId="0" applyFont="1" applyBorder="1" applyNumberFormat="1">
      <alignment horizontal="left" vertical="center" wrapText="1" indent="1"/>
    </xf>
    <xf numFmtId="0" fontId="22" fillId="0" borderId="17" xfId="0" applyFont="1" applyBorder="1" applyNumberFormat="1">
      <alignment horizontal="left" vertical="center" wrapText="1" indent="1"/>
    </xf>
    <xf numFmtId="0" fontId="22" fillId="0" borderId="37" xfId="0" applyFont="1" applyBorder="1" applyNumberFormat="1">
      <alignment horizontal="left" vertical="center" wrapText="1" indent="1"/>
    </xf>
    <xf numFmtId="0" fontId="47" fillId="0" borderId="0" xfId="0" applyFont="1" applyNumberFormat="1">
      <alignment vertical="center"/>
    </xf>
    <xf numFmtId="0" fontId="41" fillId="0" borderId="0" xfId="0" applyFont="1" applyNumberFormat="1">
      <alignment vertical="center"/>
    </xf>
    <xf numFmtId="0" fontId="22" fillId="0" borderId="29" xfId="0" applyFont="1" applyBorder="1" applyNumberFormat="1">
      <alignment horizontal="left" vertical="center" indent="1"/>
    </xf>
    <xf numFmtId="0" fontId="22" fillId="0" borderId="23" xfId="0" applyFont="1" applyBorder="1" applyNumberFormat="1">
      <alignment horizontal="left" vertical="center" indent="1"/>
    </xf>
    <xf numFmtId="0" fontId="22" fillId="0" borderId="30" xfId="0" applyFont="1" applyBorder="1" applyNumberFormat="1">
      <alignment horizontal="left" vertical="center" indent="1"/>
    </xf>
    <xf numFmtId="0" fontId="86" fillId="0" borderId="0" xfId="0" applyFont="1" applyNumberFormat="1">
      <alignment vertical="center"/>
    </xf>
    <xf numFmtId="0" fontId="49" fillId="0" borderId="0" xfId="0" applyFont="1" applyNumberFormat="1">
      <alignment vertical="center"/>
    </xf>
    <xf numFmtId="0" fontId="108" fillId="0" borderId="0" xfId="0" applyFont="1" applyNumberFormat="1">
      <alignment vertical="center"/>
    </xf>
    <xf numFmtId="0" fontId="41" fillId="0" borderId="0" xfId="0" applyFont="1" applyNumberFormat="1">
      <alignment vertical="center"/>
    </xf>
    <xf numFmtId="0" fontId="22" fillId="0" borderId="0" xfId="0" applyFont="1" applyNumberFormat="1">
      <alignment horizontal="center" vertical="center" wrapText="1"/>
    </xf>
    <xf numFmtId="0" fontId="22" fillId="0" borderId="0" xfId="0" applyFont="1" applyNumberFormat="1">
      <alignment vertical="center" wrapText="1"/>
    </xf>
    <xf numFmtId="0" fontId="86" fillId="0" borderId="0" xfId="0" applyFont="1" applyNumberFormat="1">
      <alignment vertical="center"/>
    </xf>
    <xf numFmtId="0" fontId="49" fillId="0" borderId="0" xfId="0" applyFont="1" applyNumberFormat="1">
      <alignment vertical="center"/>
    </xf>
    <xf numFmtId="0" fontId="108" fillId="0" borderId="0" xfId="0" applyFont="1" applyNumberFormat="1">
      <alignment vertical="center"/>
    </xf>
    <xf numFmtId="0" fontId="41" fillId="0" borderId="0" xfId="0" applyFont="1" applyNumberFormat="1">
      <alignment vertical="center"/>
    </xf>
    <xf numFmtId="0" fontId="0" fillId="0" borderId="0" xfId="0" applyFont="1" applyNumberFormat="1">
      <alignment horizontal="left" vertical="center" wrapText="1" indent="2"/>
    </xf>
    <xf numFmtId="0" fontId="0" fillId="0" borderId="0" xfId="0" applyFont="1" applyNumberFormat="1">
      <alignment horizontal="left" vertical="center" indent="2"/>
    </xf>
    <xf numFmtId="0" fontId="31" fillId="0" borderId="0" xfId="0" applyFont="1" applyNumberFormat="1">
      <alignment vertical="center"/>
    </xf>
    <xf numFmtId="0" fontId="22" fillId="42" borderId="0" xfId="0" applyFont="1" applyFill="1" applyNumberFormat="1">
      <alignment horizontal="center" vertical="center" wrapText="1"/>
    </xf>
    <xf numFmtId="0" fontId="22" fillId="0" borderId="0" xfId="0" applyFont="1" applyNumberFormat="1">
      <alignment vertical="center" wrapText="1"/>
    </xf>
    <xf numFmtId="0" fontId="22" fillId="0" borderId="12" xfId="0" applyFont="1" applyBorder="1" applyNumberFormat="1">
      <alignment horizontal="center" vertical="center" wrapText="1"/>
    </xf>
    <xf numFmtId="0" fontId="75" fillId="0" borderId="37" xfId="0" applyFont="1" applyBorder="1" applyNumberFormat="1">
      <alignment horizontal="center" vertical="center" wrapText="1"/>
    </xf>
    <xf numFmtId="0" fontId="75" fillId="0" borderId="19" xfId="0" applyFont="1" applyBorder="1" applyNumberFormat="1">
      <alignment horizontal="center" vertical="center" wrapText="1"/>
    </xf>
    <xf numFmtId="0" fontId="75" fillId="0" borderId="12" xfId="0" applyFont="1" applyBorder="1" applyNumberFormat="1">
      <alignment horizontal="center" vertical="center" wrapText="1"/>
    </xf>
    <xf numFmtId="0" fontId="22" fillId="0" borderId="0" xfId="0" applyFont="1" applyNumberFormat="1">
      <alignment horizontal="center" vertical="center" wrapText="1"/>
    </xf>
    <xf numFmtId="0" fontId="82" fillId="0" borderId="0" xfId="0" applyFont="1" applyNumberFormat="1">
      <alignment horizontal="center" vertical="center" wrapText="1"/>
    </xf>
    <xf numFmtId="0" fontId="22" fillId="0" borderId="12" xfId="0" applyFont="1" applyBorder="1" applyNumberFormat="1">
      <alignment horizontal="center" vertical="center" wrapText="1"/>
    </xf>
    <xf numFmtId="0" fontId="22" fillId="0" borderId="71" xfId="0" applyFont="1" applyBorder="1" applyNumberFormat="1">
      <alignment horizontal="center" vertical="center" wrapText="1"/>
    </xf>
    <xf numFmtId="0" fontId="22" fillId="0" borderId="72" xfId="0" applyFont="1" applyBorder="1" applyNumberFormat="1">
      <alignment horizontal="center" vertical="center" wrapText="1"/>
    </xf>
    <xf numFmtId="0" fontId="47" fillId="0" borderId="22" xfId="0" applyFont="1" applyBorder="1" applyNumberFormat="1">
      <alignment vertical="center"/>
    </xf>
    <xf numFmtId="0" fontId="0" fillId="0" borderId="0" xfId="0" applyFont="1" applyNumberFormat="1">
      <alignment vertical="center"/>
    </xf>
    <xf numFmtId="49" fontId="36" fillId="0" borderId="0" xfId="0" applyFont="1" applyNumberFormat="1">
      <alignment horizontal="center" vertical="center" wrapText="1"/>
    </xf>
    <xf numFmtId="49" fontId="36" fillId="0" borderId="12" xfId="0" applyFont="1" applyBorder="1" applyNumberFormat="1">
      <alignment horizontal="center" vertical="center" wrapText="1"/>
    </xf>
    <xf numFmtId="49" fontId="36" fillId="0" borderId="69" xfId="0" applyFont="1" applyBorder="1" applyNumberFormat="1">
      <alignment horizontal="center" vertical="center" wrapText="1"/>
    </xf>
    <xf numFmtId="49" fontId="36" fillId="0" borderId="70" xfId="0" applyFont="1" applyBorder="1" applyNumberFormat="1">
      <alignment horizontal="center" vertical="center" wrapText="1"/>
    </xf>
    <xf numFmtId="49" fontId="36" fillId="0" borderId="14" xfId="0" applyFont="1" applyBorder="1" applyNumberFormat="1">
      <alignment horizontal="center" vertical="center" wrapText="1"/>
    </xf>
    <xf numFmtId="49" fontId="36" fillId="0" borderId="13" xfId="0" applyFont="1" applyBorder="1" applyNumberFormat="1">
      <alignment horizontal="center" vertical="center" wrapText="1"/>
    </xf>
    <xf numFmtId="0" fontId="47" fillId="0" borderId="22" xfId="0" applyFont="1" applyBorder="1" applyNumberFormat="1">
      <alignment vertical="center"/>
    </xf>
    <xf numFmtId="0" fontId="48" fillId="0" borderId="0" xfId="0" applyFont="1" applyNumberFormat="1">
      <alignment vertical="center"/>
    </xf>
    <xf numFmtId="0" fontId="48" fillId="0" borderId="0" xfId="0" applyFont="1" applyNumberFormat="1">
      <alignment vertical="center"/>
    </xf>
    <xf numFmtId="0" fontId="22" fillId="0" borderId="0" xfId="0" applyFont="1" applyNumberFormat="1">
      <alignment vertical="center"/>
    </xf>
    <xf numFmtId="0" fontId="47" fillId="0" borderId="0" xfId="0" applyFont="1" applyNumberFormat="1">
      <alignment vertical="center"/>
    </xf>
    <xf numFmtId="0" fontId="0" fillId="0" borderId="0" xfId="0" applyFont="1" applyNumberFormat="1">
      <alignment vertical="center"/>
    </xf>
    <xf numFmtId="0" fontId="48" fillId="0" borderId="0" xfId="0" applyFont="1" applyNumberFormat="1">
      <alignment horizontal="center" vertical="center"/>
    </xf>
    <xf numFmtId="0" fontId="22" fillId="0" borderId="0" xfId="0" applyFont="1" applyNumberFormat="1">
      <alignment horizontal="center" vertical="center" wrapText="1"/>
    </xf>
    <xf numFmtId="0" fontId="22" fillId="37" borderId="14"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41" xfId="0" applyFont="1" applyFill="1" applyBorder="1" applyNumberFormat="1">
      <alignment horizontal="center" vertical="center" wrapText="1"/>
    </xf>
    <xf numFmtId="49" fontId="0" fillId="37" borderId="15" xfId="0" applyFont="1" applyFill="1" applyBorder="1" applyNumberFormat="1">
      <alignment horizontal="left" vertical="center"/>
    </xf>
    <xf numFmtId="0" fontId="0" fillId="37" borderId="13" xfId="0" applyFont="1" applyFill="1" applyBorder="1" applyNumberFormat="1">
      <alignment vertical="center"/>
    </xf>
    <xf numFmtId="49" fontId="0" fillId="0" borderId="0" xfId="0" applyFont="1" applyNumberFormat="1">
      <alignment vertical="top"/>
    </xf>
    <xf numFmtId="0" fontId="37"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pplyNumberFormat="1">
      <alignment horizontal="left" vertical="center" wrapText="1" indent="2"/>
    </xf>
    <xf numFmtId="49" fontId="22" fillId="40" borderId="23" xfId="0" applyFont="1" applyFill="1" applyBorder="1" applyNumberFormat="1">
      <alignment horizontal="center" vertical="center" wrapText="1"/>
    </xf>
    <xf numFmtId="14" fontId="81" fillId="0" borderId="68" xfId="0" applyFont="1" applyBorder="1" applyNumberFormat="1">
      <alignment horizontal="center" vertical="center" wrapText="1"/>
    </xf>
    <xf numFmtId="0" fontId="22" fillId="0" borderId="68" xfId="0" applyFont="1" applyBorder="1" applyNumberFormat="1">
      <alignment horizontal="center" vertical="center" wrapText="1"/>
    </xf>
    <xf numFmtId="0" fontId="22" fillId="40" borderId="17" xfId="0" applyFont="1" applyFill="1" applyBorder="1" applyNumberFormat="1">
      <alignment horizontal="left" vertical="center" wrapText="1" indent="1"/>
    </xf>
    <xf numFmtId="49" fontId="22" fillId="40" borderId="12" xfId="0" applyFont="1" applyFill="1" applyBorder="1" applyNumberFormat="1">
      <alignment horizontal="center" vertical="center" wrapText="1"/>
    </xf>
    <xf numFmtId="49" fontId="22" fillId="0" borderId="17" xfId="0" applyFont="1" applyBorder="1" applyNumberFormat="1">
      <alignment horizontal="center" vertical="center" wrapText="1"/>
    </xf>
    <xf numFmtId="49" fontId="22" fillId="0" borderId="12" xfId="0" applyFont="1" applyBorder="1" applyNumberFormat="1">
      <alignment horizontal="center" vertical="center" wrapText="1"/>
    </xf>
    <xf numFmtId="49" fontId="75" fillId="0" borderId="12" xfId="0" applyFont="1" applyBorder="1" applyNumberFormat="1">
      <alignment horizontal="left" vertical="center" wrapText="1" indent="1"/>
    </xf>
    <xf numFmtId="0" fontId="47" fillId="0" borderId="22" xfId="0" applyFont="1" applyBorder="1" applyNumberFormat="1">
      <alignment vertical="center"/>
    </xf>
    <xf numFmtId="0" fontId="48" fillId="0" borderId="0" xfId="0" applyFont="1" applyNumberFormat="1">
      <alignment vertical="center"/>
    </xf>
    <xf numFmtId="0" fontId="22" fillId="0" borderId="0" xfId="0" applyFont="1" applyNumberFormat="1">
      <alignment vertical="center"/>
    </xf>
    <xf numFmtId="0" fontId="47" fillId="0" borderId="0" xfId="0" applyFont="1" applyNumberFormat="1">
      <alignment vertical="center"/>
    </xf>
    <xf numFmtId="0" fontId="0" fillId="0" borderId="0" xfId="0" applyFont="1" applyNumberFormat="1">
      <alignment vertical="center"/>
    </xf>
    <xf numFmtId="0" fontId="22" fillId="40" borderId="36" xfId="0" applyFont="1" applyFill="1" applyBorder="1" applyNumberFormat="1">
      <alignment horizontal="left" vertical="center" wrapText="1" indent="2"/>
    </xf>
    <xf numFmtId="0" fontId="22" fillId="40" borderId="23" xfId="0" applyFont="1" applyFill="1" applyBorder="1" applyNumberFormat="1">
      <alignment horizontal="left" vertical="center" wrapText="1" indent="1"/>
    </xf>
    <xf numFmtId="49" fontId="40" fillId="37" borderId="13" xfId="0" applyFont="1" applyFill="1" applyBorder="1" applyNumberFormat="1">
      <alignment horizontal="left" vertical="center" indent="1"/>
    </xf>
    <xf numFmtId="0" fontId="22" fillId="40" borderId="23" xfId="0" applyFont="1" applyFill="1" applyBorder="1" applyNumberFormat="1">
      <alignment horizontal="left" vertical="center" wrapText="1" indent="2"/>
    </xf>
    <xf numFmtId="49" fontId="50" fillId="37" borderId="42" xfId="0" applyFont="1" applyFill="1" applyBorder="1" applyNumberFormat="1">
      <alignment horizontal="right" vertical="center" wrapText="1"/>
    </xf>
    <xf numFmtId="49" fontId="50" fillId="37" borderId="43" xfId="0" applyFont="1" applyFill="1" applyBorder="1" applyNumberFormat="1">
      <alignment horizontal="right" vertical="center" wrapText="1"/>
    </xf>
    <xf numFmtId="49" fontId="40" fillId="37" borderId="15" xfId="0" applyFont="1" applyFill="1" applyBorder="1" applyNumberFormat="1">
      <alignment horizontal="left" vertical="center" indent="1"/>
    </xf>
    <xf numFmtId="49" fontId="50" fillId="37" borderId="13" xfId="0" applyFont="1" applyFill="1" applyBorder="1" applyNumberFormat="1">
      <alignment horizontal="right" vertical="center" wrapText="1"/>
    </xf>
    <xf numFmtId="0" fontId="75" fillId="42" borderId="0" xfId="0" applyFont="1" applyFill="1" applyNumberFormat="1">
      <alignment vertical="top"/>
    </xf>
    <xf numFmtId="49" fontId="22" fillId="0" borderId="0" xfId="0" applyFont="1" applyNumberFormat="1">
      <alignment vertical="center" wrapText="1"/>
    </xf>
    <xf numFmtId="49" fontId="22" fillId="0" borderId="0" xfId="0" applyFont="1" applyNumberFormat="1">
      <alignment horizontal="center" vertical="center" wrapText="1"/>
    </xf>
    <xf numFmtId="49" fontId="40" fillId="37" borderId="15" xfId="0" applyFont="1" applyFill="1" applyBorder="1" applyNumberFormat="1">
      <alignment horizontal="left" vertical="center" indent="2"/>
    </xf>
    <xf numFmtId="0" fontId="22" fillId="0" borderId="0" xfId="0" applyFont="1" applyNumberFormat="1">
      <alignment vertical="center"/>
    </xf>
    <xf numFmtId="0" fontId="47" fillId="0" borderId="0" xfId="0" applyFont="1" applyNumberFormat="1">
      <alignment vertical="center"/>
    </xf>
    <xf numFmtId="0" fontId="22" fillId="0" borderId="0" xfId="0" applyFont="1" applyNumberFormat="1">
      <alignment vertical="center"/>
    </xf>
    <xf numFmtId="0" fontId="48" fillId="0" borderId="0" xfId="0" applyFont="1" applyNumberFormat="1">
      <alignment vertical="center"/>
    </xf>
    <xf numFmtId="0" fontId="0" fillId="0" borderId="0" xfId="0" applyFont="1" applyNumberFormat="1">
      <alignment vertical="center"/>
    </xf>
    <xf numFmtId="0" fontId="49" fillId="0" borderId="0" xfId="0" applyFont="1" applyNumberFormat="1">
      <alignment vertical="center"/>
    </xf>
    <xf numFmtId="0" fontId="22" fillId="0" borderId="20" xfId="0" applyFont="1" applyBorder="1" applyNumberFormat="1">
      <alignment horizontal="left" vertical="top" wrapText="1" indent="1"/>
    </xf>
    <xf numFmtId="0" fontId="22" fillId="0" borderId="17" xfId="0" applyFont="1" applyBorder="1" applyNumberFormat="1">
      <alignment horizontal="left" vertical="top" wrapText="1" indent="1"/>
    </xf>
    <xf numFmtId="0" fontId="22" fillId="0" borderId="37" xfId="0" applyFont="1" applyBorder="1" applyNumberFormat="1">
      <alignment horizontal="left" vertical="top" wrapText="1" indent="1"/>
    </xf>
    <xf numFmtId="0" fontId="64" fillId="0" borderId="0" xfId="0" applyFont="1" applyNumberFormat="1">
      <alignment vertical="center" wrapText="1"/>
    </xf>
    <xf numFmtId="0" fontId="46" fillId="0" borderId="0" xfId="0" applyFont="1" applyNumberFormat="1">
      <alignment vertical="center" wrapText="1"/>
    </xf>
    <xf numFmtId="0" fontId="46" fillId="0" borderId="0" xfId="0" applyFont="1" applyNumberFormat="1">
      <alignment vertical="center" wrapText="1"/>
    </xf>
    <xf numFmtId="0" fontId="108" fillId="0" borderId="0" xfId="0" applyFont="1" applyNumberFormat="1">
      <alignment vertical="center"/>
    </xf>
    <xf numFmtId="0" fontId="41" fillId="0" borderId="0" xfId="0" applyFont="1" applyNumberFormat="1">
      <alignment vertical="center"/>
    </xf>
    <xf numFmtId="0" fontId="22" fillId="0" borderId="27" xfId="0" applyFont="1" applyBorder="1" applyNumberFormat="1">
      <alignment horizontal="left" vertical="center" indent="1"/>
    </xf>
    <xf numFmtId="0" fontId="67" fillId="0" borderId="0" xfId="0" applyFont="1" applyNumberFormat="1">
      <alignment vertical="center"/>
    </xf>
    <xf numFmtId="0" fontId="48" fillId="0" borderId="0" xfId="0" applyFont="1" applyNumberFormat="1">
      <alignment vertical="center"/>
    </xf>
    <xf numFmtId="0" fontId="72" fillId="0" borderId="24" xfId="0" applyFont="1" applyBorder="1" applyNumberFormat="1">
      <alignment horizontal="left" vertical="center" wrapText="1" indent="1"/>
    </xf>
    <xf numFmtId="0" fontId="72" fillId="0" borderId="36" xfId="0" applyFont="1" applyBorder="1" applyNumberFormat="1">
      <alignment horizontal="left" vertical="center" wrapText="1" indent="1"/>
    </xf>
    <xf numFmtId="0" fontId="72" fillId="0" borderId="22" xfId="0" applyFont="1" applyBorder="1" applyNumberFormat="1">
      <alignment horizontal="left" vertical="center" wrapText="1" indent="1"/>
    </xf>
    <xf numFmtId="0" fontId="67" fillId="0" borderId="0" xfId="0" applyFont="1" applyNumberFormat="1">
      <alignment vertical="center"/>
    </xf>
    <xf numFmtId="0" fontId="22" fillId="0" borderId="0" xfId="0" applyFont="1" applyNumberFormat="1">
      <alignment vertical="center"/>
    </xf>
    <xf numFmtId="0" fontId="67" fillId="0" borderId="0" xfId="0" applyFont="1" applyNumberFormat="1">
      <alignment vertical="center"/>
    </xf>
    <xf numFmtId="0" fontId="31" fillId="0" borderId="0" xfId="0" applyFont="1" applyNumberFormat="1">
      <alignment vertical="center"/>
    </xf>
    <xf numFmtId="0" fontId="41" fillId="0" borderId="0" xfId="0" applyFont="1" applyNumberFormat="1">
      <alignment vertical="center"/>
    </xf>
    <xf numFmtId="0" fontId="0"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0" xfId="0" applyFont="1" applyNumberFormat="1">
      <alignment vertical="center"/>
    </xf>
    <xf numFmtId="49" fontId="48" fillId="35" borderId="0" xfId="0" applyFont="1" applyFill="1" applyNumberFormat="1">
      <alignment horizontal="center" vertical="center" wrapText="1"/>
    </xf>
    <xf numFmtId="49" fontId="48" fillId="35" borderId="27" xfId="0" applyFont="1" applyFill="1" applyBorder="1" applyNumberFormat="1">
      <alignment horizontal="center" vertical="center" wrapText="1"/>
    </xf>
    <xf numFmtId="0" fontId="48" fillId="0" borderId="0" xfId="0" applyFont="1" applyNumberFormat="1">
      <alignment vertical="center"/>
    </xf>
    <xf numFmtId="0" fontId="37" fillId="0" borderId="0" xfId="0" applyFont="1" applyNumberFormat="1">
      <alignment horizontal="center" vertical="center" wrapText="1"/>
    </xf>
    <xf numFmtId="0" fontId="48" fillId="0" borderId="12" xfId="0" applyFont="1" applyBorder="1" applyNumberFormat="1">
      <alignment horizontal="center" vertical="center"/>
    </xf>
    <xf numFmtId="0" fontId="22" fillId="0" borderId="12" xfId="0" applyFont="1" applyBorder="1" applyNumberFormat="1">
      <alignment horizontal="center" vertical="center" wrapText="1"/>
    </xf>
    <xf numFmtId="0" fontId="0" fillId="0" borderId="12" xfId="0" applyFont="1" applyBorder="1" applyNumberFormat="1">
      <alignment horizontal="center" vertical="center"/>
    </xf>
    <xf numFmtId="49" fontId="22" fillId="0" borderId="12" xfId="0" applyFont="1" applyBorder="1" applyNumberFormat="1">
      <alignment horizontal="center" vertical="center" wrapText="1"/>
    </xf>
    <xf numFmtId="49" fontId="22" fillId="0" borderId="12" xfId="0" applyFont="1" applyBorder="1" applyNumberFormat="1">
      <alignment horizontal="center" vertical="center" wrapText="1"/>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12" xfId="0" applyFont="1" applyBorder="1" applyNumberFormat="1">
      <alignment horizontal="center" vertical="center" wrapText="1"/>
    </xf>
    <xf numFmtId="49" fontId="22" fillId="0" borderId="12" xfId="0" applyFont="1" applyBorder="1" applyNumberFormat="1">
      <alignment horizontal="center" vertical="center" wrapText="1"/>
    </xf>
    <xf numFmtId="49" fontId="0" fillId="0" borderId="12" xfId="0" applyFont="1" applyBorder="1" applyNumberFormat="1">
      <alignment horizontal="left" vertical="center"/>
    </xf>
    <xf numFmtId="0" fontId="0" fillId="0" borderId="0" xfId="0" applyFont="1" applyNumberFormat="1">
      <alignment vertical="center"/>
    </xf>
    <xf numFmtId="49" fontId="0" fillId="0" borderId="0" xfId="0" applyFont="1" applyNumberFormat="1">
      <alignment vertical="center"/>
    </xf>
    <xf numFmtId="0" fontId="0" fillId="0" borderId="12" xfId="0" applyFont="1" applyBorder="1" applyNumberFormat="1">
      <alignment horizontal="center" vertical="top"/>
    </xf>
    <xf numFmtId="0" fontId="22" fillId="0" borderId="12" xfId="0" applyFont="1" applyBorder="1" applyNumberFormat="1">
      <alignment horizontal="left" vertical="top" wrapText="1"/>
    </xf>
    <xf numFmtId="0" fontId="22" fillId="40" borderId="17" xfId="0" applyFont="1" applyFill="1" applyBorder="1" applyNumberFormat="1">
      <alignment horizontal="center" vertical="top" wrapText="1"/>
    </xf>
    <xf numFmtId="0" fontId="0" fillId="0" borderId="37" xfId="0" applyFont="1" applyBorder="1" applyNumberFormat="1">
      <alignment horizontal="center" vertical="center"/>
    </xf>
    <xf numFmtId="0" fontId="0" fillId="0" borderId="19" xfId="0" applyFont="1" applyBorder="1" applyNumberFormat="1">
      <alignment horizontal="center" vertical="center"/>
    </xf>
    <xf numFmtId="49" fontId="22"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0" fillId="0" borderId="19" xfId="0" applyFont="1" applyBorder="1" applyNumberFormat="1">
      <alignment horizontal="left"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22" fillId="0" borderId="20" xfId="0" applyFont="1" applyBorder="1" applyNumberFormat="1">
      <alignment horizontal="left" vertical="center" wrapText="1"/>
    </xf>
    <xf numFmtId="0" fontId="22" fillId="0" borderId="0" xfId="0" applyFont="1" applyNumberFormat="1">
      <alignment horizontal="left" vertical="center" indent="1"/>
    </xf>
    <xf numFmtId="0" fontId="0" fillId="0" borderId="0" xfId="0" applyFont="1" applyNumberFormat="1">
      <alignment vertical="center"/>
    </xf>
    <xf numFmtId="0" fontId="0" fillId="0" borderId="0" xfId="0" applyFont="1" applyNumberFormat="1">
      <alignment vertical="center"/>
    </xf>
    <xf numFmtId="0" fontId="22" fillId="40" borderId="36" xfId="0" applyFont="1" applyFill="1" applyBorder="1" applyNumberFormat="1">
      <alignment horizontal="center" vertical="top" wrapText="1"/>
    </xf>
    <xf numFmtId="0" fontId="0" fillId="0" borderId="22" xfId="0" applyFont="1" applyBorder="1" applyNumberFormat="1">
      <alignment horizontal="center" vertical="center"/>
    </xf>
    <xf numFmtId="0" fontId="0" fillId="0" borderId="0" xfId="0" applyFont="1" applyNumberFormat="1">
      <alignment horizontal="center" vertical="center"/>
    </xf>
    <xf numFmtId="49" fontId="22" fillId="0" borderId="0" xfId="0" applyFont="1" applyNumberFormat="1">
      <alignment horizontal="left" vertical="center" wrapText="1"/>
    </xf>
    <xf numFmtId="49" fontId="22" fillId="0" borderId="0" xfId="0" applyFont="1" applyNumberFormat="1">
      <alignment horizontal="center" vertical="center" wrapText="1"/>
    </xf>
    <xf numFmtId="0" fontId="0" fillId="0" borderId="0" xfId="0" applyFont="1" applyNumberFormat="1">
      <alignment horizontal="left" vertical="center" wrapText="1"/>
    </xf>
    <xf numFmtId="49" fontId="0" fillId="0" borderId="0" xfId="0" applyFont="1" applyNumberFormat="1">
      <alignment horizontal="left" vertical="center" wrapText="1"/>
    </xf>
    <xf numFmtId="0" fontId="40" fillId="0" borderId="0" xfId="0" applyFont="1" applyNumberFormat="1">
      <alignment horizontal="left" vertical="center"/>
    </xf>
    <xf numFmtId="0" fontId="40" fillId="0" borderId="24" xfId="0" applyFont="1" applyBorder="1" applyNumberFormat="1">
      <alignment horizontal="left" vertical="center"/>
    </xf>
    <xf numFmtId="49" fontId="0" fillId="0" borderId="0" xfId="0" applyFont="1" applyNumberFormat="1">
      <alignment horizontal="left" vertical="top"/>
    </xf>
    <xf numFmtId="49" fontId="22" fillId="0" borderId="0" xfId="0" applyFont="1" applyNumberFormat="1">
      <alignment horizontal="center" vertical="center" wrapText="1"/>
    </xf>
    <xf numFmtId="0" fontId="0" fillId="0" borderId="0" xfId="0" applyFont="1" applyNumberFormat="1">
      <alignment vertical="center"/>
    </xf>
    <xf numFmtId="0" fontId="0" fillId="0" borderId="0" xfId="0" applyFont="1" applyNumberFormat="1">
      <alignment vertical="center"/>
    </xf>
    <xf numFmtId="49" fontId="0" fillId="0" borderId="12" xfId="0" applyFont="1" applyBorder="1" applyNumberFormat="1">
      <alignment vertical="top"/>
    </xf>
    <xf numFmtId="49" fontId="0" fillId="0" borderId="12" xfId="0" applyFont="1" applyBorder="1" applyNumberFormat="1">
      <alignment horizontal="left" vertical="top"/>
    </xf>
    <xf numFmtId="0" fontId="22" fillId="40" borderId="23" xfId="0" applyFont="1" applyFill="1" applyBorder="1" applyNumberFormat="1">
      <alignment horizontal="center" vertical="top" wrapText="1"/>
    </xf>
    <xf numFmtId="0" fontId="40" fillId="0" borderId="30" xfId="0" applyFont="1" applyBorder="1" applyNumberFormat="1">
      <alignment horizontal="left" vertical="center"/>
    </xf>
    <xf numFmtId="0" fontId="40" fillId="0" borderId="27" xfId="0" applyFont="1" applyBorder="1" applyNumberFormat="1">
      <alignment horizontal="left" vertical="center"/>
    </xf>
    <xf numFmtId="0" fontId="0" fillId="0" borderId="27" xfId="0" applyFont="1" applyBorder="1" applyNumberFormat="1">
      <alignment vertical="center"/>
    </xf>
    <xf numFmtId="0" fontId="40" fillId="0" borderId="29" xfId="0" applyFont="1" applyBorder="1" applyNumberFormat="1">
      <alignment horizontal="left" vertical="center"/>
    </xf>
    <xf numFmtId="0" fontId="22" fillId="39" borderId="12" xfId="0" applyFont="1" applyFill="1" applyBorder="1" applyNumberFormat="1">
      <alignment horizontal="left" vertical="top" wrapText="1"/>
      <protection locked="0"/>
    </xf>
    <xf numFmtId="0" fontId="22" fillId="40" borderId="12" xfId="0" applyFont="1" applyFill="1" applyBorder="1" applyNumberFormat="1">
      <alignment horizontal="left" vertical="top" wrapText="1"/>
    </xf>
    <xf numFmtId="0" fontId="0" fillId="0" borderId="12" xfId="0" applyFont="1" applyBorder="1" applyNumberFormat="1">
      <alignment horizontal="center" vertical="center"/>
    </xf>
    <xf numFmtId="49" fontId="22" fillId="36" borderId="12" xfId="0" applyFont="1" applyFill="1" applyBorder="1" applyNumberFormat="1">
      <alignment horizontal="left" vertical="center" wrapText="1"/>
      <protection locked="0"/>
    </xf>
    <xf numFmtId="49" fontId="22" fillId="40" borderId="17" xfId="0" applyFont="1" applyFill="1" applyBorder="1" applyNumberFormat="1">
      <alignment horizontal="center" vertical="center" wrapText="1"/>
    </xf>
    <xf numFmtId="49" fontId="22" fillId="0" borderId="12" xfId="0" applyFont="1" applyBorder="1" applyNumberFormat="1">
      <alignment horizontal="center" vertical="center" wrapText="1"/>
    </xf>
    <xf numFmtId="0" fontId="0" fillId="40" borderId="12" xfId="0" applyFont="1" applyFill="1" applyBorder="1" applyNumberFormat="1">
      <alignment horizontal="left" vertical="center" wrapText="1"/>
    </xf>
    <xf numFmtId="49" fontId="0" fillId="35" borderId="12" xfId="0" applyFont="1" applyFill="1" applyBorder="1" applyNumberFormat="1">
      <alignment horizontal="left" vertical="center" wrapText="1"/>
    </xf>
    <xf numFmtId="49" fontId="22" fillId="40" borderId="12" xfId="0" applyFont="1" applyFill="1" applyBorder="1" applyNumberFormat="1">
      <alignment horizontal="center" vertical="center" wrapText="1"/>
    </xf>
    <xf numFmtId="49" fontId="22" fillId="0" borderId="0" xfId="0" applyFont="1" applyNumberFormat="1">
      <alignment horizontal="left" vertical="center" indent="1"/>
    </xf>
    <xf numFmtId="0" fontId="0" fillId="0" borderId="0" xfId="0" applyFont="1" applyNumberFormat="1">
      <alignment vertical="center"/>
    </xf>
    <xf numFmtId="0" fontId="22" fillId="39" borderId="12" xfId="0" applyFont="1" applyFill="1" applyBorder="1" applyNumberFormat="1">
      <alignment horizontal="left" vertical="top" wrapText="1"/>
      <protection locked="0"/>
    </xf>
    <xf numFmtId="49" fontId="22" fillId="40" borderId="36" xfId="0" applyFont="1" applyFill="1" applyBorder="1" applyNumberFormat="1">
      <alignment horizontal="center" vertical="center" wrapText="1"/>
    </xf>
    <xf numFmtId="0" fontId="40" fillId="37" borderId="14"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3" xfId="0" applyFont="1" applyFill="1" applyBorder="1" applyNumberFormat="1">
      <alignment horizontal="left" vertical="center"/>
    </xf>
    <xf numFmtId="0" fontId="0" fillId="39" borderId="12" xfId="0" applyFont="1" applyFill="1" applyBorder="1" applyNumberFormat="1">
      <alignment horizontal="left" vertical="top"/>
      <protection locked="0"/>
    </xf>
    <xf numFmtId="49" fontId="0" fillId="40" borderId="12" xfId="0" applyFont="1" applyFill="1" applyBorder="1" applyNumberFormat="1">
      <alignment horizontal="left" vertical="top"/>
    </xf>
    <xf numFmtId="49" fontId="0" fillId="0" borderId="12" xfId="0" applyFont="1" applyBorder="1" applyNumberFormat="1">
      <alignment vertical="top"/>
    </xf>
    <xf numFmtId="49" fontId="0" fillId="36" borderId="12" xfId="0" applyFont="1" applyFill="1" applyBorder="1" applyNumberFormat="1">
      <alignment horizontal="left" vertical="top"/>
      <protection locked="0"/>
    </xf>
    <xf numFmtId="49" fontId="0" fillId="40" borderId="12" xfId="0" applyFont="1" applyFill="1" applyBorder="1" applyNumberFormat="1">
      <alignment horizontal="left" vertical="center" wrapText="1"/>
    </xf>
    <xf numFmtId="49" fontId="22" fillId="40" borderId="23" xfId="0" applyFont="1" applyFill="1" applyBorder="1" applyNumberFormat="1">
      <alignment horizontal="center" vertical="center" wrapText="1"/>
    </xf>
    <xf numFmtId="0" fontId="40" fillId="37" borderId="14"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40" fillId="37" borderId="13" xfId="0" applyFont="1" applyFill="1" applyBorder="1" applyNumberFormat="1">
      <alignment horizontal="left" vertical="center"/>
    </xf>
    <xf numFmtId="0" fontId="40" fillId="37" borderId="14"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40" fillId="37" borderId="13" xfId="0" applyFont="1" applyFill="1" applyBorder="1" applyNumberFormat="1">
      <alignment horizontal="left" vertical="center"/>
    </xf>
    <xf numFmtId="0" fontId="40" fillId="37" borderId="14"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40" fillId="37" borderId="13" xfId="0" applyFont="1" applyFill="1" applyBorder="1" applyNumberFormat="1">
      <alignment horizontal="left" vertical="center"/>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0" fillId="0" borderId="0" xfId="0" applyFont="1" applyNumberFormat="1">
      <alignment vertical="center"/>
    </xf>
    <xf numFmtId="0" fontId="40" fillId="0" borderId="0" xfId="0" applyFont="1" applyNumberFormat="1">
      <alignment horizontal="left" vertical="center"/>
    </xf>
    <xf numFmtId="0" fontId="40" fillId="0" borderId="24" xfId="0" applyFont="1" applyBorder="1" applyNumberFormat="1">
      <alignment horizontal="left" vertical="center"/>
    </xf>
    <xf numFmtId="49" fontId="22" fillId="0" borderId="0" xfId="0" applyFont="1" applyNumberFormat="1">
      <alignment horizontal="center" vertical="center" wrapText="1"/>
    </xf>
    <xf numFmtId="0" fontId="40" fillId="0" borderId="27" xfId="0" applyFont="1" applyBorder="1" applyNumberFormat="1">
      <alignment horizontal="left" vertical="center"/>
    </xf>
    <xf numFmtId="0" fontId="40" fillId="0" borderId="29" xfId="0" applyFont="1" applyBorder="1" applyNumberFormat="1">
      <alignment horizontal="left" vertical="center"/>
    </xf>
    <xf numFmtId="0" fontId="0" fillId="0" borderId="0" xfId="0" applyFont="1" applyNumberFormat="1">
      <alignment vertical="center"/>
    </xf>
    <xf numFmtId="0" fontId="0" fillId="0" borderId="17" xfId="0" applyFont="1" applyBorder="1" applyNumberFormat="1">
      <alignment horizontal="center" vertical="top"/>
    </xf>
    <xf numFmtId="0" fontId="22" fillId="0" borderId="17" xfId="0" applyFont="1" applyBorder="1" applyNumberFormat="1">
      <alignment horizontal="left" vertical="top" wrapText="1"/>
    </xf>
    <xf numFmtId="0" fontId="0" fillId="0" borderId="0" xfId="0" applyFont="1" applyNumberFormat="1">
      <alignment vertical="center"/>
    </xf>
    <xf numFmtId="0" fontId="0" fillId="0" borderId="36" xfId="0" applyFont="1" applyBorder="1" applyNumberFormat="1">
      <alignment horizontal="center" vertical="top"/>
    </xf>
    <xf numFmtId="0" fontId="22" fillId="0" borderId="36" xfId="0" applyFont="1" applyBorder="1" applyNumberFormat="1">
      <alignment horizontal="left" vertical="top" wrapText="1"/>
    </xf>
    <xf numFmtId="0" fontId="0" fillId="0" borderId="23" xfId="0" applyFont="1" applyBorder="1" applyNumberFormat="1">
      <alignment horizontal="center" vertical="top"/>
    </xf>
    <xf numFmtId="0" fontId="22" fillId="0" borderId="23" xfId="0" applyFont="1" applyBorder="1" applyNumberFormat="1">
      <alignment horizontal="left" vertical="top"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40" fillId="0" borderId="0" xfId="0" applyFont="1" applyNumberFormat="1">
      <alignment horizontal="left" vertical="center"/>
    </xf>
    <xf numFmtId="0" fontId="40" fillId="0" borderId="24" xfId="0" applyFont="1" applyBorder="1" applyNumberFormat="1">
      <alignment horizontal="left" vertical="center"/>
    </xf>
    <xf numFmtId="49" fontId="22" fillId="0" borderId="0" xfId="0" applyFont="1" applyNumberFormat="1">
      <alignment horizontal="center" vertical="center" wrapText="1"/>
    </xf>
    <xf numFmtId="0" fontId="40" fillId="0" borderId="27" xfId="0" applyFont="1" applyBorder="1" applyNumberFormat="1">
      <alignment horizontal="left" vertical="center"/>
    </xf>
    <xf numFmtId="0" fontId="40" fillId="0" borderId="29" xfId="0" applyFont="1" applyBorder="1" applyNumberFormat="1">
      <alignment horizontal="left" vertical="center"/>
    </xf>
    <xf numFmtId="0" fontId="0" fillId="0" borderId="0" xfId="0" applyFont="1" applyNumberFormat="1">
      <alignment horizontal="left" vertical="top" wrapText="1"/>
    </xf>
    <xf numFmtId="0" fontId="0" fillId="0" borderId="0" xfId="0" applyFont="1" applyNumberFormat="1" quotePrefix="1">
      <alignment horizontal="left" vertical="top" wrapText="1" indent="1"/>
    </xf>
    <xf numFmtId="0" fontId="0" fillId="0" borderId="0" xfId="0" applyFont="1" applyNumberFormat="1">
      <alignment horizontal="left" vertical="top" wrapText="1" indent="1"/>
    </xf>
    <xf numFmtId="0" fontId="0" fillId="0" borderId="0" xfId="0" applyFont="1" applyNumberFormat="1">
      <alignment horizontal="left" vertical="top" wrapText="1"/>
    </xf>
    <xf numFmtId="0" fontId="0" fillId="0" borderId="0" xfId="0" applyFont="1" applyNumberFormat="1">
      <alignment horizontal="left" vertical="top" wrapText="1"/>
    </xf>
    <xf numFmtId="0" fontId="0" fillId="0" borderId="0" xfId="0" applyFont="1" applyNumberFormat="1">
      <alignment vertical="top" wrapText="1"/>
    </xf>
    <xf numFmtId="0" fontId="0" fillId="0" borderId="0" xfId="0" applyFont="1" applyNumberFormat="1">
      <alignment vertical="center"/>
    </xf>
    <xf numFmtId="0" fontId="0" fillId="0" borderId="0" xfId="0" applyFont="1" applyNumberFormat="1">
      <alignment vertical="center"/>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40" fillId="0" borderId="0" xfId="0" applyFont="1" applyNumberFormat="1">
      <alignment horizontal="left" vertical="center"/>
    </xf>
    <xf numFmtId="0" fontId="40" fillId="0" borderId="24" xfId="0" applyFont="1" applyBorder="1" applyNumberFormat="1">
      <alignment horizontal="left" vertical="center"/>
    </xf>
    <xf numFmtId="49" fontId="22" fillId="0" borderId="0" xfId="0" applyFont="1" applyNumberFormat="1">
      <alignment horizontal="center" vertical="center" wrapText="1"/>
    </xf>
    <xf numFmtId="0" fontId="40" fillId="0" borderId="27" xfId="0" applyFont="1" applyBorder="1" applyNumberFormat="1">
      <alignment horizontal="left" vertical="center"/>
    </xf>
    <xf numFmtId="0" fontId="40" fillId="0" borderId="29" xfId="0" applyFont="1" applyBorder="1" applyNumberFormat="1">
      <alignment horizontal="left" vertical="center"/>
    </xf>
    <xf numFmtId="0" fontId="48" fillId="0" borderId="0" xfId="0" applyFont="1" applyNumberFormat="1">
      <alignment vertical="center"/>
    </xf>
    <xf numFmtId="0" fontId="0" fillId="0" borderId="0" xfId="0" applyFont="1" applyNumberFormat="1">
      <alignment vertical="center"/>
    </xf>
    <xf numFmtId="49" fontId="48" fillId="0" borderId="0" xfId="0" applyFont="1" applyNumberFormat="1">
      <alignment vertical="top"/>
    </xf>
    <xf numFmtId="49" fontId="48" fillId="0" borderId="0" xfId="0" applyFont="1" applyNumberFormat="1">
      <alignment horizontal="center" vertical="center"/>
    </xf>
    <xf numFmtId="49" fontId="48" fillId="0" borderId="0" xfId="0" applyFont="1" applyNumberFormat="1">
      <alignment horizontal="center" vertical="center"/>
    </xf>
    <xf numFmtId="49" fontId="47" fillId="0" borderId="0" xfId="0" applyFont="1" applyNumberFormat="1">
      <alignment horizontal="center" vertical="center"/>
    </xf>
    <xf numFmtId="49" fontId="67" fillId="0" borderId="0" xfId="0" applyFont="1" applyNumberFormat="1">
      <alignment vertical="top"/>
    </xf>
    <xf numFmtId="49" fontId="0" fillId="0" borderId="0" xfId="0" applyFont="1" applyNumberFormat="1">
      <alignment vertical="top"/>
    </xf>
    <xf numFmtId="49" fontId="32" fillId="0" borderId="0" xfId="0" applyFont="1" applyNumberFormat="1">
      <alignment vertical="top"/>
    </xf>
    <xf numFmtId="49" fontId="67" fillId="0" borderId="0" xfId="0" applyFont="1" applyNumberFormat="1">
      <alignment vertical="top"/>
    </xf>
    <xf numFmtId="0" fontId="32" fillId="0" borderId="0" xfId="0" applyFont="1" applyNumberFormat="1">
      <alignment vertical="center" wrapText="1"/>
    </xf>
    <xf numFmtId="0" fontId="22" fillId="0" borderId="0" xfId="0" applyFont="1" applyNumberFormat="1">
      <alignment vertical="center" wrapText="1"/>
    </xf>
    <xf numFmtId="0" fontId="37" fillId="0" borderId="0" xfId="0" applyFont="1" applyNumberFormat="1">
      <alignment horizontal="center" vertical="center" wrapText="1"/>
    </xf>
    <xf numFmtId="0" fontId="22" fillId="0" borderId="19" xfId="0" applyFont="1" applyBorder="1" applyNumberFormat="1">
      <alignment horizontal="left" vertical="center" wrapText="1" indent="1"/>
    </xf>
    <xf numFmtId="0" fontId="46" fillId="0" borderId="0" xfId="0" applyFont="1" applyNumberFormat="1">
      <alignment horizontal="left" vertical="center" wrapText="1" indent="1"/>
    </xf>
    <xf numFmtId="0" fontId="42" fillId="0" borderId="0" xfId="0" applyFont="1" applyNumberFormat="1">
      <alignment vertical="center"/>
    </xf>
    <xf numFmtId="0" fontId="113" fillId="0" borderId="0" xfId="0" applyFont="1" applyNumberFormat="1">
      <alignment vertical="center" wrapText="1"/>
    </xf>
    <xf numFmtId="0" fontId="114" fillId="0" borderId="0" xfId="0" applyFont="1" applyNumberFormat="1">
      <alignment vertical="center" wrapText="1"/>
    </xf>
    <xf numFmtId="0" fontId="32" fillId="0" borderId="0" xfId="0" applyFont="1" applyNumberFormat="1">
      <alignment vertical="center" wrapText="1"/>
    </xf>
    <xf numFmtId="0" fontId="22" fillId="0" borderId="0" xfId="0" applyFont="1" applyNumberFormat="1">
      <alignment vertical="center" wrapText="1"/>
    </xf>
    <xf numFmtId="0" fontId="22" fillId="0" borderId="27" xfId="0" applyFont="1" applyBorder="1" applyNumberFormat="1">
      <alignment horizontal="left" vertical="center" wrapText="1" indent="1"/>
    </xf>
    <xf numFmtId="0" fontId="42" fillId="0" borderId="0" xfId="0" applyFont="1" applyNumberFormat="1">
      <alignment vertical="center" wrapText="1"/>
    </xf>
    <xf numFmtId="0" fontId="22" fillId="0" borderId="37" xfId="0" applyFont="1" applyBorder="1" applyNumberFormat="1">
      <alignment horizontal="center" vertical="center" wrapText="1"/>
    </xf>
    <xf numFmtId="0" fontId="22" fillId="0" borderId="20" xfId="0" applyFont="1" applyBorder="1" applyNumberFormat="1">
      <alignment horizontal="center" vertical="center" wrapText="1"/>
    </xf>
    <xf numFmtId="0" fontId="22" fillId="0" borderId="36" xfId="0" applyFont="1" applyBorder="1" applyNumberFormat="1">
      <alignment horizontal="center" vertical="center" wrapText="1"/>
    </xf>
    <xf numFmtId="0" fontId="22" fillId="0" borderId="17" xfId="0" applyFont="1" applyBorder="1" applyNumberFormat="1">
      <alignment horizontal="center" vertical="center" wrapText="1"/>
    </xf>
    <xf numFmtId="0" fontId="22" fillId="0" borderId="37" xfId="0" applyFont="1" applyBorder="1" applyNumberFormat="1">
      <alignment horizontal="center" vertical="center" wrapText="1"/>
    </xf>
    <xf numFmtId="0" fontId="22" fillId="0" borderId="15"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17" xfId="0" applyFont="1" applyBorder="1" applyNumberFormat="1">
      <alignment horizontal="center" vertical="center" wrapText="1"/>
    </xf>
    <xf numFmtId="0" fontId="22" fillId="0" borderId="17" xfId="0" applyFont="1" applyBorder="1" applyNumberFormat="1">
      <alignment horizontal="center" vertical="center" wrapText="1"/>
    </xf>
    <xf numFmtId="0" fontId="22" fillId="0" borderId="22" xfId="0" applyFont="1" applyBorder="1" applyNumberFormat="1">
      <alignment horizontal="center" vertical="center" wrapText="1"/>
    </xf>
    <xf numFmtId="0" fontId="22" fillId="0" borderId="24" xfId="0" applyFont="1" applyBorder="1" applyNumberFormat="1">
      <alignment horizontal="center" vertical="center" wrapText="1"/>
    </xf>
    <xf numFmtId="0" fontId="22" fillId="0" borderId="22" xfId="0" applyFont="1" applyBorder="1" applyNumberFormat="1">
      <alignment horizontal="center" vertical="center" wrapText="1"/>
    </xf>
    <xf numFmtId="0" fontId="22" fillId="0" borderId="36" xfId="0" applyFont="1" applyBorder="1" applyNumberFormat="1">
      <alignment horizontal="center" vertical="center" wrapText="1"/>
    </xf>
    <xf numFmtId="0" fontId="22" fillId="0" borderId="30" xfId="0" applyFont="1" applyBorder="1" applyNumberFormat="1">
      <alignment horizontal="center" vertical="center" wrapText="1"/>
    </xf>
    <xf numFmtId="0" fontId="22" fillId="0" borderId="29" xfId="0" applyFont="1" applyBorder="1" applyNumberFormat="1">
      <alignment horizontal="center" vertical="center" wrapText="1"/>
    </xf>
    <xf numFmtId="0" fontId="22" fillId="0" borderId="17" xfId="0" applyFont="1" applyBorder="1" applyNumberFormat="1">
      <alignment horizontal="center" vertical="center" wrapText="1"/>
    </xf>
    <xf numFmtId="0" fontId="22" fillId="0" borderId="37" xfId="0" applyFont="1" applyBorder="1" applyNumberFormat="1">
      <alignment horizontal="center" vertical="center" wrapText="1"/>
    </xf>
    <xf numFmtId="49" fontId="22" fillId="0" borderId="0" xfId="0" applyFont="1" applyNumberFormat="1">
      <alignment vertical="top"/>
    </xf>
    <xf numFmtId="49" fontId="22" fillId="0" borderId="12" xfId="0" applyFont="1" applyBorder="1" applyNumberFormat="1">
      <alignment horizontal="center" vertical="center"/>
    </xf>
    <xf numFmtId="0" fontId="22" fillId="0" borderId="12" xfId="0" applyFont="1" applyBorder="1" applyNumberFormat="1">
      <alignment horizontal="left" vertical="center" wrapText="1"/>
    </xf>
    <xf numFmtId="49" fontId="22" fillId="40" borderId="17" xfId="0" applyFont="1" applyFill="1" applyBorder="1" applyNumberFormat="1">
      <alignment horizontal="center" vertical="center" wrapText="1"/>
    </xf>
    <xf numFmtId="49" fontId="22" fillId="0" borderId="37" xfId="0" applyFont="1" applyBorder="1" applyNumberFormat="1">
      <alignment vertical="center" wrapText="1"/>
    </xf>
    <xf numFmtId="0" fontId="22" fillId="0" borderId="19" xfId="0" applyFont="1" applyBorder="1" applyNumberFormat="1">
      <alignment horizontal="center" vertical="center"/>
    </xf>
    <xf numFmtId="49" fontId="22" fillId="0" borderId="19" xfId="0" applyFont="1" applyBorder="1" applyNumberForma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7"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pplyNumberFormat="1">
      <alignment horizontal="left" vertical="center" wrapText="1"/>
    </xf>
    <xf numFmtId="49" fontId="22" fillId="0" borderId="19" xfId="0" applyFont="1" applyBorder="1" applyNumberFormat="1">
      <alignment horizontal="center" vertical="center" wrapText="1"/>
    </xf>
    <xf numFmtId="49" fontId="22" fillId="0" borderId="19" xfId="0" applyFont="1" applyBorder="1" applyNumberFormat="1">
      <alignment vertical="center" wrapText="1"/>
    </xf>
    <xf numFmtId="49" fontId="22" fillId="40" borderId="36" xfId="0" applyFont="1" applyFill="1" applyBorder="1" applyNumberFormat="1">
      <alignment horizontal="center" vertical="center" wrapText="1"/>
    </xf>
    <xf numFmtId="49" fontId="22" fillId="0" borderId="22" xfId="0" applyFont="1" applyBorder="1" applyNumberFormat="1">
      <alignment vertical="center" wrapText="1"/>
    </xf>
    <xf numFmtId="0" fontId="22" fillId="0" borderId="0" xfId="0" applyFont="1" applyNumberFormat="1">
      <alignment horizontal="center" vertical="center"/>
    </xf>
    <xf numFmtId="0" fontId="22" fillId="0" borderId="0" xfId="0" applyFont="1" applyNumberFormat="1">
      <alignment horizontal="lef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7"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pplyNumberFormat="1">
      <alignment horizontal="left" vertical="center" wrapText="1"/>
    </xf>
    <xf numFmtId="0" fontId="40" fillId="0" borderId="0" xfId="0" applyFont="1" applyNumberFormat="1">
      <alignment horizontal="left" vertical="center"/>
    </xf>
    <xf numFmtId="0" fontId="40" fillId="0" borderId="0" xfId="0" applyFont="1" applyNumberFormat="1">
      <alignment horizontal="left" vertical="center"/>
    </xf>
    <xf numFmtId="0" fontId="40" fillId="0" borderId="24" xfId="0" applyFont="1" applyBorder="1" applyNumberFormat="1">
      <alignment horizontal="left" vertical="center"/>
    </xf>
    <xf numFmtId="49" fontId="22" fillId="0" borderId="0" xfId="0" applyFont="1" applyNumberFormat="1">
      <alignment horizontal="center" vertical="center" wrapText="1"/>
    </xf>
    <xf numFmtId="49" fontId="37" fillId="0" borderId="0" xfId="0" applyFont="1" applyNumberFormat="1">
      <alignment horizontal="center" vertical="center" wrapText="1"/>
    </xf>
    <xf numFmtId="0" fontId="40" fillId="0" borderId="0" xfId="0" applyFont="1" applyNumberFormat="1">
      <alignment vertical="center"/>
    </xf>
    <xf numFmtId="0" fontId="40" fillId="0" borderId="22" xfId="0" applyFont="1" applyBorder="1" applyNumberFormat="1">
      <alignment horizontal="left" vertical="center"/>
    </xf>
    <xf numFmtId="49" fontId="22" fillId="0" borderId="17" xfId="0" applyFont="1" applyBorder="1" applyNumberFormat="1">
      <alignment horizontal="center" vertical="center"/>
    </xf>
    <xf numFmtId="0" fontId="22" fillId="0" borderId="17" xfId="0" applyFont="1" applyBorder="1" applyNumberFormat="1">
      <alignment horizontal="left" vertical="center" wrapText="1"/>
    </xf>
    <xf numFmtId="0" fontId="22" fillId="0" borderId="37" xfId="0" applyFont="1" applyBorder="1" applyNumberFormat="1">
      <alignment horizontal="left" vertical="center" wrapText="1"/>
    </xf>
    <xf numFmtId="49" fontId="67" fillId="0" borderId="30" xfId="0" applyFont="1" applyBorder="1" applyNumberFormat="1">
      <alignment vertical="top"/>
    </xf>
    <xf numFmtId="49" fontId="67" fillId="0" borderId="27" xfId="0" applyFont="1" applyBorder="1" applyNumberFormat="1">
      <alignment vertical="top"/>
    </xf>
    <xf numFmtId="0" fontId="40" fillId="0" borderId="27" xfId="0" applyFont="1" applyBorder="1" applyNumberFormat="1">
      <alignment horizontal="left" vertical="center"/>
    </xf>
    <xf numFmtId="0" fontId="40" fillId="0" borderId="29" xfId="0" applyFont="1" applyBorder="1" applyNumberFormat="1">
      <alignment horizontal="left" vertical="center"/>
    </xf>
    <xf numFmtId="0" fontId="22" fillId="0" borderId="0" xfId="0" applyFont="1" applyNumberFormat="1">
      <alignment horizontal="left" vertical="center" wrapText="1"/>
    </xf>
    <xf numFmtId="0" fontId="22" fillId="0" borderId="14" xfId="0" applyFont="1" applyBorder="1" applyNumberFormat="1">
      <alignment horizontal="left" vertical="center" wrapText="1"/>
    </xf>
    <xf numFmtId="49" fontId="32" fillId="0" borderId="0" xfId="0" applyFont="1" applyNumberFormat="1">
      <alignment vertical="top"/>
    </xf>
    <xf numFmtId="0" fontId="22" fillId="35" borderId="0" xfId="0" applyFont="1" applyFill="1" applyNumberFormat="1"/>
    <xf numFmtId="0" fontId="0" fillId="35" borderId="0" xfId="0" applyFont="1" applyFill="1" applyNumberFormat="1"/>
    <xf numFmtId="0" fontId="61" fillId="35" borderId="0" xfId="0" applyFont="1" applyFill="1" applyNumberFormat="1"/>
    <xf numFmtId="0" fontId="48" fillId="35" borderId="0" xfId="0" applyFont="1" applyFill="1" applyNumberFormat="1"/>
    <xf numFmtId="0" fontId="61" fillId="35" borderId="0" xfId="0" applyFont="1" applyFill="1" applyNumberFormat="1">
      <alignment horizontal="center"/>
    </xf>
    <xf numFmtId="0" fontId="61" fillId="35" borderId="0" xfId="0" applyFont="1" applyFill="1" applyNumberFormat="1"/>
    <xf numFmtId="0" fontId="90" fillId="0" borderId="0" xfId="0" applyFont="1" applyNumberFormat="1">
      <alignment vertical="center"/>
    </xf>
    <xf numFmtId="0" fontId="89" fillId="0" borderId="0" xfId="0" applyFont="1" applyNumberFormat="1">
      <alignment vertical="center"/>
    </xf>
    <xf numFmtId="0" fontId="73" fillId="35" borderId="0" xfId="0" applyFont="1" applyFill="1" applyNumberFormat="1">
      <alignment horizontal="right" vertical="center"/>
    </xf>
    <xf numFmtId="0" fontId="22" fillId="35" borderId="0" xfId="0" applyFont="1" applyFill="1" applyNumberFormat="1">
      <alignment vertical="center" wrapText="1"/>
    </xf>
    <xf numFmtId="0" fontId="48" fillId="35" borderId="0" xfId="0" applyFont="1" applyFill="1" applyNumberFormat="1">
      <alignment vertical="center" wrapText="1"/>
    </xf>
    <xf numFmtId="0" fontId="22" fillId="35" borderId="0" xfId="0" applyFont="1" applyFill="1" applyNumberFormat="1">
      <alignment horizontal="center" vertical="center" wrapText="1"/>
    </xf>
    <xf numFmtId="0" fontId="93" fillId="35" borderId="0" xfId="0" applyFont="1" applyFill="1" applyNumberFormat="1">
      <alignment horizontal="left" vertical="center"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0" fillId="35" borderId="12" xfId="0" applyFont="1" applyFill="1" applyBorder="1" applyNumberFormat="1">
      <alignment horizontal="center" vertical="center" wrapText="1"/>
    </xf>
    <xf numFmtId="0" fontId="22" fillId="35" borderId="12" xfId="0" applyFont="1" applyFill="1" applyBorder="1" applyNumberFormat="1">
      <alignment horizontal="center" vertical="center" wrapText="1"/>
    </xf>
    <xf numFmtId="0" fontId="36" fillId="35" borderId="0" xfId="0" applyFont="1" applyFill="1" applyNumberFormat="1">
      <alignment horizontal="center" vertical="center"/>
    </xf>
    <xf numFmtId="49" fontId="48" fillId="0" borderId="12" xfId="0" applyFont="1" applyBorder="1" applyNumberFormat="1">
      <alignment horizontal="center" vertical="center"/>
    </xf>
    <xf numFmtId="0" fontId="48" fillId="0" borderId="12" xfId="0" applyFont="1" applyBorder="1" applyNumberFormat="1">
      <alignment vertical="center" wrapText="1"/>
    </xf>
    <xf numFmtId="0" fontId="48" fillId="0" borderId="12" xfId="0" applyFont="1" applyBorder="1" applyNumberFormat="1">
      <alignment horizontal="left" vertical="center" wrapText="1"/>
    </xf>
    <xf numFmtId="0" fontId="65" fillId="35" borderId="0" xfId="0" applyFont="1" applyFill="1" applyNumberFormat="1"/>
    <xf numFmtId="49" fontId="0" fillId="35" borderId="12" xfId="0" applyFont="1" applyFill="1" applyBorder="1" applyNumberFormat="1">
      <alignment horizontal="center" vertical="center"/>
    </xf>
    <xf numFmtId="0" fontId="0" fillId="35" borderId="12" xfId="0" applyFont="1" applyFill="1" applyBorder="1" applyNumberFormat="1">
      <alignment vertical="center" wrapText="1"/>
    </xf>
    <xf numFmtId="0" fontId="0" fillId="0" borderId="12" xfId="0" applyFont="1" applyBorder="1" applyNumberFormat="1">
      <alignment horizontal="center" vertical="center" wrapText="1"/>
    </xf>
    <xf numFmtId="0" fontId="22" fillId="35" borderId="12" xfId="0" applyFont="1" applyFill="1" applyBorder="1" applyNumberFormat="1">
      <alignment vertical="center" wrapText="1"/>
    </xf>
    <xf numFmtId="0" fontId="0" fillId="35" borderId="12" xfId="0" applyFont="1" applyFill="1" applyBorder="1" applyNumberFormat="1">
      <alignment horizontal="left" vertical="center" wrapText="1" indent="1"/>
    </xf>
    <xf numFmtId="49" fontId="0" fillId="39" borderId="12" xfId="0" applyFont="1" applyFill="1" applyBorder="1" applyNumberFormat="1">
      <alignment horizontal="left" vertical="center" wrapText="1"/>
      <protection locked="0"/>
    </xf>
    <xf numFmtId="0" fontId="48" fillId="0" borderId="12" xfId="0" applyFont="1" applyBorder="1" applyNumberFormat="1">
      <alignment horizontal="left" vertical="center" wrapText="1" indent="1"/>
    </xf>
    <xf numFmtId="49" fontId="22" fillId="35" borderId="0" xfId="0" applyFont="1" applyFill="1" applyNumberFormat="1">
      <alignment horizontal="center" vertical="center" wrapText="1"/>
    </xf>
    <xf numFmtId="0" fontId="22" fillId="35" borderId="24" xfId="0" applyFont="1" applyFill="1" applyBorder="1" applyNumberFormat="1">
      <alignment horizontal="center" vertical="center" wrapText="1"/>
    </xf>
    <xf numFmtId="0" fontId="90" fillId="0" borderId="0" xfId="0" applyFont="1" applyNumberFormat="1">
      <alignment vertical="center" wrapText="1"/>
    </xf>
    <xf numFmtId="0" fontId="0" fillId="35" borderId="12" xfId="0" applyFont="1" applyFill="1" applyBorder="1" applyNumberFormat="1">
      <alignment horizontal="center" vertical="center"/>
    </xf>
    <xf numFmtId="0" fontId="0" fillId="35" borderId="12" xfId="0" applyFont="1" applyFill="1" applyBorder="1" applyNumberFormat="1">
      <alignment horizontal="left" vertical="center" wrapText="1" indent="2"/>
    </xf>
    <xf numFmtId="49" fontId="0" fillId="0" borderId="12" xfId="0" applyFont="1" applyBorder="1" applyNumberFormat="1">
      <alignment horizontal="left" vertical="center" wrapText="1"/>
    </xf>
    <xf numFmtId="49" fontId="22" fillId="35" borderId="0" xfId="0" applyFont="1" applyFill="1" applyNumberFormat="1">
      <alignment vertical="center" wrapText="1"/>
    </xf>
    <xf numFmtId="0" fontId="22" fillId="35" borderId="24" xfId="0" applyFont="1" applyFill="1" applyBorder="1" applyNumberFormat="1">
      <alignment vertical="center" wrapText="1"/>
    </xf>
    <xf numFmtId="0" fontId="22" fillId="37" borderId="14" xfId="0" applyFont="1" applyFill="1" applyBorder="1" applyNumberFormat="1">
      <alignment horizontal="center"/>
    </xf>
    <xf numFmtId="49" fontId="40" fillId="37" borderId="15" xfId="0" applyFont="1" applyFill="1" applyBorder="1" applyNumberFormat="1">
      <alignment horizontal="left" vertical="center" indent="1"/>
    </xf>
    <xf numFmtId="0" fontId="73" fillId="37" borderId="15" xfId="0" applyFont="1" applyFill="1" applyBorder="1" applyNumberFormat="1">
      <alignment horizontal="left" vertical="center"/>
    </xf>
    <xf numFmtId="0" fontId="73" fillId="37" borderId="13" xfId="0" applyFont="1" applyFill="1" applyBorder="1" applyNumberFormat="1">
      <alignment horizontal="left" vertical="center"/>
    </xf>
    <xf numFmtId="0" fontId="48" fillId="35" borderId="0" xfId="0" applyFont="1" applyFill="1" applyNumberFormat="1"/>
    <xf numFmtId="49" fontId="48" fillId="35" borderId="12" xfId="0" applyFont="1" applyFill="1" applyBorder="1" applyNumberFormat="1">
      <alignment horizontal="center" vertical="center"/>
    </xf>
    <xf numFmtId="0" fontId="48" fillId="35" borderId="12" xfId="0" applyFont="1" applyFill="1" applyBorder="1" applyNumberFormat="1">
      <alignment vertical="center" wrapText="1"/>
    </xf>
    <xf numFmtId="0" fontId="48" fillId="0" borderId="12" xfId="0" applyFont="1" applyBorder="1" applyNumberFormat="1">
      <alignment horizontal="center" vertical="center" wrapText="1"/>
    </xf>
    <xf numFmtId="0" fontId="48" fillId="35" borderId="12" xfId="0" applyFont="1" applyFill="1" applyBorder="1" applyNumberFormat="1">
      <alignment horizontal="left" vertical="center" wrapText="1" indent="1"/>
    </xf>
    <xf numFmtId="0" fontId="48" fillId="35" borderId="12" xfId="0" applyFont="1" applyFill="1" applyBorder="1" applyNumberFormat="1">
      <alignment horizontal="left" vertical="center" wrapText="1" indent="2"/>
    </xf>
    <xf numFmtId="49" fontId="48" fillId="0" borderId="12" xfId="0" applyFont="1" applyBorder="1" applyNumberFormat="1">
      <alignment horizontal="left" vertical="center" wrapText="1"/>
    </xf>
    <xf numFmtId="49" fontId="48" fillId="0" borderId="12" xfId="0" applyFont="1" applyBorder="1" applyNumberFormat="1">
      <alignment horizontal="left" vertical="center" wrapText="1"/>
    </xf>
    <xf numFmtId="0" fontId="0" fillId="35" borderId="12" xfId="0" applyFont="1" applyFill="1" applyBorder="1" applyNumberFormat="1">
      <alignment horizontal="left" vertical="center" wrapText="1"/>
    </xf>
    <xf numFmtId="49" fontId="0" fillId="36" borderId="12" xfId="0" applyFont="1" applyFill="1" applyBorder="1" applyNumberFormat="1">
      <alignment horizontal="left" vertical="center" wrapText="1"/>
      <protection locked="0"/>
    </xf>
    <xf numFmtId="0" fontId="0" fillId="35" borderId="17" xfId="0" applyFont="1" applyFill="1" applyBorder="1" applyNumberFormat="1">
      <alignment horizontal="left" vertical="center" wrapText="1"/>
    </xf>
    <xf numFmtId="0" fontId="22" fillId="35" borderId="17" xfId="0" applyFont="1" applyFill="1" applyBorder="1" applyNumberFormat="1">
      <alignment horizontal="left" vertical="top" wrapText="1"/>
    </xf>
    <xf numFmtId="49" fontId="0" fillId="0" borderId="12" xfId="0" applyFont="1" applyBorder="1" applyNumberFormat="1">
      <alignment horizontal="left" vertical="center" wrapText="1" indent="1"/>
    </xf>
    <xf numFmtId="0" fontId="22" fillId="35" borderId="36" xfId="0" applyFont="1" applyFill="1" applyBorder="1" applyNumberFormat="1">
      <alignment horizontal="left" vertical="top" wrapText="1"/>
    </xf>
    <xf numFmtId="0" fontId="37" fillId="35" borderId="0" xfId="0" applyFont="1" applyFill="1" applyNumberFormat="1">
      <alignment horizontal="center" vertical="center"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0" fontId="22" fillId="35" borderId="23" xfId="0" applyFont="1" applyFill="1" applyBorder="1" applyNumberFormat="1">
      <alignment horizontal="left" vertical="top" wrapText="1"/>
    </xf>
    <xf numFmtId="0" fontId="52" fillId="35" borderId="0" xfId="0" applyFont="1" applyFill="1" applyNumberFormat="1"/>
    <xf numFmtId="49" fontId="22" fillId="39" borderId="12" xfId="0" applyFont="1" applyFill="1" applyBorder="1" applyNumberFormat="1" quotePrefix="1">
      <alignment horizontal="left" vertical="center" wrapText="1"/>
      <protection locked="0"/>
    </xf>
    <xf numFmtId="49" fontId="22" fillId="36" borderId="12" xfId="0" applyFont="1" applyFill="1" applyBorder="1" applyNumberFormat="1">
      <alignment horizontal="left" vertical="center" wrapText="1"/>
      <protection locked="0"/>
    </xf>
    <xf numFmtId="49" fontId="22" fillId="40" borderId="12"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0" fillId="35" borderId="14" xfId="0" applyFont="1" applyFill="1" applyBorder="1" applyNumberFormat="1">
      <alignment horizontal="left" vertical="center" wrapText="1" indent="1"/>
    </xf>
    <xf numFmtId="49" fontId="22" fillId="40" borderId="14" xfId="0" applyFont="1" applyFill="1" applyBorder="1" applyNumberFormat="1">
      <alignment horizontal="left" vertical="center" wrapText="1"/>
    </xf>
    <xf numFmtId="0" fontId="0" fillId="35" borderId="12" xfId="0" applyFont="1" applyFill="1" applyBorder="1" applyNumberFormat="1">
      <alignment vertical="top" wrapText="1"/>
    </xf>
    <xf numFmtId="49" fontId="22" fillId="35" borderId="0" xfId="0" applyFont="1" applyFill="1" applyNumberFormat="1">
      <alignment horizontal="center" vertical="center" wrapText="1"/>
    </xf>
    <xf numFmtId="0" fontId="0" fillId="35" borderId="14" xfId="0" applyFont="1" applyFill="1" applyBorder="1" applyNumberFormat="1">
      <alignment horizontal="left" vertical="center" wrapText="1"/>
    </xf>
    <xf numFmtId="0" fontId="0" fillId="35" borderId="23" xfId="0" applyFont="1" applyFill="1" applyBorder="1" applyNumberFormat="1">
      <alignment vertical="center" wrapText="1"/>
    </xf>
    <xf numFmtId="0" fontId="76" fillId="35" borderId="0" xfId="0" applyFont="1" applyFill="1" applyNumberFormat="1"/>
    <xf numFmtId="0" fontId="22" fillId="0" borderId="0" xfId="0" applyFont="1" applyNumberFormat="1">
      <alignment vertical="top" wrapText="1"/>
    </xf>
    <xf numFmtId="0" fontId="48" fillId="0" borderId="0" xfId="0" applyFont="1" applyNumberFormat="1">
      <alignment vertical="center" wrapText="1"/>
    </xf>
    <xf numFmtId="0" fontId="45" fillId="0" borderId="0" xfId="0" applyFont="1" applyNumberFormat="1">
      <alignment horizontal="right" vertical="top" wrapText="1"/>
    </xf>
    <xf numFmtId="0" fontId="45" fillId="0" borderId="0" xfId="0" applyFont="1" applyNumberFormat="1">
      <alignment horizontal="left" vertical="top" wrapText="1" indent="1"/>
    </xf>
    <xf numFmtId="0" fontId="45" fillId="0" borderId="0" xfId="0" applyFont="1" applyNumberFormat="1">
      <alignment vertical="center" wrapText="1"/>
    </xf>
    <xf numFmtId="0" fontId="76" fillId="35" borderId="0" xfId="0" applyFont="1" applyFill="1" applyNumberFormat="1"/>
    <xf numFmtId="0" fontId="75" fillId="35" borderId="0" xfId="0" applyFont="1" applyFill="1" applyNumberFormat="1">
      <alignment horizontal="center"/>
    </xf>
    <xf numFmtId="0" fontId="75" fillId="35" borderId="0" xfId="0" applyFont="1" applyFill="1" applyNumberFormat="1"/>
    <xf numFmtId="0" fontId="77" fillId="35" borderId="0" xfId="0" applyFont="1" applyFill="1" applyNumberFormat="1">
      <alignment horizontal="right" vertical="center"/>
    </xf>
    <xf numFmtId="0" fontId="78" fillId="35" borderId="0" xfId="0" applyFont="1" applyFill="1" applyNumberFormat="1">
      <alignment vertical="center"/>
    </xf>
    <xf numFmtId="0" fontId="77" fillId="35" borderId="0" xfId="0" applyFont="1" applyFill="1" applyNumberFormat="1">
      <alignment horizontal="right" vertical="top"/>
    </xf>
    <xf numFmtId="0" fontId="78" fillId="35" borderId="0" xfId="0" applyFont="1" applyFill="1" applyNumberFormat="1">
      <alignment vertical="center" wrapText="1"/>
    </xf>
    <xf numFmtId="0" fontId="0" fillId="35" borderId="0" xfId="0" applyFont="1" applyFill="1" applyNumberFormat="1">
      <alignment horizontal="center"/>
    </xf>
    <xf numFmtId="0" fontId="22" fillId="35" borderId="0" xfId="0" applyFont="1" applyFill="1" applyNumberFormat="1"/>
    <xf numFmtId="0" fontId="0" fillId="35" borderId="0" xfId="0" applyFont="1" applyFill="1" applyNumberFormat="1"/>
    <xf numFmtId="0" fontId="0" fillId="35" borderId="0" xfId="0" applyFont="1" applyFill="1" applyNumberFormat="1">
      <alignment horizontal="center"/>
    </xf>
    <xf numFmtId="0" fontId="47" fillId="0" borderId="0" xfId="0" applyFont="1" applyNumberFormat="1">
      <alignment horizontal="center" vertical="center" wrapText="1"/>
    </xf>
    <xf numFmtId="0" fontId="22" fillId="0" borderId="0" xfId="0" applyFont="1" applyNumberFormat="1">
      <alignment vertical="center" wrapText="1"/>
    </xf>
    <xf numFmtId="0" fontId="88" fillId="0" borderId="0" xfId="0" applyFont="1" applyNumberFormat="1">
      <alignment vertical="center" wrapText="1"/>
    </xf>
    <xf numFmtId="0" fontId="88" fillId="35" borderId="0" xfId="0" applyFont="1" applyFill="1" applyNumberFormat="1">
      <alignment horizontal="center" vertical="center" wrapText="1"/>
    </xf>
    <xf numFmtId="0" fontId="88" fillId="35" borderId="0" xfId="0" applyFont="1" applyFill="1" applyNumberFormat="1">
      <alignment horizontal="right" vertical="center" wrapText="1"/>
    </xf>
    <xf numFmtId="0" fontId="88" fillId="0" borderId="0" xfId="0" applyFont="1" applyNumberFormat="1">
      <alignment vertical="center" wrapText="1"/>
    </xf>
    <xf numFmtId="0" fontId="37" fillId="35" borderId="0" xfId="0" applyFont="1" applyFill="1" applyNumberFormat="1">
      <alignment horizontal="center" vertical="center" wrapText="1"/>
    </xf>
    <xf numFmtId="0" fontId="46" fillId="0" borderId="0" xfId="0" applyFont="1" applyNumberFormat="1">
      <alignment horizontal="left" vertical="center" wrapText="1" indent="3"/>
    </xf>
    <xf numFmtId="0" fontId="64" fillId="0" borderId="0" xfId="0" applyFont="1" applyNumberFormat="1">
      <alignment horizontal="center" vertical="center" wrapText="1"/>
    </xf>
    <xf numFmtId="0" fontId="64" fillId="0" borderId="0" xfId="0" applyFont="1" applyNumberFormat="1">
      <alignment vertical="center" wrapText="1"/>
    </xf>
    <xf numFmtId="0" fontId="32" fillId="0" borderId="0" xfId="0" applyFont="1" applyNumberFormat="1">
      <alignment vertical="center" wrapText="1"/>
    </xf>
    <xf numFmtId="0" fontId="37" fillId="35" borderId="0" xfId="0" applyFont="1" applyFill="1" applyNumberFormat="1">
      <alignment horizontal="center" vertical="center" wrapText="1"/>
    </xf>
    <xf numFmtId="0" fontId="22" fillId="0" borderId="29" xfId="0" applyFont="1" applyBorder="1" applyNumberFormat="1">
      <alignment horizontal="left" vertical="center" wrapText="1" indent="1"/>
    </xf>
    <xf numFmtId="0" fontId="22" fillId="0" borderId="23" xfId="0" applyFont="1" applyBorder="1" applyNumberFormat="1">
      <alignment horizontal="left" vertical="center" wrapText="1" indent="1"/>
    </xf>
    <xf numFmtId="0" fontId="22" fillId="0" borderId="30" xfId="0" applyFont="1" applyBorder="1" applyNumberFormat="1">
      <alignment horizontal="left" vertical="center" wrapText="1" indent="1"/>
    </xf>
    <xf numFmtId="0" fontId="58" fillId="0" borderId="0" xfId="0" applyFont="1" applyNumberFormat="1">
      <alignment vertical="center" wrapText="1"/>
    </xf>
    <xf numFmtId="0" fontId="79" fillId="35" borderId="0" xfId="0" applyFont="1" applyFill="1" applyNumberFormat="1">
      <alignment horizontal="center" vertical="center" wrapText="1"/>
    </xf>
    <xf numFmtId="0" fontId="60" fillId="0" borderId="0" xfId="0" applyFont="1" applyNumberFormat="1">
      <alignment horizontal="left" vertical="center" wrapText="1" indent="1"/>
    </xf>
    <xf numFmtId="0" fontId="22" fillId="0" borderId="0" xfId="0" applyFont="1" applyNumberFormat="1">
      <alignment horizontal="right" vertical="center"/>
    </xf>
    <xf numFmtId="0" fontId="48" fillId="0" borderId="0" xfId="0" applyFont="1" applyNumberFormat="1">
      <alignment vertical="center" wrapText="1"/>
    </xf>
    <xf numFmtId="0" fontId="60" fillId="0" borderId="0" xfId="0" applyFont="1" applyNumberFormat="1">
      <alignment vertical="center" wrapText="1"/>
    </xf>
    <xf numFmtId="0" fontId="0" fillId="0" borderId="14" xfId="0" applyFont="1" applyBorder="1" applyNumberFormat="1">
      <alignment horizontal="center" vertical="center" wrapText="1"/>
    </xf>
    <xf numFmtId="0" fontId="0" fillId="0" borderId="15" xfId="0" applyFont="1" applyBorder="1" applyNumberFormat="1">
      <alignment horizontal="center" vertical="center" wrapText="1"/>
    </xf>
    <xf numFmtId="0" fontId="0" fillId="0" borderId="13" xfId="0" applyFont="1" applyBorder="1" applyNumberFormat="1">
      <alignment horizontal="center" vertical="center" wrapText="1"/>
    </xf>
    <xf numFmtId="0" fontId="0" fillId="0" borderId="12"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37" xfId="0" applyFont="1" applyBorder="1" applyNumberFormat="1">
      <alignment horizontal="center" vertical="center" wrapText="1"/>
    </xf>
    <xf numFmtId="0" fontId="0" fillId="0" borderId="20" xfId="0" applyFont="1" applyBorder="1" applyNumberFormat="1">
      <alignment horizontal="center" vertical="center" wrapText="1"/>
    </xf>
    <xf numFmtId="0" fontId="0" fillId="0" borderId="20"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30" xfId="0" applyFont="1" applyBorder="1" applyNumberFormat="1">
      <alignment horizontal="center" vertical="center" wrapText="1"/>
    </xf>
    <xf numFmtId="0" fontId="0" fillId="0" borderId="12" xfId="0" applyFont="1" applyBorder="1" applyNumberFormat="1">
      <alignment horizontal="center" vertical="center" wrapText="1"/>
    </xf>
    <xf numFmtId="0" fontId="0" fillId="0" borderId="14" xfId="0" applyFont="1" applyBorder="1" applyNumberFormat="1">
      <alignment horizontal="center" vertical="center" wrapText="1"/>
    </xf>
    <xf numFmtId="0" fontId="0" fillId="0" borderId="29" xfId="0" applyFont="1" applyBorder="1" applyNumberFormat="1">
      <alignment horizontal="center" vertical="center" wrapText="1"/>
    </xf>
    <xf numFmtId="0" fontId="0" fillId="0" borderId="29"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23" xfId="0" applyFont="1" applyBorder="1" applyNumberFormat="1">
      <alignment horizontal="center" vertical="center" wrapText="1"/>
    </xf>
    <xf numFmtId="0" fontId="36" fillId="35" borderId="0" xfId="0" applyFont="1" applyFill="1" applyNumberFormat="1">
      <alignment horizontal="center" vertical="center" wrapText="1"/>
    </xf>
    <xf numFmtId="49" fontId="36" fillId="35" borderId="0" xfId="0" applyFont="1" applyFill="1" applyNumberFormat="1">
      <alignment horizontal="center" vertical="center" wrapText="1"/>
    </xf>
    <xf numFmtId="0" fontId="72" fillId="0" borderId="0" xfId="0" applyFont="1" applyNumberFormat="1">
      <alignment vertical="center" wrapText="1"/>
    </xf>
    <xf numFmtId="0" fontId="80" fillId="35" borderId="0" xfId="0" applyFont="1" applyFill="1" applyNumberFormat="1">
      <alignment horizontal="center" vertical="center" wrapText="1"/>
    </xf>
    <xf numFmtId="49" fontId="72" fillId="0" borderId="17" xfId="0" applyFont="1" applyBorder="1" applyNumberFormat="1">
      <alignment horizontal="left" vertical="center" wrapText="1"/>
    </xf>
    <xf numFmtId="49" fontId="72" fillId="0" borderId="12" xfId="0" applyFont="1" applyBorder="1" applyNumberFormat="1">
      <alignment horizontal="left" vertical="center" wrapText="1"/>
    </xf>
    <xf numFmtId="49" fontId="0" fillId="0" borderId="12" xfId="0" applyFont="1" applyBorder="1" applyNumberFormat="1">
      <alignment vertical="top" wrapText="1"/>
    </xf>
    <xf numFmtId="49" fontId="0" fillId="0" borderId="12" xfId="0" applyFont="1" applyBorder="1" applyNumberFormat="1">
      <alignment horizontal="center" vertical="center" wrapText="1"/>
    </xf>
    <xf numFmtId="49" fontId="0" fillId="36" borderId="12" xfId="0" applyFont="1" applyFill="1" applyBorder="1" applyNumberFormat="1">
      <alignment horizontal="left" vertical="center" wrapText="1"/>
      <protection locked="0"/>
    </xf>
    <xf numFmtId="0" fontId="22" fillId="40" borderId="14" xfId="0" applyFont="1" applyFill="1" applyBorder="1" applyNumberFormat="1">
      <alignment horizontal="left" vertical="center" wrapText="1"/>
    </xf>
    <xf numFmtId="49" fontId="36" fillId="35" borderId="12" xfId="0" applyFont="1" applyFill="1" applyBorder="1" applyNumberFormat="1">
      <alignment horizontal="center" vertical="center" wrapText="1"/>
    </xf>
    <xf numFmtId="4" fontId="0" fillId="39" borderId="12" xfId="0" applyFont="1" applyFill="1" applyBorder="1" applyNumberFormat="1">
      <alignment horizontal="right" vertical="center" wrapText="1"/>
      <protection locked="0"/>
    </xf>
    <xf numFmtId="3" fontId="0" fillId="39" borderId="12" xfId="0" applyFont="1" applyFill="1" applyBorder="1" applyNumberFormat="1">
      <alignment horizontal="right" vertical="center" wrapText="1"/>
      <protection locked="0"/>
    </xf>
    <xf numFmtId="4" fontId="0" fillId="39" borderId="13" xfId="0" applyFont="1" applyFill="1" applyBorder="1" applyNumberFormat="1">
      <alignment horizontal="right" vertical="center" wrapText="1"/>
      <protection locked="0"/>
    </xf>
    <xf numFmtId="0" fontId="0" fillId="36" borderId="12" xfId="0" applyFont="1" applyFill="1" applyBorder="1" applyNumberFormat="1">
      <alignment horizontal="right" vertical="center" wrapText="1"/>
      <protection locked="0"/>
    </xf>
    <xf numFmtId="3" fontId="0" fillId="0" borderId="13" xfId="0" applyFont="1" applyBorder="1" applyNumberFormat="1">
      <alignment horizontal="right" vertical="center" wrapText="1"/>
    </xf>
    <xf numFmtId="0" fontId="0" fillId="0" borderId="17" xfId="0" applyFont="1" applyBorder="1" applyNumberFormat="1">
      <alignment horizontal="left" vertical="top" wrapText="1"/>
    </xf>
    <xf numFmtId="49" fontId="50" fillId="37" borderId="14" xfId="0" applyFont="1" applyFill="1" applyBorder="1" applyNumberFormat="1">
      <alignment horizontal="center" vertical="center"/>
    </xf>
    <xf numFmtId="0" fontId="40" fillId="37" borderId="15" xfId="0" applyFont="1" applyFill="1" applyBorder="1" applyNumberFormat="1">
      <alignment vertical="center"/>
    </xf>
    <xf numFmtId="49" fontId="40" fillId="37" borderId="15" xfId="0" applyFont="1" applyFill="1" applyBorder="1" applyNumberFormat="1">
      <alignment vertical="center"/>
    </xf>
    <xf numFmtId="49" fontId="73" fillId="37" borderId="15" xfId="0" applyFont="1" applyFill="1" applyBorder="1" applyNumberFormat="1">
      <alignment vertical="center"/>
    </xf>
    <xf numFmtId="49" fontId="73" fillId="37" borderId="13" xfId="0" applyFont="1" applyFill="1" applyBorder="1" applyNumberFormat="1">
      <alignment vertical="center"/>
    </xf>
    <xf numFmtId="0" fontId="0" fillId="0" borderId="23" xfId="0" applyFont="1" applyBorder="1" applyNumberFormat="1">
      <alignment horizontal="left" vertical="top" wrapText="1"/>
    </xf>
    <xf numFmtId="0" fontId="32" fillId="0" borderId="0" xfId="0" applyFont="1" applyNumberFormat="1">
      <alignment vertical="center" wrapText="1"/>
    </xf>
    <xf numFmtId="0" fontId="37" fillId="0" borderId="0" xfId="0" applyFont="1" applyNumberFormat="1">
      <alignment horizontal="center" vertical="center" wrapText="1"/>
    </xf>
    <xf numFmtId="0" fontId="22" fillId="0" borderId="0" xfId="0" applyFont="1" applyNumberFormat="1">
      <alignment vertical="center" wrapText="1"/>
    </xf>
    <xf numFmtId="0" fontId="42" fillId="0" borderId="0" xfId="0" applyFont="1" applyNumberFormat="1">
      <alignment vertical="center" wrapText="1"/>
    </xf>
    <xf numFmtId="0" fontId="22" fillId="0" borderId="0" xfId="0" applyFont="1" applyNumberFormat="1">
      <alignment vertical="center" wrapText="1"/>
    </xf>
    <xf numFmtId="0" fontId="37" fillId="35" borderId="0" xfId="0" applyFont="1" applyFill="1" applyNumberFormat="1">
      <alignment horizontal="center" vertical="center" wrapText="1"/>
    </xf>
    <xf numFmtId="49" fontId="0" fillId="0" borderId="37" xfId="0" applyFont="1" applyBorder="1" applyNumberFormat="1">
      <alignment horizontal="center" vertical="center" wrapText="1"/>
    </xf>
    <xf numFmtId="0" fontId="22" fillId="40" borderId="19" xfId="0" applyFont="1" applyFill="1" applyBorder="1" applyNumberFormat="1">
      <alignment horizontal="left" vertical="center" wrapText="1"/>
    </xf>
    <xf numFmtId="0" fontId="37" fillId="35"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49" fontId="22" fillId="39" borderId="12" xfId="0" applyFont="1" applyFill="1" applyBorder="1" applyNumberFormat="1">
      <alignment horizontal="left" vertical="center" wrapText="1"/>
      <protection locked="0"/>
    </xf>
    <xf numFmtId="3" fontId="22" fillId="39" borderId="12" xfId="0" applyFont="1" applyFill="1" applyBorder="1" applyNumberFormat="1">
      <alignment horizontal="right" vertical="center" wrapText="1"/>
      <protection locked="0"/>
    </xf>
    <xf numFmtId="0" fontId="48" fillId="0" borderId="0" xfId="0" applyFont="1" applyNumberFormat="1">
      <alignment vertical="center" wrapText="1"/>
    </xf>
    <xf numFmtId="0" fontId="48" fillId="0" borderId="0" xfId="0" applyFont="1" applyNumberFormat="1">
      <alignment vertical="center"/>
    </xf>
    <xf numFmtId="0" fontId="22" fillId="0" borderId="0" xfId="0" applyFont="1" applyNumberFormat="1">
      <alignment vertical="center" wrapText="1"/>
    </xf>
    <xf numFmtId="49" fontId="0" fillId="0" borderId="30" xfId="0" applyFont="1" applyBorder="1" applyNumberFormat="1">
      <alignment horizontal="center" vertical="center" wrapText="1"/>
    </xf>
    <xf numFmtId="0" fontId="22" fillId="40" borderId="27" xfId="0" applyFont="1" applyFill="1" applyBorder="1" applyNumberFormat="1">
      <alignment horizontal="left" vertical="center" wrapText="1"/>
    </xf>
    <xf numFmtId="0" fontId="48" fillId="0" borderId="0" xfId="0" applyFont="1" applyNumberFormat="1">
      <alignment vertical="center" wrapText="1"/>
    </xf>
    <xf numFmtId="0" fontId="88" fillId="0" borderId="0" xfId="0" applyFont="1" applyNumberFormat="1">
      <alignment vertical="center" wrapText="1"/>
    </xf>
    <xf numFmtId="0" fontId="37" fillId="35" borderId="0" xfId="0" applyFont="1" applyFill="1" applyNumberFormat="1">
      <alignment horizontal="center" vertical="center" wrapText="1"/>
    </xf>
    <xf numFmtId="0" fontId="22" fillId="0" borderId="19" xfId="0" applyFont="1" applyBorder="1" applyNumberFormat="1">
      <alignment horizontal="left" vertical="top" wrapText="1" indent="1"/>
    </xf>
    <xf numFmtId="0" fontId="64" fillId="0" borderId="0" xfId="0" applyFont="1" applyNumberFormat="1">
      <alignment vertical="center" wrapText="1"/>
    </xf>
    <xf numFmtId="0" fontId="58" fillId="0" borderId="0" xfId="0" applyFont="1" applyNumberFormat="1">
      <alignment vertical="center" wrapText="1"/>
    </xf>
    <xf numFmtId="0" fontId="60" fillId="0" borderId="0" xfId="0" applyFont="1" applyNumberFormat="1">
      <alignment vertical="center" wrapText="1"/>
    </xf>
    <xf numFmtId="0" fontId="22" fillId="0" borderId="23" xfId="0" applyFont="1" applyBorder="1" applyNumberFormat="1">
      <alignment horizontal="center" vertical="center" wrapText="1"/>
    </xf>
    <xf numFmtId="0" fontId="37" fillId="35"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0" fontId="32" fillId="0" borderId="0" xfId="0" applyFont="1" applyNumberFormat="1">
      <alignment vertical="center" wrapText="1"/>
    </xf>
    <xf numFmtId="0" fontId="60" fillId="35" borderId="0" xfId="0" applyFont="1" applyFill="1" applyNumberFormat="1">
      <alignment vertical="center" wrapText="1"/>
    </xf>
    <xf numFmtId="0" fontId="60" fillId="35" borderId="0" xfId="0" applyFont="1" applyFill="1" applyNumberFormat="1">
      <alignment horizontal="right" vertical="center"/>
    </xf>
    <xf numFmtId="0" fontId="60" fillId="35" borderId="0" xfId="0" applyFont="1" applyFill="1" applyNumberFormat="1">
      <alignment horizontal="right" vertical="center" wrapText="1"/>
    </xf>
    <xf numFmtId="0" fontId="22" fillId="0" borderId="20" xfId="0" applyFont="1" applyBorder="1" applyNumberFormat="1">
      <alignment horizontal="left" vertical="center" wrapText="1" indent="1"/>
    </xf>
    <xf numFmtId="0" fontId="22" fillId="0" borderId="17" xfId="0" applyFont="1" applyBorder="1" applyNumberFormat="1">
      <alignment horizontal="left" vertical="center" wrapText="1" indent="1"/>
    </xf>
    <xf numFmtId="0" fontId="22" fillId="0" borderId="37" xfId="0" applyFont="1" applyBorder="1" applyNumberFormat="1">
      <alignment horizontal="left" vertical="center" wrapText="1" indent="1"/>
    </xf>
    <xf numFmtId="0" fontId="46" fillId="0" borderId="0" xfId="0" applyFont="1" applyNumberFormat="1">
      <alignment horizontal="center" vertical="center" wrapText="1"/>
    </xf>
    <xf numFmtId="4" fontId="60" fillId="0" borderId="0" xfId="0" applyFont="1" applyNumberFormat="1">
      <alignment horizontal="right" vertical="center" wrapText="1"/>
    </xf>
    <xf numFmtId="0" fontId="22" fillId="35" borderId="12" xfId="0" applyFont="1" applyFill="1" applyBorder="1" applyNumberFormat="1">
      <alignment horizontal="center" vertical="center" wrapText="1"/>
    </xf>
    <xf numFmtId="0" fontId="22" fillId="35" borderId="12" xfId="0" applyFont="1" applyFill="1" applyBorder="1" applyNumberFormat="1">
      <alignment horizontal="center" vertical="center" wrapText="1"/>
    </xf>
    <xf numFmtId="0" fontId="22" fillId="0" borderId="12" xfId="0" applyFont="1" applyBorder="1" applyNumberFormat="1">
      <alignment horizontal="center" vertical="center" wrapText="1"/>
    </xf>
    <xf numFmtId="0" fontId="0" fillId="0" borderId="12" xfId="0" applyFont="1" applyBorder="1" applyNumberFormat="1">
      <alignment horizontal="center" vertical="center" wrapText="1"/>
    </xf>
    <xf numFmtId="49" fontId="36" fillId="35" borderId="15" xfId="0" applyFont="1" applyFill="1" applyBorder="1" applyNumberFormat="1">
      <alignment horizontal="center" vertical="center" wrapText="1"/>
    </xf>
    <xf numFmtId="49" fontId="36" fillId="35" borderId="15" xfId="0" applyFont="1" applyFill="1" applyBorder="1" applyNumberFormat="1">
      <alignment horizontal="center" vertical="center" wrapText="1"/>
    </xf>
    <xf numFmtId="0" fontId="37" fillId="35" borderId="0" xfId="0" applyFont="1" applyFill="1" applyNumberFormat="1">
      <alignment horizontal="center" vertical="center" wrapText="1"/>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49" fontId="22" fillId="0" borderId="12" xfId="0" applyFont="1" applyBorder="1" applyNumberFormat="1">
      <alignment horizontal="left" vertical="center" wrapText="1"/>
    </xf>
    <xf numFmtId="49" fontId="22" fillId="0" borderId="0" xfId="0" applyFont="1" applyNumberFormat="1">
      <alignment vertical="top"/>
    </xf>
    <xf numFmtId="0" fontId="37" fillId="35" borderId="24" xfId="0" applyFont="1" applyFill="1" applyBorder="1" applyNumberFormat="1">
      <alignment vertical="top"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49" fontId="53" fillId="37" borderId="13" xfId="0" applyFont="1" applyFill="1" applyBorder="1" applyNumberFormat="1">
      <alignment horizontal="left" vertical="center" wrapText="1"/>
    </xf>
    <xf numFmtId="0" fontId="0" fillId="0" borderId="36" xfId="0" applyFont="1" applyBorder="1" applyNumberFormat="1">
      <alignment horizontal="left" vertical="top" wrapText="1"/>
    </xf>
    <xf numFmtId="0" fontId="48" fillId="0" borderId="0" xfId="0" applyFont="1" applyNumberFormat="1">
      <alignment horizontal="left" vertical="center" wrapText="1"/>
    </xf>
    <xf numFmtId="49" fontId="48" fillId="0" borderId="0" xfId="0" applyFont="1" applyNumberFormat="1">
      <alignment horizontal="left" vertical="center" wrapText="1"/>
    </xf>
    <xf numFmtId="0" fontId="37" fillId="35" borderId="0" xfId="0" applyFont="1" applyFill="1" applyNumberFormat="1">
      <alignment vertical="top" wrapText="1"/>
    </xf>
    <xf numFmtId="0" fontId="48" fillId="35" borderId="23" xfId="0" applyFont="1" applyFill="1" applyBorder="1" applyNumberFormat="1">
      <alignment horizontal="center" vertical="center" wrapText="1"/>
    </xf>
    <xf numFmtId="14" fontId="22" fillId="40" borderId="23" xfId="0" applyFont="1" applyFill="1" applyBorder="1" applyNumberFormat="1">
      <alignment horizontal="left" vertical="center" wrapText="1"/>
    </xf>
    <xf numFmtId="14" fontId="22" fillId="40" borderId="12" xfId="0" applyFont="1" applyFill="1" applyBorder="1" applyNumberFormat="1">
      <alignment horizontal="center" vertical="center" wrapText="1"/>
    </xf>
    <xf numFmtId="49" fontId="53" fillId="39" borderId="12" xfId="0" applyFont="1" applyFill="1" applyBorder="1" applyNumberFormat="1">
      <alignment horizontal="left" vertical="center" wrapText="1"/>
      <protection locked="0"/>
    </xf>
    <xf numFmtId="49" fontId="50" fillId="37" borderId="15" xfId="0" applyFont="1" applyFill="1" applyBorder="1" applyNumberFormat="1">
      <alignment horizontal="center" vertical="center"/>
    </xf>
    <xf numFmtId="49" fontId="73" fillId="37" borderId="15" xfId="0" applyFont="1" applyFill="1" applyBorder="1" applyNumberFormat="1">
      <alignment horizontal="left" vertical="center" indent="1"/>
    </xf>
    <xf numFmtId="49" fontId="73" fillId="37" borderId="13" xfId="0" applyFont="1" applyFill="1" applyBorder="1" applyNumberFormat="1">
      <alignment horizontal="left" vertical="center" indent="1"/>
    </xf>
    <xf numFmtId="0" fontId="79" fillId="0" borderId="0" xfId="0" applyFont="1" applyNumberFormat="1">
      <alignment horizontal="center" vertical="center" wrapText="1"/>
    </xf>
    <xf numFmtId="0" fontId="45" fillId="0" borderId="0" xfId="0" applyFont="1" applyNumberFormat="1">
      <alignment vertical="top" wrapText="1"/>
    </xf>
    <xf numFmtId="0" fontId="22" fillId="0" borderId="0" xfId="0" applyFont="1" applyNumberFormat="1">
      <alignment horizontal="right" vertical="top" wrapText="1"/>
    </xf>
    <xf numFmtId="0" fontId="45" fillId="0" borderId="0" xfId="0" applyFont="1" applyNumberFormat="1">
      <alignment vertical="top"/>
    </xf>
    <xf numFmtId="0" fontId="22" fillId="0" borderId="0" xfId="0" applyFont="1" applyNumberFormat="1">
      <alignment vertical="center" wrapText="1"/>
    </xf>
    <xf numFmtId="0" fontId="47" fillId="0" borderId="0" xfId="0" applyFont="1" applyNumberFormat="1">
      <alignment horizontal="left" vertical="center" indent="1"/>
    </xf>
    <xf numFmtId="0" fontId="47" fillId="0" borderId="12" xfId="0" applyFont="1" applyBorder="1" applyNumberFormat="1">
      <alignment horizontal="center" vertical="center"/>
    </xf>
    <xf numFmtId="0" fontId="47" fillId="0" borderId="0" xfId="0" applyFont="1" applyNumberFormat="1">
      <alignment horizontal="center" vertical="center"/>
    </xf>
    <xf numFmtId="0" fontId="47" fillId="0" borderId="0" xfId="0" applyFont="1" applyNumberFormat="1">
      <alignment horizontal="left" vertical="center" wrapText="1"/>
    </xf>
    <xf numFmtId="49" fontId="22" fillId="0" borderId="0" xfId="0" applyFont="1" applyNumberFormat="1">
      <alignment vertical="center" wrapText="1"/>
    </xf>
    <xf numFmtId="49" fontId="22" fillId="0" borderId="0" xfId="0" applyFont="1" applyNumberFormat="1">
      <alignment vertical="top"/>
    </xf>
    <xf numFmtId="49" fontId="22" fillId="0" borderId="24" xfId="0" applyFont="1" applyBorder="1" applyNumberFormat="1">
      <alignment vertical="top"/>
    </xf>
    <xf numFmtId="0" fontId="22" fillId="35" borderId="12" xfId="0" applyFont="1" applyFill="1" applyBorder="1" applyNumberFormat="1">
      <alignment horizontal="left" vertical="center" wrapText="1"/>
    </xf>
    <xf numFmtId="0" fontId="22" fillId="0" borderId="12" xfId="0" applyFont="1" applyBorder="1" applyNumberFormat="1">
      <alignment vertical="center" wrapText="1"/>
    </xf>
    <xf numFmtId="0" fontId="22" fillId="0" borderId="12" xfId="0" applyFont="1" applyBorder="1" applyNumberFormat="1">
      <alignment horizontal="left" vertical="center" wrapText="1" indent="6"/>
    </xf>
    <xf numFmtId="0" fontId="22" fillId="34" borderId="14" xfId="0" applyFont="1" applyFill="1" applyBorder="1" applyNumberFormat="1">
      <alignment horizontal="left" vertical="center" wrapText="1"/>
    </xf>
    <xf numFmtId="0" fontId="22" fillId="34" borderId="15" xfId="0" applyFont="1" applyFill="1" applyBorder="1" applyNumberFormat="1">
      <alignment horizontal="left" vertical="center" wrapText="1"/>
    </xf>
    <xf numFmtId="0" fontId="22" fillId="34" borderId="13" xfId="0" applyFont="1" applyFill="1" applyBorder="1" applyNumberFormat="1">
      <alignment horizontal="left" vertical="center" wrapText="1"/>
    </xf>
    <xf numFmtId="0" fontId="45" fillId="0" borderId="12" xfId="0" applyFont="1" applyBorder="1" applyNumberFormat="1">
      <alignment vertical="top" wrapText="1"/>
    </xf>
    <xf numFmtId="0" fontId="47" fillId="0" borderId="14" xfId="0" applyFont="1" applyBorder="1" applyNumberFormat="1">
      <alignment horizontal="center" vertical="center"/>
    </xf>
    <xf numFmtId="0" fontId="22" fillId="0" borderId="0" xfId="0" applyFont="1" applyNumberFormat="1">
      <alignment horizontal="center" vertical="center" wrapText="1"/>
    </xf>
    <xf numFmtId="0" fontId="42" fillId="35" borderId="0" xfId="0" applyFont="1" applyFill="1" applyNumberFormat="1">
      <alignment horizontal="center" vertical="center" wrapText="1"/>
    </xf>
    <xf numFmtId="0" fontId="22" fillId="0" borderId="24" xfId="0" applyFont="1" applyBorder="1" applyNumberFormat="1">
      <alignment vertical="center" wrapText="1"/>
    </xf>
    <xf numFmtId="0" fontId="22" fillId="35" borderId="12" xfId="0" applyFont="1" applyFill="1" applyBorder="1" applyNumberFormat="1">
      <alignment horizontal="left" vertical="center" wrapText="1" indent="1"/>
    </xf>
    <xf numFmtId="0" fontId="37" fillId="0" borderId="0" xfId="0" applyFont="1" applyNumberFormat="1">
      <alignment vertical="center" wrapText="1"/>
    </xf>
    <xf numFmtId="0" fontId="22" fillId="35" borderId="12" xfId="0" applyFont="1" applyFill="1" applyBorder="1" applyNumberFormat="1">
      <alignment horizontal="left" vertical="center" wrapText="1" indent="2"/>
    </xf>
    <xf numFmtId="0" fontId="22" fillId="35" borderId="12" xfId="0" applyFont="1" applyFill="1" applyBorder="1" applyNumberFormat="1">
      <alignment horizontal="left" vertical="center" wrapText="1" indent="3"/>
    </xf>
    <xf numFmtId="0" fontId="47" fillId="0" borderId="12" xfId="0" applyFont="1" applyBorder="1" applyNumberFormat="1">
      <alignment horizontal="center" vertical="center" wrapText="1"/>
    </xf>
    <xf numFmtId="0" fontId="47" fillId="0" borderId="0" xfId="0" applyFont="1" applyNumberFormat="1">
      <alignment vertical="center" wrapText="1"/>
    </xf>
    <xf numFmtId="0" fontId="48" fillId="0" borderId="0" xfId="0" applyFont="1" applyNumberFormat="1">
      <alignment horizontal="center" vertical="center" wrapText="1"/>
    </xf>
    <xf numFmtId="0" fontId="48" fillId="0" borderId="0" xfId="0" applyFont="1" applyNumberFormat="1">
      <alignment horizontal="center" vertical="center" wrapText="1"/>
    </xf>
    <xf numFmtId="0" fontId="48" fillId="0" borderId="24" xfId="0" applyFont="1" applyBorder="1" applyNumberFormat="1">
      <alignment horizontal="center" vertical="center" wrapText="1"/>
    </xf>
    <xf numFmtId="0" fontId="22" fillId="35" borderId="12" xfId="0" applyFont="1" applyFill="1" applyBorder="1" applyNumberFormat="1">
      <alignment horizontal="left" vertical="center" wrapText="1" indent="4"/>
    </xf>
    <xf numFmtId="0" fontId="22" fillId="40" borderId="14" xfId="0" applyFont="1" applyFill="1" applyBorder="1" applyNumberFormat="1">
      <alignment horizontal="left" vertical="center" wrapText="1"/>
    </xf>
    <xf numFmtId="0" fontId="22" fillId="40" borderId="15" xfId="0" applyFont="1" applyFill="1" applyBorder="1" applyNumberFormat="1">
      <alignment horizontal="left" vertical="center" wrapText="1"/>
    </xf>
    <xf numFmtId="0" fontId="22" fillId="40" borderId="13" xfId="0" applyFont="1" applyFill="1" applyBorder="1" applyNumberFormat="1">
      <alignment horizontal="left" vertical="center" wrapText="1"/>
    </xf>
    <xf numFmtId="0" fontId="47" fillId="0" borderId="14" xfId="0" applyFont="1" applyBorder="1" applyNumberFormat="1">
      <alignment horizontal="center" vertical="center" wrapText="1"/>
    </xf>
    <xf numFmtId="0" fontId="47" fillId="0" borderId="0" xfId="0" applyFont="1" applyNumberFormat="1">
      <alignment vertical="center" wrapText="1"/>
    </xf>
    <xf numFmtId="0" fontId="48" fillId="0" borderId="24" xfId="0" applyFont="1" applyBorder="1" applyNumberFormat="1">
      <alignment vertical="center" wrapText="1"/>
    </xf>
    <xf numFmtId="0" fontId="22" fillId="35" borderId="12" xfId="0" applyFont="1" applyFill="1" applyBorder="1" applyNumberFormat="1">
      <alignment horizontal="left" vertical="center" wrapText="1" indent="5"/>
    </xf>
    <xf numFmtId="0" fontId="22" fillId="40" borderId="12" xfId="0" applyFont="1" applyFill="1" applyBorder="1" applyNumberFormat="1">
      <alignment horizontal="left" vertical="center" wrapText="1" indent="6"/>
    </xf>
    <xf numFmtId="4" fontId="22" fillId="36" borderId="12" xfId="0" applyFont="1" applyFill="1" applyBorder="1" applyNumberFormat="1">
      <alignment horizontal="right" vertical="center" wrapText="1"/>
      <protection locked="0"/>
    </xf>
    <xf numFmtId="4" fontId="22" fillId="0" borderId="12" xfId="0" applyFont="1" applyBorder="1" applyNumberFormat="1">
      <alignment horizontal="right" vertical="center" wrapText="1"/>
    </xf>
    <xf numFmtId="502" fontId="22" fillId="36" borderId="12" xfId="0" applyFont="1" applyFill="1" applyBorder="1" applyNumberFormat="1">
      <alignment horizontal="right" vertical="center" wrapText="1"/>
      <protection locked="0"/>
    </xf>
    <xf numFmtId="504" fontId="0" fillId="39" borderId="12" xfId="0" applyFont="1" applyFill="1" applyBorder="1" applyNumberFormat="1">
      <alignment horizontal="center" vertical="center" wrapText="1"/>
      <protection locked="0"/>
    </xf>
    <xf numFmtId="0" fontId="45" fillId="0" borderId="17" xfId="0" applyFont="1" applyBorder="1" applyNumberFormat="1">
      <alignment horizontal="left" vertical="top" wrapText="1"/>
    </xf>
    <xf numFmtId="49" fontId="22" fillId="0" borderId="12" xfId="0" applyFont="1" applyBorder="1" applyNumberFormat="1">
      <alignment horizontal="left" vertical="center" wrapText="1"/>
    </xf>
    <xf numFmtId="4" fontId="48" fillId="0" borderId="12" xfId="0" applyFont="1" applyBorder="1" applyNumberFormat="1">
      <alignment horizontal="center" vertical="center" wrapText="1"/>
    </xf>
    <xf numFmtId="49" fontId="0" fillId="39" borderId="12" xfId="0" applyFont="1" applyFill="1" applyBorder="1" applyNumberFormat="1">
      <alignment horizontal="center" vertical="center" wrapText="1"/>
      <protection locked="0"/>
    </xf>
    <xf numFmtId="0" fontId="45" fillId="0" borderId="36" xfId="0" applyFont="1" applyBorder="1" applyNumberFormat="1">
      <alignment horizontal="left" vertical="top" wrapText="1"/>
    </xf>
    <xf numFmtId="49" fontId="73" fillId="37" borderId="14" xfId="0" applyFont="1" applyFill="1" applyBorder="1" applyNumberFormat="1">
      <alignment horizontal="left" vertical="center"/>
    </xf>
    <xf numFmtId="49" fontId="40" fillId="37" borderId="15" xfId="0" applyFont="1" applyFill="1" applyBorder="1" applyNumberFormat="1">
      <alignment horizontal="left" vertical="center" indent="6"/>
    </xf>
    <xf numFmtId="49" fontId="22" fillId="37" borderId="13" xfId="0" applyFont="1" applyFill="1" applyBorder="1" applyNumberFormat="1">
      <alignment horizontal="center" vertical="center" wrapText="1"/>
    </xf>
    <xf numFmtId="0" fontId="45" fillId="0" borderId="23" xfId="0" applyFont="1" applyBorder="1" applyNumberFormat="1">
      <alignment horizontal="left" vertical="top" wrapText="1"/>
    </xf>
    <xf numFmtId="49" fontId="40" fillId="37" borderId="15" xfId="0" applyFont="1" applyFill="1" applyBorder="1" applyNumberFormat="1">
      <alignment horizontal="left" vertical="center" indent="5"/>
    </xf>
    <xf numFmtId="49" fontId="0" fillId="37" borderId="15" xfId="0" applyFont="1" applyFill="1" applyBorder="1" applyNumberFormat="1">
      <alignment horizontal="center" vertical="center" wrapText="1"/>
    </xf>
    <xf numFmtId="49" fontId="0" fillId="37" borderId="13" xfId="0" applyFont="1" applyFill="1" applyBorder="1" applyNumberFormat="1">
      <alignment horizontal="center" vertical="center" wrapText="1"/>
    </xf>
    <xf numFmtId="49" fontId="39" fillId="0" borderId="0" xfId="0" applyFont="1" applyNumberFormat="1">
      <alignment vertical="top"/>
    </xf>
    <xf numFmtId="49" fontId="40" fillId="37" borderId="15" xfId="0" applyFont="1" applyFill="1" applyBorder="1" applyNumberFormat="1">
      <alignment horizontal="left" vertical="center" indent="4"/>
    </xf>
    <xf numFmtId="0" fontId="48" fillId="0" borderId="0" xfId="0" applyFont="1" applyNumberFormat="1">
      <alignment horizontal="left" vertical="center" indent="1"/>
    </xf>
    <xf numFmtId="0" fontId="48" fillId="0" borderId="0" xfId="0" applyFont="1" applyNumberFormat="1">
      <alignment horizontal="center" vertical="center"/>
    </xf>
    <xf numFmtId="0" fontId="48" fillId="0" borderId="0" xfId="0" applyFont="1" applyNumberFormat="1">
      <alignment horizontal="left" vertical="center" wrapText="1"/>
    </xf>
    <xf numFmtId="49" fontId="48" fillId="0" borderId="0" xfId="0" applyFont="1" applyNumberFormat="1">
      <alignment vertical="top"/>
    </xf>
    <xf numFmtId="49" fontId="107" fillId="0" borderId="0" xfId="0" applyFont="1" applyNumberFormat="1">
      <alignment vertical="top"/>
    </xf>
    <xf numFmtId="49" fontId="97" fillId="0" borderId="19" xfId="0" applyFont="1" applyBorder="1" applyNumberFormat="1">
      <alignment horizontal="left" vertical="center"/>
    </xf>
    <xf numFmtId="49" fontId="48" fillId="0" borderId="19" xfId="0" applyFont="1" applyBorder="1" applyNumberFormat="1">
      <alignment horizontal="left" vertical="center" indent="3"/>
    </xf>
    <xf numFmtId="49" fontId="48" fillId="0" borderId="19" xfId="0" applyFont="1" applyBorder="1" applyNumberFormat="1">
      <alignment horizontal="center" vertical="center" wrapText="1"/>
    </xf>
    <xf numFmtId="0" fontId="48" fillId="0" borderId="0" xfId="0" applyFont="1" applyNumberFormat="1">
      <alignment vertical="center" wrapText="1"/>
    </xf>
    <xf numFmtId="49" fontId="48" fillId="0" borderId="0" xfId="0" applyFont="1" applyNumberFormat="1">
      <alignment horizontal="left" vertical="center"/>
    </xf>
    <xf numFmtId="49" fontId="97" fillId="0" borderId="0" xfId="0" applyFont="1" applyNumberFormat="1">
      <alignment horizontal="left" vertical="center"/>
    </xf>
    <xf numFmtId="49" fontId="48" fillId="0" borderId="0" xfId="0" applyFont="1" applyNumberFormat="1">
      <alignment horizontal="left" vertical="center" indent="2"/>
    </xf>
    <xf numFmtId="49" fontId="48" fillId="0" borderId="0" xfId="0" applyFont="1" applyNumberFormat="1">
      <alignment horizontal="center" vertical="center" wrapText="1"/>
    </xf>
    <xf numFmtId="49" fontId="48" fillId="0" borderId="0" xfId="0" applyFont="1" applyNumberFormat="1">
      <alignment horizontal="left" vertical="center" indent="1"/>
    </xf>
    <xf numFmtId="49" fontId="22" fillId="0" borderId="0" xfId="0" applyFont="1" applyNumberFormat="1">
      <alignment vertical="center" wrapText="1"/>
    </xf>
    <xf numFmtId="4" fontId="47" fillId="0" borderId="12" xfId="0" applyFont="1" applyBorder="1" applyNumberFormat="1">
      <alignment horizontal="right" vertical="center" wrapText="1"/>
    </xf>
    <xf numFmtId="502" fontId="47" fillId="0" borderId="12" xfId="0" applyFont="1" applyBorder="1" applyNumberFormat="1">
      <alignment horizontal="right" vertical="center" wrapText="1"/>
    </xf>
    <xf numFmtId="504" fontId="47" fillId="0" borderId="12" xfId="0" applyFont="1" applyBorder="1" applyNumberFormat="1">
      <alignment horizontal="center" vertical="center" wrapText="1"/>
    </xf>
    <xf numFmtId="49" fontId="47" fillId="0" borderId="12" xfId="0" applyFont="1" applyBorder="1" applyNumberFormat="1">
      <alignment horizontal="center" vertical="center" wrapText="1"/>
    </xf>
    <xf numFmtId="0" fontId="47" fillId="0" borderId="0" xfId="0" applyFont="1" applyNumberFormat="1">
      <alignment horizontal="center" vertical="center" wrapText="1"/>
    </xf>
    <xf numFmtId="49" fontId="47" fillId="0" borderId="0" xfId="0" applyFont="1" applyNumberFormat="1">
      <alignment vertical="center" wrapText="1"/>
    </xf>
    <xf numFmtId="49" fontId="47" fillId="0" borderId="12" xfId="0" applyFont="1" applyBorder="1" applyNumberFormat="1">
      <alignment vertical="center" wrapText="1"/>
    </xf>
    <xf numFmtId="0" fontId="69" fillId="0" borderId="0" xfId="0" applyFont="1" applyNumberFormat="1">
      <alignment vertical="center" wrapText="1"/>
    </xf>
    <xf numFmtId="0" fontId="47" fillId="0" borderId="0" xfId="0" applyFont="1" applyNumberFormat="1">
      <alignment horizontal="left" vertical="center" wrapText="1"/>
    </xf>
    <xf numFmtId="0" fontId="47" fillId="0" borderId="0" xfId="0" applyFont="1" applyNumberFormat="1">
      <alignment vertical="center" wrapText="1"/>
    </xf>
    <xf numFmtId="0" fontId="39" fillId="35" borderId="0" xfId="0" applyFont="1" applyFill="1" applyNumberFormat="1">
      <alignment vertical="center" wrapText="1"/>
    </xf>
    <xf numFmtId="0" fontId="22" fillId="35" borderId="0" xfId="0" applyFont="1" applyFill="1" applyNumberFormat="1">
      <alignment horizontal="left" vertical="center" wrapText="1"/>
    </xf>
    <xf numFmtId="0" fontId="22" fillId="35" borderId="0" xfId="0" applyFont="1" applyFill="1" applyNumberFormat="1">
      <alignment vertical="center" wrapText="1"/>
    </xf>
    <xf numFmtId="0" fontId="22" fillId="0" borderId="19" xfId="0" applyFont="1" applyBorder="1" applyNumberFormat="1">
      <alignment horizontal="left" vertical="top" wrapText="1" indent="1"/>
    </xf>
    <xf numFmtId="0" fontId="46" fillId="0" borderId="0" xfId="0" applyFont="1" applyNumberFormat="1">
      <alignment vertical="center" wrapText="1"/>
    </xf>
    <xf numFmtId="0" fontId="22" fillId="0" borderId="27" xfId="0" applyFont="1" applyBorder="1" applyNumberFormat="1">
      <alignment horizontal="left" vertical="center" wrapText="1" indent="1"/>
    </xf>
    <xf numFmtId="0" fontId="50" fillId="35" borderId="0" xfId="0" applyFont="1" applyFill="1" applyNumberFormat="1">
      <alignment horizontal="center" vertical="center" wrapText="1"/>
    </xf>
    <xf numFmtId="0" fontId="47" fillId="0" borderId="0" xfId="0" applyFont="1" applyNumberFormat="1">
      <alignment vertical="center"/>
    </xf>
    <xf numFmtId="0" fontId="47" fillId="0" borderId="0" xfId="0" applyFont="1" applyNumberFormat="1">
      <alignment horizontal="center" vertical="center"/>
    </xf>
    <xf numFmtId="0" fontId="0" fillId="35" borderId="12" xfId="0" applyFont="1" applyFill="1" applyBorder="1" applyNumberFormat="1">
      <alignment horizontal="right" vertical="center" wrapText="1" indent="1"/>
    </xf>
    <xf numFmtId="0" fontId="0" fillId="0" borderId="15" xfId="0" applyFont="1" applyBorder="1" applyNumberFormat="1">
      <alignment vertical="center"/>
    </xf>
    <xf numFmtId="0" fontId="22" fillId="34" borderId="12" xfId="0" applyFont="1" applyFill="1" applyBorder="1" applyNumberFormat="1">
      <alignment horizontal="left" vertical="center" wrapText="1" indent="1"/>
    </xf>
    <xf numFmtId="0" fontId="22" fillId="0" borderId="0" xfId="0" applyFont="1" applyNumberFormat="1">
      <alignment vertical="center" wrapText="1"/>
    </xf>
    <xf numFmtId="0" fontId="68" fillId="0" borderId="0" xfId="0" applyFont="1" applyNumberFormat="1">
      <alignment vertical="center"/>
    </xf>
    <xf numFmtId="0" fontId="48" fillId="0" borderId="0" xfId="0" applyFont="1" applyNumberFormat="1">
      <alignment vertical="center"/>
    </xf>
    <xf numFmtId="0" fontId="0" fillId="0" borderId="0" xfId="0" applyFont="1" applyNumberFormat="1">
      <alignment vertical="center"/>
    </xf>
    <xf numFmtId="504" fontId="22" fillId="34" borderId="12" xfId="0" applyFont="1" applyFill="1" applyBorder="1" applyNumberFormat="1">
      <alignment horizontal="left" vertical="center" wrapText="1" indent="1"/>
    </xf>
    <xf numFmtId="49" fontId="22" fillId="0" borderId="0" xfId="0" applyFont="1" applyNumberFormat="1">
      <alignment vertical="center" wrapText="1"/>
    </xf>
    <xf numFmtId="0" fontId="22" fillId="0" borderId="0" xfId="0" applyFont="1" applyNumberFormat="1">
      <alignment horizontal="right" vertical="center" wrapText="1"/>
    </xf>
    <xf numFmtId="0" fontId="48" fillId="0" borderId="0" xfId="0" applyFont="1" applyNumberFormat="1">
      <alignment vertical="center" wrapText="1"/>
    </xf>
    <xf numFmtId="0" fontId="22" fillId="35" borderId="27" xfId="0" applyFont="1" applyFill="1" applyBorder="1" applyNumberFormat="1">
      <alignment vertical="center" wrapText="1"/>
    </xf>
    <xf numFmtId="0" fontId="37" fillId="0" borderId="27" xfId="0" applyFont="1" applyBorder="1" applyNumberFormat="1">
      <alignment horizontal="center" vertical="center" wrapText="1"/>
    </xf>
    <xf numFmtId="0" fontId="22" fillId="35" borderId="12" xfId="0" applyFont="1" applyFill="1" applyBorder="1" applyNumberFormat="1">
      <alignment horizontal="left" vertical="center" wrapText="1"/>
    </xf>
    <xf numFmtId="0" fontId="22" fillId="0" borderId="17" xfId="0" applyFont="1" applyBorder="1" applyNumberFormat="1">
      <alignment vertical="center" wrapText="1"/>
    </xf>
    <xf numFmtId="0" fontId="0" fillId="35" borderId="14" xfId="0" applyFont="1" applyFill="1" applyBorder="1" applyNumberFormat="1">
      <alignment horizontal="center" vertical="center" wrapText="1"/>
    </xf>
    <xf numFmtId="0" fontId="0" fillId="35" borderId="15" xfId="0" applyFont="1" applyFill="1" applyBorder="1" applyNumberFormat="1">
      <alignment horizontal="center" vertical="center" wrapText="1"/>
    </xf>
    <xf numFmtId="0" fontId="0" fillId="35" borderId="13" xfId="0" applyFont="1" applyFill="1" applyBorder="1" applyNumberFormat="1">
      <alignment horizontal="center" vertical="center" wrapText="1"/>
    </xf>
    <xf numFmtId="0" fontId="22" fillId="35" borderId="17" xfId="0" applyFont="1" applyFill="1" applyBorder="1" applyNumberFormat="1">
      <alignment horizontal="center" vertical="center" wrapText="1"/>
    </xf>
    <xf numFmtId="49" fontId="40" fillId="37" borderId="17" xfId="0" applyFont="1" applyFill="1" applyBorder="1" applyNumberFormat="1">
      <alignment horizontal="center" vertical="center" textRotation="90" wrapText="1"/>
    </xf>
    <xf numFmtId="0" fontId="22" fillId="0" borderId="36" xfId="0" applyFont="1" applyBorder="1" applyNumberFormat="1">
      <alignment vertical="center" wrapText="1"/>
    </xf>
    <xf numFmtId="0" fontId="22" fillId="0" borderId="17" xfId="0" applyFont="1" applyBorder="1" applyNumberFormat="1">
      <alignment horizontal="center" vertical="center" wrapText="1"/>
    </xf>
    <xf numFmtId="0" fontId="47" fillId="0" borderId="17" xfId="0" applyFont="1" applyBorder="1" applyNumberFormat="1">
      <alignment horizontal="center" vertical="center" wrapText="1"/>
    </xf>
    <xf numFmtId="0" fontId="22" fillId="0" borderId="14" xfId="0" applyFont="1" applyBorder="1" applyNumberFormat="1">
      <alignment horizontal="center" vertical="center" wrapText="1"/>
    </xf>
    <xf numFmtId="0" fontId="22" fillId="0" borderId="13" xfId="0" applyFont="1" applyBorder="1" applyNumberFormat="1">
      <alignment horizontal="center" vertical="center" wrapText="1"/>
    </xf>
    <xf numFmtId="0" fontId="22" fillId="0" borderId="15" xfId="0" applyFont="1" applyBorder="1" applyNumberFormat="1">
      <alignment horizontal="center" vertical="center" wrapText="1"/>
    </xf>
    <xf numFmtId="0" fontId="22" fillId="35" borderId="36" xfId="0" applyFont="1" applyFill="1" applyBorder="1" applyNumberFormat="1">
      <alignment horizontal="center" vertical="center" wrapText="1"/>
    </xf>
    <xf numFmtId="0" fontId="47" fillId="0" borderId="17" xfId="0" applyFont="1" applyBorder="1" applyNumberFormat="1">
      <alignment horizontal="center" vertical="center" wrapText="1"/>
    </xf>
    <xf numFmtId="49" fontId="40" fillId="37" borderId="36" xfId="0" applyFont="1" applyFill="1" applyBorder="1" applyNumberFormat="1">
      <alignment horizontal="center" vertical="center" textRotation="90" wrapText="1"/>
    </xf>
    <xf numFmtId="0" fontId="47" fillId="0" borderId="0" xfId="0" applyFont="1" applyNumberFormat="1">
      <alignment vertical="center"/>
    </xf>
    <xf numFmtId="0" fontId="22" fillId="0" borderId="23" xfId="0" applyFont="1" applyBorder="1" applyNumberFormat="1">
      <alignment vertical="center" wrapText="1"/>
    </xf>
    <xf numFmtId="0" fontId="22" fillId="0" borderId="23" xfId="0" applyFont="1" applyBorder="1" applyNumberFormat="1">
      <alignment horizontal="center" vertical="center" wrapText="1"/>
    </xf>
    <xf numFmtId="0" fontId="47" fillId="0" borderId="23" xfId="0" applyFont="1" applyBorder="1" applyNumberFormat="1">
      <alignment horizontal="center" vertical="center" wrapText="1"/>
    </xf>
    <xf numFmtId="0" fontId="0" fillId="0" borderId="12" xfId="0" applyFont="1" applyBorder="1" applyNumberFormat="1">
      <alignment horizontal="center" vertical="center" wrapText="1"/>
    </xf>
    <xf numFmtId="0" fontId="0" fillId="0" borderId="12" xfId="0" applyFont="1" applyBorder="1" applyNumberFormat="1">
      <alignment horizontal="center" vertical="center" wrapText="1"/>
    </xf>
    <xf numFmtId="0" fontId="0" fillId="0" borderId="14" xfId="0" applyFont="1" applyBorder="1" applyNumberFormat="1">
      <alignment horizontal="center" vertical="center" wrapText="1"/>
    </xf>
    <xf numFmtId="0" fontId="0" fillId="0" borderId="13" xfId="0" applyFont="1" applyBorder="1" applyNumberFormat="1">
      <alignment horizontal="center" vertical="center" wrapText="1"/>
    </xf>
    <xf numFmtId="0" fontId="22" fillId="35" borderId="23" xfId="0" applyFont="1" applyFill="1" applyBorder="1" applyNumberFormat="1">
      <alignment horizontal="center" vertical="center" wrapText="1"/>
    </xf>
    <xf numFmtId="0" fontId="0" fillId="0" borderId="12" xfId="0" applyFont="1" applyBorder="1" applyNumberFormat="1">
      <alignment horizontal="center" vertical="center" wrapText="1"/>
    </xf>
    <xf numFmtId="49" fontId="40" fillId="37" borderId="23" xfId="0" applyFont="1" applyFill="1" applyBorder="1" applyNumberFormat="1">
      <alignment horizontal="center" vertical="center" textRotation="90" wrapText="1"/>
    </xf>
    <xf numFmtId="49" fontId="72" fillId="0" borderId="0" xfId="0" applyFont="1" applyNumberFormat="1">
      <alignment vertical="center" wrapText="1"/>
    </xf>
    <xf numFmtId="0" fontId="106" fillId="35" borderId="0" xfId="0" applyFont="1" applyFill="1" applyNumberFormat="1">
      <alignment vertical="center" wrapText="1"/>
    </xf>
    <xf numFmtId="0" fontId="107" fillId="35" borderId="0" xfId="0" applyFont="1" applyFill="1" applyNumberFormat="1">
      <alignment vertical="center" wrapText="1"/>
    </xf>
    <xf numFmtId="49" fontId="80" fillId="35" borderId="19" xfId="0" applyFont="1" applyFill="1" applyBorder="1" applyNumberFormat="1">
      <alignment horizontal="left" vertical="center" wrapText="1"/>
    </xf>
    <xf numFmtId="49" fontId="80" fillId="35" borderId="19" xfId="0" applyFont="1" applyFill="1" applyBorder="1" applyNumberFormat="1">
      <alignment horizontal="center" vertical="center" wrapText="1"/>
    </xf>
    <xf numFmtId="0" fontId="48" fillId="35" borderId="19" xfId="0" applyFont="1" applyFill="1" applyBorder="1" applyNumberFormat="1">
      <alignment horizontal="center" vertical="center" wrapText="1"/>
    </xf>
    <xf numFmtId="0" fontId="80" fillId="35" borderId="19" xfId="0" applyFont="1" applyFill="1" applyBorder="1" applyNumberFormat="1">
      <alignment horizontal="center" vertical="center" wrapText="1"/>
    </xf>
    <xf numFmtId="0" fontId="80" fillId="35" borderId="19" xfId="0" applyFont="1" applyFill="1" applyBorder="1" applyNumberFormat="1">
      <alignment horizontal="center" vertical="center" wrapText="1"/>
    </xf>
    <xf numFmtId="0" fontId="80" fillId="35" borderId="19" xfId="0" applyFont="1" applyFill="1" applyBorder="1" applyNumberFormat="1">
      <alignment horizontal="center" vertical="center" wrapText="1"/>
    </xf>
    <xf numFmtId="0" fontId="22" fillId="35" borderId="12" xfId="0" applyFont="1" applyFill="1" applyBorder="1" applyNumberFormat="1">
      <alignment horizontal="left" vertical="center" wrapText="1"/>
    </xf>
    <xf numFmtId="0" fontId="22" fillId="0" borderId="0" xfId="0" applyFont="1" applyNumberFormat="1">
      <alignment horizontal="center" vertical="center" wrapText="1"/>
    </xf>
    <xf numFmtId="0" fontId="48" fillId="0" borderId="0" xfId="0" applyFont="1" applyNumberFormat="1">
      <alignment horizontal="center" vertical="center" wrapText="1"/>
    </xf>
    <xf numFmtId="504" fontId="0" fillId="39" borderId="17" xfId="0" applyFont="1" applyFill="1" applyBorder="1" applyNumberFormat="1">
      <alignment horizontal="center" vertical="center" wrapText="1"/>
      <protection locked="0"/>
    </xf>
    <xf numFmtId="4" fontId="22" fillId="0" borderId="17" xfId="0" applyFont="1" applyBorder="1" applyNumberFormat="1">
      <alignment horizontal="right" vertical="center" wrapText="1"/>
    </xf>
    <xf numFmtId="49" fontId="22" fillId="0" borderId="12" xfId="0" applyFont="1" applyBorder="1" applyNumberFormat="1">
      <alignment horizontal="left" vertical="center" wrapText="1"/>
    </xf>
    <xf numFmtId="49" fontId="0" fillId="39" borderId="23" xfId="0" applyFont="1" applyFill="1" applyBorder="1" applyNumberFormat="1">
      <alignment horizontal="center" vertical="center" wrapText="1"/>
      <protection locked="0"/>
    </xf>
    <xf numFmtId="4" fontId="22" fillId="0" borderId="23" xfId="0" applyFont="1" applyBorder="1" applyNumberFormat="1">
      <alignment horizontal="right" vertical="center" wrapText="1"/>
    </xf>
    <xf numFmtId="0" fontId="48" fillId="0" borderId="0" xfId="0" applyFont="1" applyNumberFormat="1">
      <alignment horizontal="left" vertical="center" indent="1"/>
    </xf>
    <xf numFmtId="0" fontId="48" fillId="0" borderId="0" xfId="0" applyFont="1" applyNumberFormat="1">
      <alignment horizontal="center" vertical="center"/>
    </xf>
    <xf numFmtId="49" fontId="48" fillId="0" borderId="0" xfId="0" applyFont="1" applyNumberFormat="1">
      <alignment vertical="top"/>
    </xf>
    <xf numFmtId="49" fontId="107" fillId="0" borderId="0" xfId="0" applyFont="1" applyNumberFormat="1">
      <alignment vertical="top"/>
    </xf>
    <xf numFmtId="0" fontId="22" fillId="0" borderId="0" xfId="0" applyFont="1" applyNumberFormat="1">
      <alignment horizontal="right" vertical="top" wrapText="1"/>
    </xf>
    <xf numFmtId="0" fontId="22" fillId="0" borderId="0" xfId="0" applyFont="1" applyNumberFormat="1">
      <alignment horizontal="left" vertical="top" wrapText="1"/>
    </xf>
    <xf numFmtId="49" fontId="22" fillId="0" borderId="0" xfId="0" applyFont="1" applyNumberFormat="1">
      <alignment vertical="center" wrapText="1"/>
    </xf>
    <xf numFmtId="49" fontId="22" fillId="0" borderId="0" xfId="0" applyFont="1" applyNumberFormat="1">
      <alignment vertical="center" wrapText="1"/>
    </xf>
    <xf numFmtId="0" fontId="39" fillId="0" borderId="0" xfId="0" applyFont="1" applyNumberFormat="1">
      <alignment vertical="center" wrapText="1"/>
    </xf>
    <xf numFmtId="0" fontId="22" fillId="0" borderId="0" xfId="0" applyFont="1" applyNumberFormat="1">
      <alignment horizontal="left" vertical="center" wrapText="1"/>
    </xf>
    <xf numFmtId="0" fontId="47" fillId="0" borderId="0" xfId="0" applyFont="1" applyNumberFormat="1">
      <alignment horizontal="center" vertical="center" wrapText="1"/>
    </xf>
    <xf numFmtId="49" fontId="47" fillId="0" borderId="0" xfId="0" applyFont="1" applyNumberFormat="1">
      <alignment vertical="center" wrapText="1"/>
    </xf>
    <xf numFmtId="49" fontId="22" fillId="0" borderId="0" xfId="0" applyFont="1" applyNumberFormat="1">
      <alignment vertical="center" wrapText="1"/>
    </xf>
    <xf numFmtId="0" fontId="39" fillId="0" borderId="0" xfId="0" applyFont="1" applyNumberFormat="1">
      <alignment vertical="center" wrapText="1"/>
    </xf>
    <xf numFmtId="0" fontId="22" fillId="0" borderId="0" xfId="0" applyFont="1" applyNumberFormat="1">
      <alignment horizontal="left" vertical="center" wrapText="1"/>
    </xf>
    <xf numFmtId="0" fontId="22" fillId="35" borderId="12" xfId="0" applyFont="1" applyFill="1" applyBorder="1" applyNumberFormat="1">
      <alignment horizontal="left" vertical="center" wrapText="1"/>
    </xf>
    <xf numFmtId="0" fontId="22" fillId="0" borderId="0" xfId="0" applyFont="1" applyNumberFormat="1">
      <alignment horizontal="center" vertical="center" wrapText="1"/>
    </xf>
    <xf numFmtId="0" fontId="48" fillId="0" borderId="0" xfId="0" applyFont="1" applyNumberFormat="1">
      <alignment horizontal="center" vertical="center" wrapText="1"/>
    </xf>
    <xf numFmtId="49" fontId="22" fillId="0" borderId="12" xfId="0" applyFont="1" applyBorder="1" applyNumberFormat="1">
      <alignment horizontal="left" vertical="center" wrapText="1"/>
    </xf>
    <xf numFmtId="0" fontId="22" fillId="0" borderId="0" xfId="0" applyFont="1" applyNumberFormat="1">
      <alignment horizontal="right" vertical="center" wrapText="1"/>
    </xf>
    <xf numFmtId="0" fontId="0" fillId="0" borderId="12" xfId="0" applyFont="1" applyBorder="1" applyNumberFormat="1">
      <alignment horizontal="center" vertical="center" wrapText="1"/>
    </xf>
    <xf numFmtId="0" fontId="80" fillId="35" borderId="19" xfId="0" applyFont="1" applyFill="1" applyBorder="1" applyNumberFormat="1">
      <alignment horizontal="center" vertical="center" wrapText="1"/>
    </xf>
    <xf numFmtId="504" fontId="0" fillId="39" borderId="12" xfId="0" applyFont="1" applyFill="1" applyBorder="1" applyNumberFormat="1">
      <alignment horizontal="center" vertical="center" wrapText="1"/>
      <protection locked="0"/>
    </xf>
    <xf numFmtId="504" fontId="0" fillId="39" borderId="17" xfId="0" applyFont="1" applyFill="1" applyBorder="1" applyNumberFormat="1">
      <alignment horizontal="center" vertical="center" wrapText="1"/>
      <protection locked="0"/>
    </xf>
    <xf numFmtId="49" fontId="0" fillId="0" borderId="0" xfId="0" applyFont="1" applyNumberFormat="1">
      <alignment vertical="top"/>
    </xf>
    <xf numFmtId="0" fontId="47" fillId="0" borderId="0" xfId="0" applyFont="1" applyNumberFormat="1">
      <alignment horizontal="left" vertical="center" indent="1"/>
    </xf>
    <xf numFmtId="0" fontId="47" fillId="0" borderId="14" xfId="0" applyFont="1" applyBorder="1" applyNumberFormat="1">
      <alignment horizontal="center" vertical="center"/>
    </xf>
    <xf numFmtId="0" fontId="47" fillId="0" borderId="14" xfId="0" applyFont="1" applyBorder="1" applyNumberFormat="1">
      <alignment horizontal="center" vertical="center" wrapText="1"/>
    </xf>
    <xf numFmtId="0" fontId="47" fillId="0" borderId="12" xfId="0" applyFont="1" applyBorder="1" applyNumberFormat="1">
      <alignment horizontal="center" vertical="center" wrapText="1"/>
    </xf>
    <xf numFmtId="0" fontId="47" fillId="0" borderId="0" xfId="0" applyFont="1" applyNumberFormat="1">
      <alignment horizontal="center" vertical="center"/>
    </xf>
    <xf numFmtId="0" fontId="47" fillId="0" borderId="0" xfId="0" applyFont="1" applyNumberFormat="1">
      <alignment vertical="center" wrapText="1"/>
    </xf>
    <xf numFmtId="49" fontId="47" fillId="0" borderId="0" xfId="0" applyFont="1" applyNumberFormat="1">
      <alignment vertical="center" wrapText="1"/>
    </xf>
    <xf numFmtId="0" fontId="48" fillId="0" borderId="0" xfId="0" applyFont="1" applyNumberFormat="1">
      <alignment horizontal="center" vertical="center" wrapText="1"/>
    </xf>
    <xf numFmtId="0" fontId="36" fillId="0" borderId="0" xfId="0" applyFont="1" applyNumberFormat="1">
      <alignment horizontal="center" vertical="center" wrapText="1"/>
    </xf>
    <xf numFmtId="0" fontId="48" fillId="0" borderId="24" xfId="0" applyFont="1" applyBorder="1" applyNumberFormat="1">
      <alignment vertical="center" wrapText="1"/>
    </xf>
    <xf numFmtId="0" fontId="22" fillId="35" borderId="12" xfId="0" applyFont="1" applyFill="1" applyBorder="1" applyNumberFormat="1">
      <alignment horizontal="left" vertical="center" wrapText="1"/>
    </xf>
    <xf numFmtId="0" fontId="22" fillId="35" borderId="12" xfId="0" applyFont="1" applyFill="1" applyBorder="1" applyNumberFormat="1">
      <alignment horizontal="left" vertical="center" wrapText="1" indent="5"/>
    </xf>
    <xf numFmtId="0" fontId="22" fillId="0" borderId="12" xfId="0" applyFont="1" applyBorder="1" applyNumberFormat="1">
      <alignment horizontal="left" vertical="center" wrapText="1" indent="6"/>
    </xf>
    <xf numFmtId="0" fontId="22" fillId="40" borderId="14" xfId="0" applyFont="1" applyFill="1" applyBorder="1" applyNumberFormat="1">
      <alignment horizontal="left" vertical="center" wrapText="1"/>
    </xf>
    <xf numFmtId="0" fontId="22" fillId="40" borderId="15" xfId="0" applyFont="1" applyFill="1" applyBorder="1" applyNumberFormat="1">
      <alignment horizontal="left" vertical="center" wrapText="1"/>
    </xf>
    <xf numFmtId="0" fontId="22" fillId="40" borderId="13" xfId="0" applyFont="1" applyFill="1" applyBorder="1" applyNumberFormat="1">
      <alignment horizontal="left" vertical="center" wrapText="1"/>
    </xf>
    <xf numFmtId="0" fontId="45" fillId="0" borderId="12" xfId="0" applyFont="1" applyBorder="1" applyNumberFormat="1">
      <alignment vertical="top" wrapText="1"/>
    </xf>
    <xf numFmtId="0" fontId="48" fillId="0" borderId="0" xfId="0" applyFont="1" applyNumberFormat="1">
      <alignment vertical="center" wrapText="1"/>
    </xf>
    <xf numFmtId="0" fontId="48" fillId="0" borderId="0" xfId="0" applyFont="1" applyNumberFormat="1">
      <alignment vertical="center"/>
    </xf>
    <xf numFmtId="0" fontId="22" fillId="0" borderId="0" xfId="0" applyFont="1" applyNumberFormat="1">
      <alignment vertical="center" wrapText="1"/>
    </xf>
    <xf numFmtId="49" fontId="0" fillId="0" borderId="0" xfId="0" applyFont="1" applyNumberFormat="1">
      <alignment vertical="top"/>
    </xf>
    <xf numFmtId="0" fontId="22" fillId="40" borderId="12" xfId="0" applyFont="1" applyFill="1" applyBorder="1" applyNumberFormat="1">
      <alignment horizontal="left" vertical="center" wrapText="1" indent="6"/>
    </xf>
    <xf numFmtId="4" fontId="22" fillId="36" borderId="12" xfId="0" applyFont="1" applyFill="1" applyBorder="1" applyNumberFormat="1">
      <alignment horizontal="right" vertical="center" wrapText="1"/>
      <protection locked="0"/>
    </xf>
    <xf numFmtId="4" fontId="22" fillId="0" borderId="12" xfId="0" applyFont="1" applyBorder="1" applyNumberFormat="1">
      <alignment horizontal="right" vertical="center" wrapText="1"/>
    </xf>
    <xf numFmtId="502" fontId="22" fillId="36" borderId="12" xfId="0" applyFont="1" applyFill="1" applyBorder="1" applyNumberFormat="1">
      <alignment horizontal="right" vertical="center" wrapText="1"/>
      <protection locked="0"/>
    </xf>
    <xf numFmtId="0" fontId="45" fillId="0" borderId="17" xfId="0" applyFont="1" applyBorder="1" applyNumberFormat="1">
      <alignment horizontal="left" vertical="top" wrapText="1"/>
    </xf>
    <xf numFmtId="49" fontId="0" fillId="0" borderId="0" xfId="0" applyFont="1" applyNumberFormat="1">
      <alignment vertical="top"/>
    </xf>
    <xf numFmtId="49" fontId="22" fillId="0" borderId="12" xfId="0" applyFont="1" applyBorder="1" applyNumberFormat="1">
      <alignment horizontal="left" vertical="center" wrapText="1"/>
    </xf>
    <xf numFmtId="4" fontId="48" fillId="0" borderId="12" xfId="0" applyFont="1" applyBorder="1" applyNumberFormat="1">
      <alignment horizontal="center" vertical="center" wrapText="1"/>
    </xf>
    <xf numFmtId="49" fontId="0" fillId="39" borderId="12" xfId="0" applyFont="1" applyFill="1" applyBorder="1" applyNumberFormat="1">
      <alignment horizontal="center" vertical="center" wrapText="1"/>
      <protection locked="0"/>
    </xf>
    <xf numFmtId="0" fontId="45" fillId="0" borderId="36" xfId="0" applyFont="1" applyBorder="1" applyNumberFormat="1">
      <alignment horizontal="left" vertical="top" wrapText="1"/>
    </xf>
    <xf numFmtId="49" fontId="0" fillId="0" borderId="0" xfId="0" applyFont="1" applyNumberFormat="1">
      <alignment vertical="top"/>
    </xf>
    <xf numFmtId="0" fontId="48" fillId="0" borderId="24" xfId="0" applyFont="1" applyBorder="1" applyNumberFormat="1">
      <alignment horizontal="center" vertical="center" wrapText="1"/>
    </xf>
    <xf numFmtId="49" fontId="73" fillId="37" borderId="14" xfId="0" applyFont="1" applyFill="1" applyBorder="1" applyNumberFormat="1">
      <alignment horizontal="left" vertical="center"/>
    </xf>
    <xf numFmtId="49" fontId="40" fillId="37" borderId="15" xfId="0" applyFont="1" applyFill="1" applyBorder="1" applyNumberFormat="1">
      <alignment horizontal="left" vertical="center" indent="6"/>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3" xfId="0" applyFont="1" applyFill="1" applyBorder="1" applyNumberFormat="1">
      <alignment horizontal="center" vertical="center" wrapText="1"/>
    </xf>
    <xf numFmtId="0" fontId="45" fillId="0" borderId="23" xfId="0" applyFont="1" applyBorder="1" applyNumberFormat="1">
      <alignment horizontal="left" vertical="top" wrapText="1"/>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73" fillId="37" borderId="14" xfId="0" applyFont="1" applyFill="1" applyBorder="1" applyNumberFormat="1">
      <alignment horizontal="left" vertical="center"/>
    </xf>
    <xf numFmtId="49" fontId="40" fillId="37" borderId="15" xfId="0" applyFont="1" applyFill="1" applyBorder="1" applyNumberFormat="1">
      <alignment horizontal="left" vertical="center" indent="6"/>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3" xfId="0" applyFont="1" applyFill="1" applyBorder="1" applyNumberFormat="1">
      <alignment horizontal="center" vertical="center" wrapText="1"/>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73" fillId="37" borderId="14" xfId="0" applyFont="1" applyFill="1" applyBorder="1" applyNumberFormat="1">
      <alignment horizontal="left" vertical="center"/>
    </xf>
    <xf numFmtId="49" fontId="40" fillId="37" borderId="15" xfId="0" applyFont="1" applyFill="1" applyBorder="1" applyNumberFormat="1">
      <alignment horizontal="left" vertical="center" indent="6"/>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3" xfId="0" applyFont="1" applyFill="1" applyBorder="1" applyNumberFormat="1">
      <alignment horizontal="center" vertical="center" wrapText="1"/>
    </xf>
    <xf numFmtId="0" fontId="22" fillId="0" borderId="12" xfId="0" applyFont="1" applyBorder="1" applyNumberFormat="1">
      <alignment horizontal="center" vertical="center"/>
    </xf>
    <xf numFmtId="0" fontId="22" fillId="0" borderId="0" xfId="0" applyFont="1" applyNumberFormat="1">
      <alignment horizontal="center" vertical="center"/>
    </xf>
    <xf numFmtId="0" fontId="22" fillId="35" borderId="12" xfId="0" applyFont="1" applyFill="1" applyBorder="1" applyNumberFormat="1">
      <alignment horizontal="left" vertical="center" wrapText="1"/>
    </xf>
    <xf numFmtId="0" fontId="22" fillId="0" borderId="12" xfId="0" applyFont="1" applyBorder="1" applyNumberFormat="1">
      <alignment vertical="center" wrapText="1"/>
    </xf>
    <xf numFmtId="0" fontId="22" fillId="0" borderId="14" xfId="0" applyFont="1" applyBorder="1" applyNumberFormat="1">
      <alignment horizontal="center" vertical="center"/>
    </xf>
    <xf numFmtId="0" fontId="22" fillId="0" borderId="0" xfId="0" applyFont="1" applyNumberFormat="1">
      <alignment horizontal="center" vertical="center" wrapText="1"/>
    </xf>
    <xf numFmtId="0" fontId="22" fillId="35" borderId="12" xfId="0" applyFont="1" applyFill="1" applyBorder="1" applyNumberFormat="1">
      <alignment horizontal="left" vertical="center" wrapText="1" indent="1"/>
    </xf>
    <xf numFmtId="0" fontId="22" fillId="0" borderId="0" xfId="0" applyFont="1" applyNumberFormat="1">
      <alignment vertical="center" wrapText="1"/>
    </xf>
    <xf numFmtId="0" fontId="48" fillId="0" borderId="0" xfId="0" applyFont="1" applyNumberFormat="1">
      <alignment horizontal="center" vertical="center" wrapText="1"/>
    </xf>
    <xf numFmtId="0" fontId="48" fillId="0" borderId="0" xfId="0" applyFont="1" applyNumberFormat="1">
      <alignment vertical="center" wrapText="1"/>
    </xf>
    <xf numFmtId="49" fontId="22" fillId="0" borderId="12" xfId="0" applyFont="1" applyBorder="1" applyNumberFormat="1">
      <alignment horizontal="left" vertical="center" wrapText="1"/>
    </xf>
    <xf numFmtId="0" fontId="72" fillId="0" borderId="0" xfId="0" applyFont="1" applyNumberFormat="1">
      <alignment horizontal="left" vertical="center" indent="1"/>
    </xf>
    <xf numFmtId="0" fontId="72" fillId="0" borderId="0" xfId="0" applyFont="1" applyNumberFormat="1">
      <alignment horizontal="center" vertical="center"/>
    </xf>
    <xf numFmtId="0" fontId="72" fillId="0" borderId="0" xfId="0" applyFont="1" applyNumberFormat="1">
      <alignment horizontal="left" vertical="center" wrapText="1"/>
    </xf>
    <xf numFmtId="0" fontId="72" fillId="0" borderId="0" xfId="0" applyFont="1" applyNumberFormat="1">
      <alignment vertical="center" wrapText="1"/>
    </xf>
    <xf numFmtId="0" fontId="48" fillId="0" borderId="0" xfId="0" applyFont="1" applyNumberFormat="1">
      <alignment vertical="center"/>
    </xf>
    <xf numFmtId="0" fontId="48" fillId="0" borderId="0" xfId="0" applyFont="1" applyNumberFormat="1">
      <alignment vertical="center" wrapText="1"/>
    </xf>
    <xf numFmtId="49" fontId="72" fillId="0" borderId="0" xfId="0" applyFont="1" applyNumberFormat="1">
      <alignment horizontal="left" vertical="center"/>
    </xf>
    <xf numFmtId="0" fontId="22" fillId="0" borderId="0" xfId="0" applyFont="1" applyNumberFormat="1">
      <alignment horizontal="center" vertical="center" wrapText="1"/>
    </xf>
    <xf numFmtId="49" fontId="22" fillId="0" borderId="0" xfId="0" applyFont="1" applyNumberFormat="1">
      <alignment vertical="center" wrapText="1"/>
    </xf>
    <xf numFmtId="49" fontId="22" fillId="0" borderId="12" xfId="0" applyFont="1" applyBorder="1" applyNumberFormat="1">
      <alignment vertical="center" wrapText="1"/>
    </xf>
    <xf numFmtId="0" fontId="22" fillId="0" borderId="0" xfId="0" applyFont="1" applyNumberFormat="1">
      <alignment vertical="center"/>
    </xf>
    <xf numFmtId="0" fontId="22" fillId="0" borderId="0" xfId="0" applyFont="1" applyNumberFormat="1">
      <alignment horizontal="center" vertical="center"/>
    </xf>
    <xf numFmtId="0" fontId="22" fillId="0" borderId="0" xfId="0" applyFont="1" applyNumberFormat="1">
      <alignment horizontal="right" vertical="center" wrapText="1"/>
    </xf>
    <xf numFmtId="0" fontId="22" fillId="0" borderId="17" xfId="0" applyFont="1" applyBorder="1" applyNumberFormat="1">
      <alignment vertical="center" wrapText="1"/>
    </xf>
    <xf numFmtId="0" fontId="0" fillId="0" borderId="12" xfId="0" applyFont="1" applyBorder="1" applyNumberFormat="1">
      <alignment horizontal="center" vertical="center" wrapText="1"/>
    </xf>
    <xf numFmtId="0" fontId="80" fillId="35" borderId="19" xfId="0" applyFont="1" applyFill="1" applyBorder="1" applyNumberFormat="1">
      <alignment horizontal="center" vertical="center" wrapText="1"/>
    </xf>
    <xf numFmtId="0" fontId="72" fillId="0" borderId="0" xfId="0" applyFont="1" applyNumberFormat="1">
      <alignment vertical="center" wrapText="1"/>
    </xf>
    <xf numFmtId="0" fontId="72" fillId="0" borderId="0" xfId="0" applyFont="1" applyNumberFormat="1">
      <alignment horizontal="left" vertical="center" indent="1"/>
    </xf>
    <xf numFmtId="0" fontId="72" fillId="0" borderId="0" xfId="0" applyFont="1" applyNumberFormat="1">
      <alignment horizontal="center" vertical="center"/>
    </xf>
    <xf numFmtId="0" fontId="22" fillId="0" borderId="0" xfId="0" applyFont="1" applyNumberFormat="1">
      <alignment horizontal="left" vertical="center" indent="1"/>
    </xf>
    <xf numFmtId="49" fontId="22" fillId="0" borderId="0" xfId="0" applyFont="1" applyNumberFormat="1">
      <alignment horizontal="left" vertical="center"/>
    </xf>
    <xf numFmtId="502" fontId="22" fillId="0" borderId="12" xfId="0" applyFont="1" applyBorder="1" applyNumberFormat="1">
      <alignment horizontal="right" vertical="center" wrapText="1"/>
    </xf>
    <xf numFmtId="0" fontId="0" fillId="35" borderId="19" xfId="0" applyFont="1" applyFill="1" applyBorder="1" applyNumberFormat="1">
      <alignment horizontal="center" vertical="center" wrapText="1"/>
    </xf>
    <xf numFmtId="0" fontId="48" fillId="0" borderId="17" xfId="0" applyFont="1" applyBorder="1" applyNumberFormat="1">
      <alignment horizontal="center" vertical="center" wrapText="1"/>
    </xf>
    <xf numFmtId="0" fontId="22" fillId="0" borderId="37" xfId="0" applyFont="1" applyBorder="1" applyNumberFormat="1">
      <alignment horizontal="center" vertical="center" wrapText="1"/>
    </xf>
    <xf numFmtId="0" fontId="48" fillId="0" borderId="12" xfId="0" applyFont="1" applyBorder="1" applyNumberFormat="1">
      <alignment vertical="center" wrapText="1"/>
    </xf>
    <xf numFmtId="0" fontId="48" fillId="0" borderId="23" xfId="0" applyFont="1" applyBorder="1" applyNumberFormat="1">
      <alignment horizontal="center" vertical="center" wrapText="1"/>
    </xf>
    <xf numFmtId="0" fontId="22" fillId="0" borderId="30" xfId="0" applyFont="1" applyBorder="1" applyNumberFormat="1">
      <alignment horizontal="center" vertical="center" wrapText="1"/>
    </xf>
    <xf numFmtId="0" fontId="48" fillId="0" borderId="12" xfId="0" applyFont="1" applyBorder="1" applyNumberFormat="1">
      <alignment horizontal="center" vertical="center" wrapText="1"/>
    </xf>
    <xf numFmtId="0" fontId="0" fillId="0" borderId="13" xfId="0" applyFont="1" applyBorder="1" applyNumberFormat="1">
      <alignment horizontal="center" vertical="center" wrapText="1"/>
    </xf>
    <xf numFmtId="0" fontId="22" fillId="0" borderId="0" xfId="0" applyFont="1" applyNumberFormat="1">
      <alignment vertical="center"/>
    </xf>
    <xf numFmtId="0" fontId="80" fillId="35" borderId="0" xfId="0" applyFont="1" applyFill="1" applyNumberFormat="1">
      <alignment horizontal="center" vertical="center" wrapText="1"/>
    </xf>
    <xf numFmtId="0" fontId="48" fillId="0" borderId="12" xfId="0" applyFont="1" applyBorder="1" applyNumberFormat="1">
      <alignment horizontal="left" vertical="center" wrapText="1"/>
    </xf>
    <xf numFmtId="0" fontId="48" fillId="0" borderId="12" xfId="0" applyFont="1" applyBorder="1" applyNumberFormat="1">
      <alignment horizontal="left" vertical="center" wrapText="1" indent="4"/>
    </xf>
    <xf numFmtId="0" fontId="48" fillId="0" borderId="12" xfId="0" applyFont="1" applyBorder="1" applyNumberFormat="1">
      <alignment horizontal="left" vertical="center" wrapText="1" indent="6"/>
    </xf>
    <xf numFmtId="0" fontId="48" fillId="0" borderId="14" xfId="0" applyFont="1" applyBorder="1" applyNumberFormat="1">
      <alignment horizontal="left" vertical="center" wrapText="1"/>
    </xf>
    <xf numFmtId="0" fontId="48" fillId="0" borderId="15" xfId="0" applyFont="1" applyBorder="1" applyNumberFormat="1">
      <alignment horizontal="left" vertical="center" wrapText="1"/>
    </xf>
    <xf numFmtId="0" fontId="48" fillId="0" borderId="13" xfId="0" applyFont="1" applyBorder="1" applyNumberFormat="1">
      <alignment horizontal="left" vertical="center" wrapText="1"/>
    </xf>
    <xf numFmtId="0" fontId="48" fillId="0" borderId="12" xfId="0" applyFont="1" applyBorder="1" applyNumberFormat="1">
      <alignment vertical="top" wrapText="1"/>
    </xf>
    <xf numFmtId="49" fontId="97" fillId="0" borderId="14" xfId="0" applyFont="1" applyBorder="1" applyNumberFormat="1">
      <alignment horizontal="left" vertical="center"/>
    </xf>
    <xf numFmtId="49" fontId="48" fillId="0" borderId="15" xfId="0" applyFont="1" applyBorder="1" applyNumberFormat="1">
      <alignment horizontal="left" vertical="center" indent="4"/>
    </xf>
    <xf numFmtId="49" fontId="48" fillId="0" borderId="15" xfId="0" applyFont="1" applyBorder="1" applyNumberFormat="1">
      <alignment horizontal="center" vertical="center" wrapText="1"/>
    </xf>
    <xf numFmtId="49" fontId="48" fillId="0" borderId="13" xfId="0" applyFont="1" applyBorder="1" applyNumberFormat="1">
      <alignment horizontal="center" vertical="center" wrapText="1"/>
    </xf>
    <xf numFmtId="49" fontId="48" fillId="0" borderId="0" xfId="0" applyFont="1" applyNumberFormat="1">
      <alignment vertical="center" wrapText="1"/>
    </xf>
    <xf numFmtId="0" fontId="0" fillId="0" borderId="0" xfId="0" applyFont="1" applyNumberFormat="1">
      <alignment horizontal="left" vertical="top" wrapText="1"/>
    </xf>
    <xf numFmtId="0" fontId="47" fillId="0" borderId="0" xfId="0" applyFont="1" applyNumberFormat="1">
      <alignment vertical="top" wrapText="1"/>
    </xf>
    <xf numFmtId="0" fontId="22" fillId="35" borderId="17" xfId="0" applyFont="1" applyFill="1" applyBorder="1" applyNumberFormat="1">
      <alignment horizontal="left" vertical="center" wrapText="1"/>
    </xf>
    <xf numFmtId="0" fontId="22" fillId="35" borderId="17" xfId="0" applyFont="1" applyFill="1" applyBorder="1" applyNumberFormat="1">
      <alignment horizontal="left" vertical="center" wrapText="1" indent="2"/>
    </xf>
    <xf numFmtId="0" fontId="22" fillId="0" borderId="17" xfId="0" applyFont="1" applyBorder="1" applyNumberFormat="1">
      <alignment horizontal="left" vertical="center" wrapText="1" indent="6"/>
    </xf>
    <xf numFmtId="0" fontId="22" fillId="34" borderId="37" xfId="0" applyFont="1" applyFill="1" applyBorder="1" applyNumberFormat="1">
      <alignment horizontal="left" vertical="center" wrapText="1"/>
    </xf>
    <xf numFmtId="0" fontId="22" fillId="34" borderId="19" xfId="0" applyFont="1" applyFill="1" applyBorder="1" applyNumberFormat="1">
      <alignment horizontal="left" vertical="center" wrapText="1"/>
    </xf>
    <xf numFmtId="0" fontId="22" fillId="34" borderId="20" xfId="0" applyFont="1" applyFill="1" applyBorder="1" applyNumberFormat="1">
      <alignment horizontal="left" vertical="center" wrapText="1"/>
    </xf>
    <xf numFmtId="0" fontId="22" fillId="35" borderId="12" xfId="0" applyFont="1" applyFill="1" applyBorder="1" applyNumberFormat="1">
      <alignment horizontal="left" vertical="center" wrapText="1"/>
    </xf>
    <xf numFmtId="0" fontId="22" fillId="34" borderId="12" xfId="0" applyFont="1" applyFill="1" applyBorder="1" applyNumberFormat="1">
      <alignment horizontal="left" vertical="center" wrapText="1"/>
    </xf>
    <xf numFmtId="0" fontId="45" fillId="0" borderId="13" xfId="0" applyFont="1" applyBorder="1" applyNumberFormat="1">
      <alignment vertical="top" wrapText="1"/>
    </xf>
    <xf numFmtId="0" fontId="48" fillId="0" borderId="0" xfId="0" applyFont="1" applyNumberFormat="1">
      <alignment horizontal="center" vertical="center" wrapText="1"/>
    </xf>
    <xf numFmtId="0" fontId="48" fillId="0" borderId="12" xfId="0" applyFont="1" applyBorder="1" applyNumberFormat="1">
      <alignment horizontal="left" vertical="center" wrapText="1"/>
    </xf>
    <xf numFmtId="0" fontId="48" fillId="0" borderId="13" xfId="0" applyFont="1" applyBorder="1" applyNumberFormat="1">
      <alignment vertical="top" wrapText="1"/>
    </xf>
    <xf numFmtId="0" fontId="22" fillId="40" borderId="12" xfId="0" applyFont="1" applyFill="1" applyBorder="1" applyNumberFormat="1">
      <alignment horizontal="left" vertical="center" wrapText="1"/>
    </xf>
    <xf numFmtId="0" fontId="22" fillId="35" borderId="23" xfId="0" applyFont="1" applyFill="1" applyBorder="1" applyNumberFormat="1">
      <alignment horizontal="left" vertical="center" wrapText="1"/>
    </xf>
    <xf numFmtId="0" fontId="22" fillId="40" borderId="23" xfId="0" applyFont="1" applyFill="1" applyBorder="1" applyNumberFormat="1">
      <alignment horizontal="left" vertical="center" wrapText="1" indent="6"/>
    </xf>
    <xf numFmtId="0" fontId="22" fillId="0" borderId="23" xfId="0" applyFont="1" applyBorder="1" applyNumberFormat="1">
      <alignment horizontal="left" vertical="center" wrapText="1" indent="6"/>
    </xf>
    <xf numFmtId="4" fontId="22" fillId="36" borderId="23" xfId="0" applyFont="1" applyFill="1" applyBorder="1" applyNumberFormat="1">
      <alignment horizontal="right" vertical="center" wrapText="1"/>
      <protection locked="0"/>
    </xf>
    <xf numFmtId="502" fontId="22" fillId="36" borderId="23" xfId="0" applyFont="1" applyFill="1" applyBorder="1" applyNumberFormat="1">
      <alignment horizontal="right" vertical="center" wrapText="1"/>
      <protection locked="0"/>
    </xf>
    <xf numFmtId="504" fontId="0" fillId="39" borderId="23" xfId="0" applyFont="1" applyFill="1" applyBorder="1" applyNumberFormat="1">
      <alignment horizontal="center" vertical="center" wrapText="1"/>
      <protection locked="0"/>
    </xf>
    <xf numFmtId="0" fontId="22" fillId="0" borderId="19" xfId="0" applyFont="1" applyBorder="1" applyNumberFormat="1">
      <alignment horizontal="left" vertical="center" wrapText="1" indent="1"/>
    </xf>
    <xf numFmtId="0" fontId="22" fillId="0" borderId="0" xfId="0" applyFont="1" applyNumberFormat="1">
      <alignment horizontal="left" vertical="center" wrapText="1"/>
    </xf>
    <xf numFmtId="0" fontId="22" fillId="40" borderId="20" xfId="0" applyFont="1" applyFill="1" applyBorder="1" applyNumberFormat="1">
      <alignment horizontal="left" vertical="center" wrapText="1"/>
    </xf>
    <xf numFmtId="0" fontId="22" fillId="0" borderId="0" xfId="0" applyFont="1" applyNumberFormat="1">
      <alignment horizontal="center" vertical="center" wrapText="1"/>
    </xf>
    <xf numFmtId="502" fontId="22" fillId="36" borderId="14" xfId="0" applyFont="1" applyFill="1" applyBorder="1" applyNumberFormat="1">
      <alignment horizontal="right" vertical="center" wrapText="1"/>
      <protection locked="0"/>
    </xf>
    <xf numFmtId="4" fontId="22" fillId="36" borderId="13" xfId="0" applyFont="1" applyFill="1" applyBorder="1" applyNumberFormat="1">
      <alignment horizontal="right" vertical="center" wrapText="1"/>
      <protection locked="0"/>
    </xf>
    <xf numFmtId="0" fontId="45" fillId="0" borderId="17" xfId="0" applyFont="1" applyBorder="1" applyNumberFormat="1">
      <alignment vertical="top" wrapText="1"/>
    </xf>
    <xf numFmtId="0" fontId="22" fillId="36" borderId="12" xfId="0" applyFont="1" applyFill="1" applyBorder="1" applyNumberFormat="1">
      <alignment horizontal="left" vertical="center" wrapText="1" indent="7"/>
      <protection locked="0"/>
    </xf>
    <xf numFmtId="49" fontId="0" fillId="39" borderId="12" xfId="0" applyFont="1" applyFill="1" applyBorder="1" applyNumberFormat="1">
      <alignment horizontal="center" vertical="center" wrapText="1"/>
      <protection locked="0"/>
    </xf>
    <xf numFmtId="4" fontId="48" fillId="0" borderId="14" xfId="0" applyFont="1" applyBorder="1" applyNumberFormat="1">
      <alignment horizontal="center" vertical="center" wrapText="1"/>
    </xf>
    <xf numFmtId="4" fontId="22" fillId="0" borderId="13" xfId="0" applyFont="1" applyBorder="1" applyNumberFormat="1">
      <alignment horizontal="right" vertical="center" wrapText="1"/>
    </xf>
    <xf numFmtId="0" fontId="22" fillId="37" borderId="15" xfId="0" applyFont="1" applyFill="1" applyBorder="1" applyNumberFormat="1">
      <alignment horizontal="left" vertical="center" wrapText="1" indent="6"/>
    </xf>
    <xf numFmtId="4" fontId="22" fillId="37" borderId="15" xfId="0" applyFont="1" applyFill="1" applyBorder="1" applyNumberFormat="1">
      <alignment horizontal="right" vertical="center" wrapText="1"/>
    </xf>
    <xf numFmtId="4" fontId="48"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9" fontId="22" fillId="37" borderId="27" xfId="0" applyFont="1" applyFill="1" applyBorder="1" applyNumberFormat="1">
      <alignment horizontal="center" vertical="center" wrapText="1"/>
    </xf>
    <xf numFmtId="0" fontId="22" fillId="0" borderId="0" xfId="0" applyFont="1" applyNumberFormat="1">
      <alignment horizontal="center" vertical="center" wrapText="1"/>
    </xf>
    <xf numFmtId="0" fontId="22" fillId="0" borderId="12" xfId="0" applyFont="1" applyBorder="1" applyNumberFormat="1">
      <alignment horizontal="center" vertical="center" wrapText="1"/>
    </xf>
    <xf numFmtId="0" fontId="22" fillId="0" borderId="19" xfId="0" applyFont="1" applyBorder="1" applyNumberFormat="1">
      <alignment horizontal="center" vertical="center" wrapText="1"/>
    </xf>
    <xf numFmtId="0" fontId="22" fillId="0" borderId="20" xfId="0" applyFont="1" applyBorder="1" applyNumberFormat="1">
      <alignment horizontal="center" vertical="center" wrapText="1"/>
    </xf>
    <xf numFmtId="0" fontId="22" fillId="0" borderId="22"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15" xfId="0" applyFont="1" applyBorder="1" applyNumberFormat="1">
      <alignment horizontal="center" vertical="center" wrapText="1"/>
    </xf>
    <xf numFmtId="0" fontId="22" fillId="0" borderId="27" xfId="0" applyFont="1" applyBorder="1" applyNumberFormat="1">
      <alignment horizontal="center" vertical="center" wrapText="1"/>
    </xf>
    <xf numFmtId="0" fontId="22" fillId="0" borderId="29" xfId="0" applyFont="1" applyBorder="1" applyNumberFormat="1">
      <alignment horizontal="center" vertical="center" wrapText="1"/>
    </xf>
    <xf numFmtId="0" fontId="0" fillId="0" borderId="36" xfId="0" applyFont="1" applyBorder="1" applyNumberFormat="1">
      <alignment horizontal="center" vertical="center" wrapText="1"/>
    </xf>
    <xf numFmtId="0" fontId="0" fillId="0" borderId="37" xfId="0" applyFont="1" applyBorder="1" applyNumberFormat="1">
      <alignment horizontal="center" vertical="center" wrapText="1"/>
    </xf>
    <xf numFmtId="0" fontId="0" fillId="0" borderId="20"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30" xfId="0" applyFont="1" applyBorder="1" applyNumberFormat="1">
      <alignment horizontal="center" vertical="center" wrapText="1"/>
    </xf>
    <xf numFmtId="0" fontId="0" fillId="0" borderId="29" xfId="0" applyFont="1" applyBorder="1" applyNumberFormat="1">
      <alignment horizontal="center" vertical="center" wrapText="1"/>
    </xf>
    <xf numFmtId="0" fontId="22" fillId="0" borderId="12" xfId="0" applyFont="1" applyBorder="1" applyNumberFormat="1">
      <alignment horizontal="center" vertical="center"/>
    </xf>
    <xf numFmtId="0" fontId="22" fillId="0" borderId="14" xfId="0" applyFont="1" applyBorder="1" applyNumberFormat="1">
      <alignment horizontal="center" vertical="center"/>
    </xf>
    <xf numFmtId="49" fontId="47" fillId="0" borderId="0" xfId="0" applyFont="1" applyNumberFormat="1">
      <alignment vertical="center" wrapText="1"/>
    </xf>
    <xf numFmtId="0" fontId="47" fillId="0" borderId="0" xfId="0" applyFont="1" applyNumberFormat="1">
      <alignment horizontal="center" vertical="center" wrapText="1"/>
    </xf>
    <xf numFmtId="0" fontId="56" fillId="35" borderId="0" xfId="0" applyFont="1" applyFill="1" applyNumberFormat="1">
      <alignment horizontal="center" vertical="center" wrapText="1"/>
    </xf>
    <xf numFmtId="0" fontId="56" fillId="0" borderId="0" xfId="0" applyFont="1" applyNumberFormat="1">
      <alignment vertical="center" wrapText="1"/>
    </xf>
    <xf numFmtId="0" fontId="48" fillId="0" borderId="12" xfId="0" applyFont="1" applyBorder="1" applyNumberFormat="1">
      <alignment horizontal="left" vertical="center" wrapText="1" indent="5"/>
    </xf>
    <xf numFmtId="0" fontId="48" fillId="0" borderId="24" xfId="0" applyFont="1" applyBorder="1" applyNumberFormat="1">
      <alignment horizontal="center" vertical="top" wrapText="1"/>
    </xf>
    <xf numFmtId="0" fontId="22" fillId="35" borderId="17" xfId="0" applyFont="1" applyFill="1" applyBorder="1" applyNumberFormat="1">
      <alignment horizontal="left" vertical="center" wrapText="1"/>
    </xf>
    <xf numFmtId="49" fontId="22" fillId="39" borderId="17" xfId="0" applyFont="1" applyFill="1" applyBorder="1" applyNumberFormat="1">
      <alignment horizontal="left" vertical="center" wrapText="1" indent="6"/>
      <protection locked="0"/>
    </xf>
    <xf numFmtId="0" fontId="37" fillId="0" borderId="12" xfId="0" applyFont="1" applyBorder="1" applyNumberFormat="1">
      <alignment horizontal="center" vertical="center" wrapText="1"/>
    </xf>
    <xf numFmtId="49" fontId="22" fillId="40" borderId="12" xfId="0" applyFont="1" applyFill="1" applyBorder="1" applyNumberFormat="1">
      <alignment horizontal="left" vertical="center" wrapText="1" indent="1"/>
    </xf>
    <xf numFmtId="0" fontId="22" fillId="0" borderId="12" xfId="0" applyFont="1" applyBorder="1" applyNumberFormat="1">
      <alignment horizontal="left" vertical="center" wrapText="1" indent="4"/>
    </xf>
    <xf numFmtId="49" fontId="22" fillId="35" borderId="12" xfId="0" applyFont="1" applyFill="1" applyBorder="1" applyNumberFormat="1">
      <alignment horizontal="center" vertical="center" wrapText="1"/>
    </xf>
    <xf numFmtId="0" fontId="22" fillId="40" borderId="12" xfId="0" applyFont="1" applyFill="1" applyBorder="1" applyNumberFormat="1">
      <alignment horizontal="left" vertical="center" wrapText="1" indent="1"/>
    </xf>
    <xf numFmtId="504" fontId="0" fillId="39" borderId="12" xfId="0" applyFont="1" applyFill="1" applyBorder="1" applyNumberFormat="1">
      <alignment horizontal="center" vertical="center" wrapText="1"/>
      <protection locked="0"/>
    </xf>
    <xf numFmtId="49" fontId="22" fillId="40" borderId="12" xfId="0" applyFont="1" applyFill="1" applyBorder="1" applyNumberFormat="1">
      <alignment horizontal="center" vertical="center" wrapText="1"/>
    </xf>
    <xf numFmtId="0" fontId="22" fillId="35" borderId="36" xfId="0" applyFont="1" applyFill="1" applyBorder="1" applyNumberFormat="1">
      <alignment horizontal="left" vertical="center" wrapText="1"/>
    </xf>
    <xf numFmtId="49" fontId="22" fillId="39" borderId="36" xfId="0" applyFont="1" applyFill="1" applyBorder="1" applyNumberFormat="1">
      <alignment horizontal="left" vertical="center" wrapText="1" indent="6"/>
      <protection locked="0"/>
    </xf>
    <xf numFmtId="502" fontId="22" fillId="37" borderId="13" xfId="0" applyFont="1" applyFill="1" applyBorder="1" applyNumberFormat="1">
      <alignment horizontal="right" vertical="center" wrapText="1"/>
    </xf>
    <xf numFmtId="49" fontId="40" fillId="37" borderId="14" xfId="0" applyFont="1" applyFill="1" applyBorder="1" applyNumberFormat="1">
      <alignment horizontal="left" vertical="center"/>
    </xf>
    <xf numFmtId="502" fontId="22" fillId="37" borderId="15" xfId="0" applyFont="1" applyFill="1" applyBorder="1" applyNumberFormat="1">
      <alignment horizontal="right" vertical="center" wrapText="1"/>
    </xf>
    <xf numFmtId="4" fontId="22" fillId="0" borderId="36" xfId="0" applyFont="1" applyBorder="1" applyNumberFormat="1">
      <alignment horizontal="right" vertical="center" wrapText="1"/>
    </xf>
    <xf numFmtId="49" fontId="40" fillId="37" borderId="14" xfId="0" applyFont="1" applyFill="1" applyBorder="1" applyNumberFormat="1">
      <alignment horizontal="left" vertical="center" indent="1"/>
    </xf>
    <xf numFmtId="0" fontId="22" fillId="35" borderId="23" xfId="0" applyFont="1" applyFill="1" applyBorder="1" applyNumberFormat="1">
      <alignment horizontal="left" vertical="center" wrapText="1"/>
    </xf>
    <xf numFmtId="49" fontId="22" fillId="39" borderId="23" xfId="0" applyFont="1" applyFill="1" applyBorder="1" applyNumberFormat="1">
      <alignment horizontal="left" vertical="center" wrapText="1" indent="6"/>
      <protection locked="0"/>
    </xf>
    <xf numFmtId="4" fontId="48" fillId="37" borderId="13" xfId="0" applyFont="1" applyFill="1" applyBorder="1" applyNumberFormat="1">
      <alignment horizontal="center" vertical="center" wrapText="1"/>
    </xf>
    <xf numFmtId="49" fontId="40" fillId="37" borderId="14" xfId="0" applyFont="1" applyFill="1" applyBorder="1" applyNumberFormat="1">
      <alignment vertical="center" wrapText="1"/>
    </xf>
    <xf numFmtId="49" fontId="40" fillId="37" borderId="15" xfId="0" applyFont="1" applyFill="1" applyBorder="1" applyNumberFormat="1">
      <alignment vertical="center" wrapText="1"/>
    </xf>
    <xf numFmtId="49" fontId="48" fillId="0" borderId="24" xfId="0" applyFont="1" applyBorder="1" applyNumberFormat="1">
      <alignment vertical="top"/>
    </xf>
    <xf numFmtId="0" fontId="111" fillId="0" borderId="0" xfId="0" applyFont="1" applyNumberFormat="1">
      <alignment horizontal="center" vertical="center" wrapText="1"/>
    </xf>
    <xf numFmtId="49" fontId="48" fillId="0" borderId="0" xfId="0" applyFont="1" applyNumberFormat="1">
      <alignment horizontal="center" vertical="center" wrapText="1"/>
    </xf>
    <xf numFmtId="49" fontId="48" fillId="0" borderId="0" xfId="0" applyFont="1" applyNumberFormat="1">
      <alignment horizontal="left" vertical="center" wrapText="1" indent="1"/>
    </xf>
    <xf numFmtId="0" fontId="48" fillId="0" borderId="0" xfId="0" applyFont="1" applyNumberFormat="1">
      <alignment horizontal="left" vertical="center" wrapText="1" indent="4"/>
    </xf>
    <xf numFmtId="0" fontId="48" fillId="0" borderId="24" xfId="0" applyFont="1" applyBorder="1" applyNumberFormat="1">
      <alignment horizontal="left" vertical="center" wrapText="1" indent="1"/>
    </xf>
    <xf numFmtId="4" fontId="48" fillId="0" borderId="12" xfId="0" applyFont="1" applyBorder="1" applyNumberFormat="1">
      <alignment horizontal="right" vertical="center" wrapText="1"/>
    </xf>
    <xf numFmtId="502" fontId="48" fillId="0" borderId="12" xfId="0" applyFont="1" applyBorder="1" applyNumberFormat="1">
      <alignment horizontal="right" vertical="center" wrapText="1"/>
    </xf>
    <xf numFmtId="504" fontId="48" fillId="0" borderId="12" xfId="0" applyFont="1" applyBorder="1" applyNumberFormat="1">
      <alignment horizontal="center" vertical="center" wrapText="1"/>
    </xf>
    <xf numFmtId="49" fontId="48" fillId="0" borderId="12" xfId="0" applyFont="1" applyBorder="1" applyNumberFormat="1">
      <alignment horizontal="center" vertical="center" wrapText="1"/>
    </xf>
    <xf numFmtId="0" fontId="47" fillId="0" borderId="0" xfId="0" applyFont="1" applyNumberFormat="1">
      <alignment horizontal="left" vertical="center"/>
    </xf>
    <xf numFmtId="49" fontId="47" fillId="0" borderId="0" xfId="0" applyFont="1" applyNumberFormat="1">
      <alignment horizontal="left" vertical="center"/>
    </xf>
    <xf numFmtId="0" fontId="47" fillId="0" borderId="0" xfId="0" applyFont="1" applyNumberFormat="1">
      <alignment horizontal="left" vertical="center"/>
    </xf>
    <xf numFmtId="0" fontId="69" fillId="0" borderId="0" xfId="0" applyFont="1" applyNumberFormat="1">
      <alignment horizontal="left" vertical="center"/>
    </xf>
    <xf numFmtId="0" fontId="47" fillId="0" borderId="0" xfId="0" applyFont="1" applyNumberFormat="1">
      <alignment horizontal="left" vertical="center"/>
    </xf>
    <xf numFmtId="0" fontId="48" fillId="0" borderId="0" xfId="0" applyFont="1" applyNumberFormat="1">
      <alignment horizontal="left" vertical="center"/>
    </xf>
    <xf numFmtId="0" fontId="69" fillId="35" borderId="0" xfId="0" applyFont="1" applyFill="1" applyNumberFormat="1">
      <alignment vertical="center" wrapText="1"/>
    </xf>
    <xf numFmtId="0" fontId="22" fillId="35" borderId="37" xfId="0" applyFont="1" applyFill="1" applyBorder="1" applyNumberFormat="1">
      <alignment horizontal="center" vertical="center" wrapText="1"/>
    </xf>
    <xf numFmtId="0" fontId="0" fillId="35" borderId="37" xfId="0" applyFont="1" applyFill="1" applyBorder="1" applyNumberFormat="1">
      <alignment horizontal="center" vertical="center" wrapText="1"/>
    </xf>
    <xf numFmtId="0" fontId="0" fillId="35" borderId="20" xfId="0" applyFont="1" applyFill="1" applyBorder="1" applyNumberFormat="1">
      <alignment horizontal="center" vertical="center" wrapText="1"/>
    </xf>
    <xf numFmtId="0" fontId="22" fillId="0" borderId="19" xfId="0" applyFont="1" applyBorder="1" applyNumberFormat="1">
      <alignment horizontal="center" vertical="center" wrapText="1"/>
    </xf>
    <xf numFmtId="0" fontId="22" fillId="35" borderId="22" xfId="0" applyFont="1" applyFill="1" applyBorder="1" applyNumberFormat="1">
      <alignment horizontal="center" vertical="center" wrapText="1"/>
    </xf>
    <xf numFmtId="0" fontId="0" fillId="35" borderId="22" xfId="0" applyFont="1" applyFill="1" applyBorder="1" applyNumberFormat="1">
      <alignment horizontal="center" vertical="center" wrapText="1"/>
    </xf>
    <xf numFmtId="0" fontId="0" fillId="35" borderId="0" xfId="0" applyFont="1" applyFill="1" applyNumberFormat="1">
      <alignment horizontal="center" vertical="center" wrapText="1"/>
    </xf>
    <xf numFmtId="0" fontId="0" fillId="35" borderId="24" xfId="0" applyFont="1" applyFill="1" applyBorder="1" applyNumberFormat="1">
      <alignment horizontal="center" vertical="center" wrapText="1"/>
    </xf>
    <xf numFmtId="0" fontId="22" fillId="34" borderId="12" xfId="0" applyFont="1" applyFill="1" applyBorder="1" applyNumberFormat="1">
      <alignment horizontal="center" vertical="center" wrapText="1"/>
    </xf>
    <xf numFmtId="0" fontId="22" fillId="0" borderId="27" xfId="0" applyFont="1" applyBorder="1" applyNumberFormat="1">
      <alignment horizontal="center" vertical="center" wrapText="1"/>
    </xf>
    <xf numFmtId="0" fontId="22" fillId="39" borderId="12" xfId="0" applyFont="1" applyFill="1" applyBorder="1" applyNumberFormat="1">
      <alignment horizontal="center" vertical="center" wrapText="1"/>
      <protection locked="0"/>
    </xf>
    <xf numFmtId="0" fontId="22" fillId="35" borderId="12" xfId="0" applyFont="1" applyFill="1" applyBorder="1" applyNumberFormat="1">
      <alignment horizontal="center" vertical="center" wrapText="1"/>
    </xf>
    <xf numFmtId="0" fontId="22" fillId="35" borderId="30" xfId="0" applyFont="1" applyFill="1" applyBorder="1" applyNumberFormat="1">
      <alignment horizontal="center" vertical="center" wrapText="1"/>
    </xf>
    <xf numFmtId="0" fontId="0" fillId="35" borderId="30" xfId="0" applyFont="1" applyFill="1" applyBorder="1" applyNumberFormat="1">
      <alignment horizontal="center" vertical="center" wrapText="1"/>
    </xf>
    <xf numFmtId="0" fontId="0" fillId="35" borderId="27" xfId="0" applyFont="1" applyFill="1" applyBorder="1" applyNumberFormat="1">
      <alignment horizontal="center" vertical="center" wrapText="1"/>
    </xf>
    <xf numFmtId="0" fontId="0" fillId="35" borderId="29" xfId="0" applyFont="1" applyFill="1" applyBorder="1" applyNumberFormat="1">
      <alignment horizontal="center" vertical="center" wrapText="1"/>
    </xf>
    <xf numFmtId="0" fontId="22" fillId="35" borderId="23" xfId="0" applyFont="1" applyFill="1" applyBorder="1" applyNumberFormat="1">
      <alignment horizontal="center" vertical="center" wrapText="1"/>
    </xf>
    <xf numFmtId="49" fontId="22" fillId="0" borderId="12" xfId="0" applyFont="1" applyBorder="1" applyNumberFormat="1">
      <alignment horizontal="left" vertical="center" wrapText="1" indent="1"/>
    </xf>
    <xf numFmtId="0" fontId="22" fillId="0" borderId="12" xfId="0" applyFont="1" applyBorder="1" applyNumberFormat="1">
      <alignment horizontal="left" vertical="center" wrapText="1" indent="1"/>
    </xf>
    <xf numFmtId="49" fontId="22" fillId="37" borderId="14" xfId="0" applyFont="1" applyFill="1" applyBorder="1" applyNumberFormat="1">
      <alignment horizontal="center" vertical="center" wrapText="1"/>
    </xf>
    <xf numFmtId="49" fontId="72" fillId="0" borderId="24" xfId="0" applyFont="1" applyBorder="1" applyNumberFormat="1">
      <alignment vertical="top"/>
    </xf>
    <xf numFmtId="0" fontId="22" fillId="0" borderId="0" xfId="0" applyFont="1" applyNumberFormat="1">
      <alignment horizontal="left" vertical="top" wrapText="1"/>
    </xf>
    <xf numFmtId="0" fontId="69" fillId="0" borderId="0" xfId="0" applyFont="1" applyNumberFormat="1">
      <alignment vertical="center" wrapText="1"/>
    </xf>
    <xf numFmtId="0" fontId="22" fillId="35" borderId="12" xfId="0" applyFont="1" applyFill="1" applyBorder="1" applyNumberFormat="1">
      <alignment horizontal="left" vertical="center" wrapText="1"/>
    </xf>
    <xf numFmtId="0" fontId="22" fillId="0" borderId="0" xfId="0" applyFont="1" applyNumberFormat="1">
      <alignment horizontal="center" vertical="center" wrapText="1"/>
    </xf>
    <xf numFmtId="0" fontId="48" fillId="0" borderId="0" xfId="0" applyFont="1" applyNumberFormat="1">
      <alignment horizontal="center" vertical="center" wrapText="1"/>
    </xf>
    <xf numFmtId="0" fontId="22" fillId="36" borderId="14" xfId="0" applyFont="1" applyFill="1" applyBorder="1" applyNumberFormat="1">
      <alignment horizontal="left" vertical="center" wrapText="1"/>
      <protection locked="0"/>
    </xf>
    <xf numFmtId="0" fontId="22" fillId="36" borderId="15" xfId="0" applyFont="1" applyFill="1" applyBorder="1" applyNumberFormat="1">
      <alignment horizontal="left" vertical="center" wrapText="1"/>
      <protection locked="0"/>
    </xf>
    <xf numFmtId="0" fontId="22" fillId="36" borderId="13" xfId="0" applyFont="1" applyFill="1" applyBorder="1" applyNumberFormat="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indent="6"/>
      <protection locked="0"/>
    </xf>
    <xf numFmtId="4" fontId="22" fillId="0" borderId="37" xfId="0" applyFont="1" applyBorder="1" applyNumberFormat="1">
      <alignment horizontal="right" vertical="center" wrapText="1"/>
    </xf>
    <xf numFmtId="0" fontId="45" fillId="0" borderId="12" xfId="0" applyFont="1" applyBorder="1" applyNumberFormat="1">
      <alignment horizontal="left" vertical="top" wrapText="1"/>
    </xf>
    <xf numFmtId="49" fontId="22" fillId="0" borderId="12" xfId="0" applyFont="1" applyBorder="1" applyNumberFormat="1">
      <alignment horizontal="left" vertical="center" wrapText="1"/>
    </xf>
    <xf numFmtId="4" fontId="22" fillId="0" borderId="30" xfId="0" applyFont="1" applyBorder="1" applyNumberFormat="1">
      <alignment horizontal="right" vertical="center" wrapText="1"/>
    </xf>
    <xf numFmtId="49" fontId="0" fillId="37" borderId="29" xfId="0" applyFont="1" applyFill="1" applyBorder="1" applyNumberFormat="1">
      <alignment horizontal="center" vertical="center" wrapText="1"/>
    </xf>
    <xf numFmtId="49" fontId="40" fillId="37" borderId="15" xfId="0" applyFont="1" applyFill="1" applyBorder="1" applyNumberFormat="1">
      <alignment horizontal="left" vertical="center" indent="3"/>
    </xf>
    <xf numFmtId="0" fontId="48" fillId="0" borderId="0" xfId="0" applyFont="1" applyNumberFormat="1">
      <alignment horizontal="center" vertical="center"/>
    </xf>
    <xf numFmtId="0" fontId="47" fillId="0" borderId="0" xfId="0" applyFont="1" applyNumberFormat="1">
      <alignment horizontal="center" vertical="center" wrapText="1"/>
    </xf>
    <xf numFmtId="0" fontId="110" fillId="0" borderId="0" xfId="0" applyFont="1" applyNumberFormat="1">
      <alignment vertical="center" wrapText="1"/>
    </xf>
    <xf numFmtId="0" fontId="22" fillId="0" borderId="0" xfId="0" applyFont="1" applyNumberFormat="1">
      <alignment horizontal="right" vertical="center" wrapText="1"/>
    </xf>
    <xf numFmtId="0" fontId="22" fillId="0" borderId="17" xfId="0" applyFont="1" applyBorder="1" applyNumberFormat="1">
      <alignment horizontal="center" vertical="center" wrapText="1"/>
    </xf>
    <xf numFmtId="0" fontId="0" fillId="0" borderId="12" xfId="0" applyFont="1" applyBorder="1" applyNumberFormat="1">
      <alignment horizontal="center" vertical="center" wrapText="1"/>
    </xf>
    <xf numFmtId="0" fontId="80" fillId="35" borderId="19" xfId="0" applyFont="1" applyFill="1" applyBorder="1" applyNumberFormat="1">
      <alignment horizontal="center" vertical="center" wrapText="1"/>
    </xf>
    <xf numFmtId="0" fontId="22" fillId="35" borderId="12" xfId="0" applyFont="1" applyFill="1" applyBorder="1" applyNumberFormat="1">
      <alignment horizontal="left" vertical="center" wrapText="1"/>
    </xf>
    <xf numFmtId="0" fontId="22" fillId="0" borderId="0" xfId="0" applyFont="1" applyNumberFormat="1">
      <alignment horizontal="center" vertical="center" wrapText="1"/>
    </xf>
    <xf numFmtId="0" fontId="48" fillId="0" borderId="0" xfId="0" applyFont="1" applyNumberFormat="1">
      <alignment horizontal="center" vertical="center" wrapText="1"/>
    </xf>
    <xf numFmtId="49" fontId="22" fillId="0" borderId="12" xfId="0" applyFont="1" applyBorder="1" applyNumberFormat="1">
      <alignment horizontal="left" vertical="center" wrapText="1"/>
    </xf>
    <xf numFmtId="49" fontId="22" fillId="0" borderId="0" xfId="0" applyFont="1" applyNumberFormat="1">
      <alignment vertical="center" wrapText="1"/>
    </xf>
    <xf numFmtId="0" fontId="22" fillId="35" borderId="12" xfId="0" applyFont="1" applyFill="1" applyBorder="1" applyNumberFormat="1">
      <alignment horizontal="left" vertical="center" wrapText="1"/>
    </xf>
    <xf numFmtId="0" fontId="22" fillId="0" borderId="0" xfId="0" applyFont="1" applyNumberFormat="1">
      <alignment horizontal="center" vertical="center" wrapText="1"/>
    </xf>
    <xf numFmtId="0" fontId="48" fillId="0" borderId="0" xfId="0" applyFont="1" applyNumberFormat="1">
      <alignment horizontal="center" vertical="center" wrapText="1"/>
    </xf>
    <xf numFmtId="49" fontId="22" fillId="0" borderId="12" xfId="0" applyFont="1" applyBorder="1" applyNumberFormat="1">
      <alignment horizontal="left" vertical="center" wrapText="1"/>
    </xf>
    <xf numFmtId="0" fontId="48" fillId="0" borderId="0" xfId="0" applyFont="1" applyNumberFormat="1">
      <alignment horizontal="center" vertical="center"/>
    </xf>
    <xf numFmtId="0" fontId="47" fillId="0" borderId="0" xfId="0" applyFont="1" applyNumberFormat="1">
      <alignment horizontal="center" vertical="center" wrapText="1"/>
    </xf>
    <xf numFmtId="0" fontId="22" fillId="0" borderId="0" xfId="0" applyFont="1" applyNumberFormat="1">
      <alignment horizontal="right" vertical="center" wrapText="1"/>
    </xf>
    <xf numFmtId="0" fontId="22" fillId="0" borderId="17" xfId="0" applyFont="1" applyBorder="1" applyNumberFormat="1">
      <alignment horizontal="center" vertical="center" wrapText="1"/>
    </xf>
    <xf numFmtId="0" fontId="0" fillId="0" borderId="12" xfId="0" applyFont="1" applyBorder="1" applyNumberFormat="1">
      <alignment horizontal="center" vertical="center" wrapText="1"/>
    </xf>
    <xf numFmtId="0" fontId="80" fillId="35" borderId="19" xfId="0" applyFont="1" applyFill="1" applyBorder="1" applyNumberFormat="1">
      <alignment horizontal="center" vertical="center" wrapText="1"/>
    </xf>
    <xf numFmtId="49" fontId="22" fillId="0" borderId="0" xfId="0" applyFont="1" applyNumberFormat="1">
      <alignment vertical="center" wrapText="1"/>
    </xf>
    <xf numFmtId="0" fontId="22" fillId="34" borderId="15" xfId="0" applyFont="1" applyFill="1" applyBorder="1" applyNumberFormat="1">
      <alignment horizontal="left" vertical="center" wrapText="1"/>
    </xf>
    <xf numFmtId="0" fontId="47" fillId="0" borderId="0" xfId="0" applyFont="1" applyNumberFormat="1">
      <alignment horizontal="center" vertical="center" wrapText="1"/>
    </xf>
    <xf numFmtId="0" fontId="48" fillId="0" borderId="15" xfId="0" applyFont="1" applyBorder="1" applyNumberFormat="1">
      <alignment horizontal="left" vertical="center" wrapText="1"/>
    </xf>
    <xf numFmtId="0" fontId="22" fillId="0" borderId="12" xfId="0" applyFont="1" applyBorder="1" applyNumberFormat="1">
      <alignment horizontal="center" vertical="center" wrapText="1"/>
    </xf>
    <xf numFmtId="0" fontId="48" fillId="0" borderId="24" xfId="0" applyFont="1" applyBorder="1" applyNumberFormat="1">
      <alignment horizontal="center" vertical="top" wrapText="1"/>
    </xf>
    <xf numFmtId="0" fontId="22" fillId="35" borderId="17" xfId="0" applyFont="1" applyFill="1" applyBorder="1" applyNumberFormat="1">
      <alignment horizontal="left" vertical="center" wrapText="1"/>
    </xf>
    <xf numFmtId="49" fontId="22" fillId="39" borderId="17" xfId="0" applyFont="1" applyFill="1" applyBorder="1" applyNumberFormat="1">
      <alignment horizontal="left" vertical="center" wrapText="1" indent="6"/>
      <protection locked="0"/>
    </xf>
    <xf numFmtId="504" fontId="0" fillId="39" borderId="12" xfId="0" applyFont="1" applyFill="1" applyBorder="1" applyNumberFormat="1">
      <alignment horizontal="center" vertical="center" wrapText="1"/>
      <protection locked="0"/>
    </xf>
    <xf numFmtId="49" fontId="22" fillId="40" borderId="12" xfId="0" applyFont="1" applyFill="1" applyBorder="1" applyNumberFormat="1">
      <alignment horizontal="center" vertical="center"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504" fontId="0" fillId="39" borderId="12" xfId="0" applyFont="1" applyFill="1" applyBorder="1" applyNumberFormat="1">
      <alignment horizontal="center" vertical="center" wrapText="1"/>
      <protection locked="0"/>
    </xf>
    <xf numFmtId="49" fontId="22" fillId="40" borderId="12" xfId="0" applyFont="1" applyFill="1" applyBorder="1" applyNumberFormat="1">
      <alignment horizontal="center" vertical="center" wrapText="1"/>
    </xf>
    <xf numFmtId="49" fontId="48" fillId="0" borderId="12" xfId="0" applyFont="1" applyBorder="1" applyNumberFormat="1">
      <alignment horizontal="center" vertical="center" wrapText="1"/>
    </xf>
    <xf numFmtId="0" fontId="22" fillId="0" borderId="0" xfId="0" applyFont="1" applyNumberFormat="1">
      <alignment horizontal="left" vertical="center"/>
    </xf>
    <xf numFmtId="49" fontId="22" fillId="0" borderId="0" xfId="0" applyFont="1" applyNumberFormat="1">
      <alignment horizontal="left" vertical="center"/>
    </xf>
    <xf numFmtId="0" fontId="22" fillId="0" borderId="0" xfId="0" applyFont="1" applyNumberFormat="1">
      <alignment horizontal="left" vertical="center"/>
    </xf>
    <xf numFmtId="0" fontId="37" fillId="0" borderId="27" xfId="0" applyFont="1" applyBorder="1" applyNumberFormat="1">
      <alignment horizontal="center" vertical="center" wrapText="1"/>
    </xf>
    <xf numFmtId="0" fontId="22" fillId="39" borderId="13" xfId="0" applyFont="1" applyFill="1" applyBorder="1" applyNumberFormat="1">
      <alignment horizontal="center" vertical="center" wrapText="1"/>
      <protection locked="0"/>
    </xf>
    <xf numFmtId="0" fontId="22" fillId="35" borderId="12" xfId="0" applyFont="1" applyFill="1" applyBorder="1" applyNumberFormat="1">
      <alignment horizontal="center" vertical="center" wrapText="1"/>
    </xf>
    <xf numFmtId="0" fontId="22" fillId="35" borderId="29" xfId="0" applyFont="1" applyFill="1" applyBorder="1" applyNumberFormat="1">
      <alignment horizontal="center" vertical="center" wrapText="1"/>
    </xf>
    <xf numFmtId="0" fontId="22" fillId="35" borderId="23" xfId="0" applyFont="1" applyFill="1" applyBorder="1" applyNumberFormat="1">
      <alignment horizontal="center" vertical="center" wrapText="1"/>
    </xf>
    <xf numFmtId="0" fontId="22" fillId="0" borderId="12" xfId="0" applyFont="1" applyBorder="1" applyNumberFormat="1">
      <alignment horizontal="center" vertical="center" wrapText="1"/>
    </xf>
    <xf numFmtId="0" fontId="22" fillId="35" borderId="17" xfId="0" applyFont="1" applyFill="1" applyBorder="1" applyNumberFormat="1">
      <alignment horizontal="left" vertical="center" wrapText="1"/>
    </xf>
    <xf numFmtId="49" fontId="22" fillId="39" borderId="17" xfId="0" applyFont="1" applyFill="1" applyBorder="1" applyNumberFormat="1">
      <alignment horizontal="left" vertical="center" wrapText="1" indent="6"/>
      <protection locked="0"/>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0" fontId="22" fillId="0" borderId="0" xfId="0" applyFont="1" applyNumberFormat="1">
      <alignment horizontal="left" vertical="top" wrapText="1"/>
    </xf>
    <xf numFmtId="0" fontId="22" fillId="35" borderId="12" xfId="0" applyFont="1" applyFill="1" applyBorder="1" applyNumberFormat="1">
      <alignment horizontal="left" vertical="center" wrapText="1"/>
    </xf>
    <xf numFmtId="0" fontId="111" fillId="0" borderId="0" xfId="0" applyFont="1" applyNumberFormat="1">
      <alignment vertical="center" wrapText="1"/>
    </xf>
    <xf numFmtId="0" fontId="111" fillId="35" borderId="0" xfId="0" applyFont="1" applyFill="1" applyNumberFormat="1">
      <alignment horizontal="center" vertical="center" wrapText="1"/>
    </xf>
    <xf numFmtId="0" fontId="48" fillId="35" borderId="12" xfId="0" applyFont="1" applyFill="1" applyBorder="1" applyNumberFormat="1">
      <alignment horizontal="left" vertical="center" wrapText="1" indent="3"/>
    </xf>
    <xf numFmtId="0" fontId="48" fillId="0" borderId="0" xfId="0" applyFont="1" applyNumberFormat="1">
      <alignment horizontal="center" vertical="center"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49" fontId="22" fillId="36" borderId="36" xfId="0" applyFont="1" applyFill="1" applyBorder="1" applyNumberFormat="1">
      <alignment horizontal="left" vertical="center" wrapText="1" indent="6"/>
      <protection locked="0"/>
    </xf>
    <xf numFmtId="49" fontId="22" fillId="40" borderId="29" xfId="0" applyFont="1" applyFill="1" applyBorder="1" applyNumberFormat="1">
      <alignment horizontal="center" vertical="center" wrapText="1"/>
    </xf>
    <xf numFmtId="49" fontId="40" fillId="37" borderId="27" xfId="0" applyFont="1" applyFill="1" applyBorder="1" applyNumberFormat="1">
      <alignment horizontal="left" vertical="center"/>
    </xf>
    <xf numFmtId="49" fontId="22" fillId="36" borderId="23" xfId="0" applyFont="1" applyFill="1" applyBorder="1" applyNumberFormat="1">
      <alignment horizontal="left" vertical="center" wrapText="1" indent="6"/>
      <protection locked="0"/>
    </xf>
    <xf numFmtId="0" fontId="48" fillId="0" borderId="0" xfId="0" applyFont="1" applyNumberFormat="1">
      <alignment horizontal="center" vertical="center"/>
    </xf>
    <xf numFmtId="0" fontId="48" fillId="0" borderId="0" xfId="0" applyFont="1" applyNumberFormat="1">
      <alignment horizontal="left" vertical="center" wrapText="1" indent="1"/>
    </xf>
    <xf numFmtId="0" fontId="22" fillId="35" borderId="12" xfId="0" applyFont="1" applyFill="1" applyBorder="1" applyNumberFormat="1">
      <alignment horizontal="center" vertical="center" wrapText="1"/>
    </xf>
    <xf numFmtId="0" fontId="48" fillId="0" borderId="19" xfId="0" applyFont="1" applyBorder="1" applyNumberFormat="1">
      <alignment horizontal="left" vertical="center" wrapText="1"/>
    </xf>
    <xf numFmtId="0" fontId="22" fillId="0" borderId="0" xfId="0" applyFont="1" applyNumberFormat="1">
      <alignment horizontal="left" vertical="top" wrapText="1"/>
    </xf>
    <xf numFmtId="0" fontId="47" fillId="0" borderId="0" xfId="0" applyFont="1" applyNumberFormat="1">
      <alignment horizontal="center" vertical="center" wrapText="1"/>
    </xf>
    <xf numFmtId="0" fontId="22" fillId="35" borderId="12" xfId="0" applyFont="1" applyFill="1" applyBorder="1" applyNumberFormat="1">
      <alignment horizontal="left" vertical="center" wrapText="1"/>
    </xf>
    <xf numFmtId="0" fontId="22" fillId="0" borderId="0" xfId="0" applyFont="1" applyNumberFormat="1">
      <alignment horizontal="center" vertical="center" wrapText="1"/>
    </xf>
    <xf numFmtId="0" fontId="48" fillId="0" borderId="0" xfId="0" applyFont="1" applyNumberFormat="1">
      <alignment horizontal="center" vertical="center" wrapText="1"/>
    </xf>
    <xf numFmtId="49" fontId="22" fillId="0" borderId="12" xfId="0" applyFont="1" applyBorder="1" applyNumberFormat="1">
      <alignment horizontal="left" vertical="center" wrapText="1"/>
    </xf>
    <xf numFmtId="0" fontId="48" fillId="0" borderId="0" xfId="0" applyFont="1" applyNumberFormat="1">
      <alignment horizontal="center" vertical="center"/>
    </xf>
    <xf numFmtId="0" fontId="47" fillId="0" borderId="0" xfId="0" applyFont="1" applyNumberFormat="1">
      <alignment horizontal="center" vertical="center" wrapText="1"/>
    </xf>
    <xf numFmtId="0" fontId="22" fillId="0" borderId="0" xfId="0" applyFont="1" applyNumberFormat="1">
      <alignment horizontal="right" vertical="center" wrapText="1"/>
    </xf>
    <xf numFmtId="0" fontId="22" fillId="0" borderId="17" xfId="0" applyFont="1" applyBorder="1" applyNumberFormat="1">
      <alignment horizontal="center" vertical="center" wrapText="1"/>
    </xf>
    <xf numFmtId="0" fontId="0" fillId="0" borderId="12" xfId="0" applyFont="1" applyBorder="1" applyNumberFormat="1">
      <alignment horizontal="center" vertical="center" wrapText="1"/>
    </xf>
    <xf numFmtId="0" fontId="80" fillId="35" borderId="19" xfId="0" applyFont="1" applyFill="1" applyBorder="1" applyNumberFormat="1">
      <alignment horizontal="center" vertical="center" wrapText="1"/>
    </xf>
    <xf numFmtId="49" fontId="22" fillId="0" borderId="0" xfId="0" applyFont="1" applyNumberFormat="1">
      <alignment vertical="center" wrapText="1"/>
    </xf>
    <xf numFmtId="49" fontId="22" fillId="40"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49" fontId="48" fillId="0" borderId="12" xfId="0" applyFont="1" applyBorder="1" applyNumberFormat="1">
      <alignment horizontal="center" vertical="center" wrapText="1"/>
    </xf>
    <xf numFmtId="0" fontId="22" fillId="35" borderId="12" xfId="0" applyFont="1" applyFill="1" applyBorder="1" applyNumberFormat="1">
      <alignment horizontal="center" vertical="center" wrapText="1"/>
    </xf>
    <xf numFmtId="0" fontId="22" fillId="0" borderId="0" xfId="0" applyFont="1" applyNumberFormat="1">
      <alignment horizontal="left" vertical="top" wrapText="1"/>
    </xf>
    <xf numFmtId="0" fontId="22" fillId="0" borderId="12" xfId="0" applyFont="1" applyBorder="1" applyNumberFormat="1">
      <alignment horizontal="center" vertical="center" wrapText="1"/>
    </xf>
    <xf numFmtId="49" fontId="22" fillId="35" borderId="12" xfId="0" applyFont="1" applyFill="1" applyBorder="1" applyNumberFormat="1">
      <alignment horizontal="center" vertical="center" wrapText="1"/>
    </xf>
    <xf numFmtId="0" fontId="47" fillId="0" borderId="0" xfId="0" applyFont="1" applyNumberFormat="1">
      <alignment horizontal="center" vertical="center" wrapText="1"/>
    </xf>
    <xf numFmtId="49" fontId="22" fillId="35" borderId="12" xfId="0" applyFont="1" applyFill="1" applyBorder="1" applyNumberFormat="1">
      <alignment horizontal="center" vertical="center" wrapText="1"/>
    </xf>
    <xf numFmtId="0" fontId="47" fillId="0" borderId="0" xfId="0" applyFont="1" applyNumberFormat="1">
      <alignment horizontal="center" vertical="center" wrapText="1"/>
    </xf>
    <xf numFmtId="49" fontId="22" fillId="0" borderId="0" xfId="0" applyFont="1" applyNumberFormat="1">
      <alignment vertical="center" wrapText="1"/>
    </xf>
    <xf numFmtId="0" fontId="80" fillId="35" borderId="19" xfId="0" applyFont="1" applyFill="1" applyBorder="1" applyNumberFormat="1">
      <alignment horizontal="center" vertical="center" wrapText="1"/>
    </xf>
    <xf numFmtId="49" fontId="48" fillId="0" borderId="0" xfId="0" applyFont="1" applyNumberFormat="1">
      <alignment horizontal="center" vertical="center" wrapText="1"/>
    </xf>
    <xf numFmtId="49" fontId="22" fillId="0" borderId="0" xfId="0" applyFont="1" applyNumberFormat="1">
      <alignment horizontal="center" vertical="center" wrapText="1"/>
    </xf>
    <xf numFmtId="0" fontId="22" fillId="0" borderId="28" xfId="0" applyFont="1" applyBorder="1" applyNumberFormat="1">
      <alignment horizontal="center" vertical="center" wrapText="1"/>
    </xf>
    <xf numFmtId="0" fontId="22" fillId="39" borderId="12" xfId="0" applyFont="1" applyFill="1" applyBorder="1" applyNumberFormat="1">
      <alignment horizontal="left" vertical="center" wrapText="1" indent="2"/>
      <protection locked="0"/>
    </xf>
    <xf numFmtId="0" fontId="22" fillId="0" borderId="12" xfId="0" applyFont="1" applyBorder="1" applyNumberFormat="1">
      <alignment horizontal="center" vertical="center" wrapText="1"/>
    </xf>
    <xf numFmtId="0" fontId="22" fillId="0" borderId="12" xfId="0" applyFont="1" applyBorder="1" applyNumberFormat="1">
      <alignment vertical="center" wrapText="1"/>
    </xf>
    <xf numFmtId="0" fontId="84" fillId="0" borderId="0" xfId="0" applyFont="1" applyNumberFormat="1">
      <alignment vertical="center" wrapText="1"/>
    </xf>
    <xf numFmtId="0" fontId="48" fillId="0" borderId="28" xfId="0" applyFont="1" applyBorder="1" applyNumberFormat="1">
      <alignment horizontal="center" vertical="center" wrapText="1"/>
    </xf>
    <xf numFmtId="0" fontId="48" fillId="0" borderId="12" xfId="0" applyFont="1" applyBorder="1" applyNumberFormat="1">
      <alignment horizontal="left" vertical="center" wrapText="1" indent="2"/>
    </xf>
    <xf numFmtId="0" fontId="48" fillId="0" borderId="12" xfId="0" applyFont="1" applyBorder="1" applyNumberFormat="1">
      <alignment horizontal="center" vertical="center" wrapText="1"/>
    </xf>
    <xf numFmtId="0" fontId="48" fillId="0" borderId="12" xfId="0" applyFont="1" applyBorder="1" applyNumberFormat="1">
      <alignment vertical="center" wrapText="1"/>
    </xf>
    <xf numFmtId="0" fontId="22" fillId="0" borderId="12" xfId="0" applyFont="1" applyBorder="1" applyNumberFormat="1">
      <alignment horizontal="left" vertical="center" wrapText="1" indent="3"/>
    </xf>
    <xf numFmtId="49" fontId="22" fillId="39" borderId="12" xfId="0" applyFont="1" applyFill="1" applyBorder="1" applyNumberFormat="1">
      <alignment horizontal="center" vertical="center" wrapText="1"/>
      <protection locked="0"/>
    </xf>
    <xf numFmtId="4" fontId="22" fillId="36" borderId="12" xfId="0" applyFont="1" applyFill="1" applyBorder="1" applyNumberFormat="1">
      <alignment horizontal="right" vertical="center" wrapText="1"/>
      <protection locked="0"/>
    </xf>
    <xf numFmtId="0" fontId="22" fillId="36" borderId="12" xfId="0" applyFont="1" applyFill="1" applyBorder="1" applyNumberFormat="1">
      <alignment horizontal="left" vertical="center" wrapText="1"/>
      <protection locked="0"/>
    </xf>
    <xf numFmtId="49" fontId="91" fillId="0" borderId="0" xfId="0" applyFont="1" applyNumberFormat="1">
      <alignment horizontal="center" vertical="center" wrapText="1"/>
    </xf>
    <xf numFmtId="49" fontId="22" fillId="0" borderId="0" xfId="0" applyFont="1" applyNumberFormat="1">
      <alignment horizontal="center" vertical="top" wrapText="1"/>
    </xf>
    <xf numFmtId="0" fontId="22" fillId="0" borderId="12" xfId="0" applyFont="1" applyBorder="1" applyNumberFormat="1">
      <alignment horizontal="center" vertical="center" wrapText="1"/>
    </xf>
    <xf numFmtId="0" fontId="22" fillId="0" borderId="13" xfId="0" applyFont="1" applyBorder="1" applyNumberFormat="1">
      <alignment vertical="top" wrapText="1"/>
    </xf>
    <xf numFmtId="0" fontId="54" fillId="0" borderId="0" xfId="0" applyFont="1" applyNumberFormat="1">
      <alignment vertical="center" wrapText="1"/>
    </xf>
    <xf numFmtId="0" fontId="22" fillId="0" borderId="13" xfId="0" applyFont="1" applyBorder="1" applyNumberFormat="1">
      <alignment horizontal="center" vertical="center" wrapText="1"/>
    </xf>
    <xf numFmtId="503" fontId="22" fillId="36" borderId="12" xfId="0" applyFont="1" applyFill="1" applyBorder="1" applyNumberFormat="1">
      <alignment horizontal="right" vertical="center" wrapText="1"/>
      <protection locked="0"/>
    </xf>
    <xf numFmtId="0" fontId="22" fillId="0" borderId="20" xfId="0" applyFont="1" applyBorder="1" applyNumberFormat="1">
      <alignment vertical="center" wrapText="1"/>
    </xf>
    <xf numFmtId="0" fontId="32" fillId="0" borderId="0" xfId="0" applyFont="1" applyNumberFormat="1">
      <alignment vertical="center" wrapText="1"/>
    </xf>
    <xf numFmtId="0" fontId="46" fillId="0" borderId="0" xfId="0" applyFont="1" applyNumberFormat="1">
      <alignment vertical="center" wrapText="1"/>
    </xf>
    <xf numFmtId="0" fontId="22" fillId="0" borderId="0" xfId="0" applyFont="1" applyNumberFormat="1">
      <alignment horizontal="left" vertical="center" wrapText="1" indent="3"/>
    </xf>
    <xf numFmtId="0" fontId="97" fillId="35" borderId="0" xfId="0" applyFont="1" applyFill="1" applyNumberFormat="1">
      <alignment horizontal="right" vertical="center"/>
    </xf>
    <xf numFmtId="0" fontId="22" fillId="0" borderId="14" xfId="0" applyFont="1" applyBorder="1" applyNumberFormat="1">
      <alignment vertical="center" wrapText="1"/>
    </xf>
    <xf numFmtId="0" fontId="22" fillId="0" borderId="15" xfId="0" applyFont="1" applyBorder="1" applyNumberFormat="1">
      <alignment horizontal="right" vertical="center" wrapText="1" indent="1"/>
    </xf>
    <xf numFmtId="0" fontId="22" fillId="0" borderId="13" xfId="0" applyFont="1" applyBorder="1" applyNumberFormat="1">
      <alignment horizontal="right" vertical="center" wrapText="1" indent="1"/>
    </xf>
    <xf numFmtId="0" fontId="22" fillId="34" borderId="14" xfId="0" applyFont="1" applyFill="1" applyBorder="1" applyNumberFormat="1">
      <alignment horizontal="left" vertical="top" wrapText="1"/>
    </xf>
    <xf numFmtId="0" fontId="22" fillId="0" borderId="14" xfId="0" applyFont="1" applyBorder="1" applyNumberFormat="1">
      <alignment horizontal="right" vertical="center" wrapText="1"/>
    </xf>
    <xf numFmtId="0" fontId="22" fillId="0" borderId="15" xfId="0" applyFont="1" applyBorder="1" applyNumberFormat="1">
      <alignment horizontal="right" vertical="center" wrapText="1"/>
    </xf>
    <xf numFmtId="0" fontId="22" fillId="0" borderId="15" xfId="0" applyFont="1" applyBorder="1" applyNumberFormat="1">
      <alignment horizontal="right" vertical="center" wrapText="1" indent="1"/>
    </xf>
    <xf numFmtId="0" fontId="22" fillId="0" borderId="12" xfId="0" applyFont="1" applyBorder="1" applyNumberFormat="1">
      <alignment horizontal="center" vertical="center" wrapText="1"/>
    </xf>
    <xf numFmtId="0" fontId="22" fillId="0" borderId="12" xfId="0" applyFont="1" applyBorder="1" applyNumberFormat="1">
      <alignment horizontal="left" vertical="center" wrapText="1"/>
    </xf>
    <xf numFmtId="0" fontId="22" fillId="0" borderId="12" xfId="0" applyFont="1" applyBorder="1" applyNumberFormat="1">
      <alignment horizontal="center" vertical="center" wrapText="1"/>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0" fontId="22" fillId="0" borderId="12" xfId="0" applyFont="1" applyBorder="1" applyNumberFormat="1">
      <alignment horizontal="left" vertical="center" wrapText="1" indent="1"/>
    </xf>
    <xf numFmtId="49" fontId="91" fillId="46" borderId="0" xfId="0" applyFont="1" applyFill="1" applyNumberFormat="1">
      <alignment horizontal="center" vertical="center" textRotation="90" wrapText="1"/>
    </xf>
    <xf numFmtId="0" fontId="72" fillId="0" borderId="0" xfId="0" applyFont="1" applyNumberFormat="1">
      <alignment horizontal="center" vertical="center" wrapTex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pplyNumberFormat="1">
      <alignment horizontal="left" vertical="center" wrapText="1" indent="2"/>
    </xf>
    <xf numFmtId="0" fontId="72" fillId="0" borderId="12" xfId="0" applyFont="1" applyBorder="1" applyNumberFormat="1">
      <alignment horizontal="center" vertical="center" wrapText="1"/>
    </xf>
    <xf numFmtId="0" fontId="72" fillId="0" borderId="12" xfId="0" applyFont="1" applyBorder="1" applyNumberFormat="1">
      <alignment vertical="center" wrapText="1"/>
    </xf>
    <xf numFmtId="0" fontId="85" fillId="0" borderId="0" xfId="0" applyFont="1" applyNumberFormat="1">
      <alignment vertical="center" wrapText="1"/>
    </xf>
    <xf numFmtId="0" fontId="63" fillId="0" borderId="0" xfId="0" applyFont="1" applyNumberFormat="1">
      <alignment vertical="center" wrapText="1"/>
    </xf>
    <xf numFmtId="0" fontId="72" fillId="0" borderId="28" xfId="0" applyFont="1" applyBorder="1" applyNumberFormat="1">
      <alignment horizontal="center" vertical="center" wrapText="1"/>
    </xf>
    <xf numFmtId="0" fontId="72" fillId="0" borderId="12" xfId="0" applyFont="1" applyBorder="1" applyNumberFormat="1">
      <alignment horizontal="left" vertical="center" wrapText="1" indent="3"/>
    </xf>
    <xf numFmtId="4" fontId="72" fillId="0" borderId="12" xfId="0" applyFont="1" applyBorder="1" applyNumberFormat="1">
      <alignment horizontal="right" vertical="center" wrapText="1"/>
    </xf>
    <xf numFmtId="0" fontId="37" fillId="0" borderId="0" xfId="0" applyFont="1" applyNumberFormat="1">
      <alignment horizontal="center" vertical="center" wrapText="1"/>
    </xf>
    <xf numFmtId="49" fontId="22" fillId="37" borderId="14" xfId="0" applyFont="1" applyFill="1" applyBorder="1" applyNumberFormat="1">
      <alignment vertical="center" wrapText="1"/>
    </xf>
    <xf numFmtId="0" fontId="22" fillId="37" borderId="15" xfId="0" applyFont="1" applyFill="1" applyBorder="1" applyNumberFormat="1">
      <alignment vertical="center" wrapText="1"/>
    </xf>
    <xf numFmtId="0" fontId="47" fillId="37" borderId="13" xfId="0" applyFont="1" applyFill="1" applyBorder="1" applyNumberFormat="1">
      <alignment vertical="center" wrapText="1"/>
    </xf>
    <xf numFmtId="0" fontId="22" fillId="0" borderId="12" xfId="0" applyFont="1" applyBorder="1" applyNumberFormat="1">
      <alignment horizontal="left" vertical="center" wrapText="1" indent="2"/>
    </xf>
    <xf numFmtId="14" fontId="22" fillId="0" borderId="0" xfId="0" applyFont="1" applyNumberFormat="1">
      <alignment horizontal="center" vertical="center" wrapText="1"/>
    </xf>
    <xf numFmtId="49" fontId="91" fillId="46" borderId="0" xfId="0" applyFont="1" applyFill="1" applyNumberFormat="1">
      <alignment horizontal="center" vertical="center" wrapText="1"/>
    </xf>
    <xf numFmtId="49" fontId="50" fillId="0" borderId="0" xfId="0" applyFont="1" applyNumberFormat="1">
      <alignment horizontal="center" vertical="center"/>
    </xf>
    <xf numFmtId="503" fontId="22" fillId="39" borderId="12" xfId="0" applyFont="1" applyFill="1" applyBorder="1" applyNumberFormat="1">
      <alignment horizontal="right" vertical="center" wrapText="1"/>
      <protection locked="0"/>
    </xf>
    <xf numFmtId="0" fontId="47" fillId="0" borderId="0" xfId="0" applyFont="1" applyNumberFormat="1">
      <alignment horizontal="left" vertical="center" wrapText="1"/>
    </xf>
    <xf numFmtId="49" fontId="91" fillId="0" borderId="0" xfId="0" applyFont="1" applyNumberFormat="1">
      <alignment horizontal="left" vertical="center" wrapText="1"/>
    </xf>
    <xf numFmtId="0" fontId="48" fillId="0" borderId="0" xfId="0" applyFont="1" applyNumberFormat="1">
      <alignment horizontal="left" vertical="center" wrapText="1"/>
    </xf>
    <xf numFmtId="49" fontId="22" fillId="0" borderId="0" xfId="0" applyFont="1" applyNumberFormat="1">
      <alignment horizontal="left" vertical="center" wrapText="1"/>
    </xf>
    <xf numFmtId="0" fontId="54" fillId="0" borderId="0" xfId="0" applyFont="1" applyNumberFormat="1">
      <alignment horizontal="left" vertical="center" wrapText="1"/>
    </xf>
    <xf numFmtId="0" fontId="32" fillId="0" borderId="0" xfId="0" applyFont="1" applyNumberFormat="1">
      <alignment horizontal="left" vertical="center" wrapText="1"/>
    </xf>
    <xf numFmtId="49" fontId="22" fillId="40" borderId="12" xfId="0" applyFont="1" applyFill="1" applyBorder="1" applyNumberFormat="1">
      <alignment horizontal="left" vertical="center" wrapText="1"/>
    </xf>
    <xf numFmtId="0" fontId="22" fillId="0" borderId="17" xfId="0" applyFont="1" applyBorder="1" applyNumberFormat="1">
      <alignment horizontal="center" vertical="center" wrapText="1"/>
    </xf>
    <xf numFmtId="4" fontId="22" fillId="34" borderId="17" xfId="0" applyFont="1" applyFill="1" applyBorder="1" applyNumberFormat="1">
      <alignment horizontal="right" vertical="center" wrapText="1"/>
    </xf>
    <xf numFmtId="0" fontId="48" fillId="0" borderId="12" xfId="0" applyFont="1" applyBorder="1" applyNumberFormat="1">
      <alignment horizontal="left" vertical="center" wrapText="1" indent="3"/>
    </xf>
    <xf numFmtId="49" fontId="48" fillId="0" borderId="12" xfId="0" applyFont="1" applyBorder="1" applyNumberFormat="1">
      <alignment vertical="center" wrapText="1"/>
    </xf>
    <xf numFmtId="0" fontId="48" fillId="0" borderId="17" xfId="0" applyFont="1" applyBorder="1" applyNumberFormat="1">
      <alignment vertical="top" wrapText="1"/>
    </xf>
    <xf numFmtId="0" fontId="22" fillId="0" borderId="17" xfId="0" applyFont="1" applyBorder="1" applyNumberFormat="1">
      <alignment horizontal="center" vertical="center" wrapText="1"/>
    </xf>
    <xf numFmtId="0" fontId="22" fillId="0" borderId="14" xfId="0" applyFont="1" applyBorder="1" applyNumberFormat="1">
      <alignment horizontal="left" vertical="center" wrapText="1" indent="2"/>
    </xf>
    <xf numFmtId="0" fontId="22" fillId="0" borderId="12" xfId="0" applyFont="1" applyBorder="1" applyNumberFormat="1">
      <alignment horizontal="center" vertical="center" wrapText="1"/>
    </xf>
    <xf numFmtId="4" fontId="22" fillId="39" borderId="13" xfId="0" applyFont="1" applyFill="1" applyBorder="1" applyNumberFormat="1">
      <alignment horizontal="right" vertical="center" wrapText="1"/>
      <protection locked="0"/>
    </xf>
    <xf numFmtId="0" fontId="22" fillId="0" borderId="14" xfId="0" applyFont="1" applyBorder="1" applyNumberFormat="1">
      <alignment horizontal="left" vertical="center" wrapText="1" indent="1"/>
    </xf>
    <xf numFmtId="0" fontId="22" fillId="0" borderId="14" xfId="0" applyFont="1" applyBorder="1" applyNumberFormat="1">
      <alignment horizontal="left" vertical="center" wrapText="1"/>
    </xf>
    <xf numFmtId="0" fontId="22" fillId="0" borderId="23" xfId="0" applyFont="1" applyBorder="1" applyNumberFormat="1">
      <alignment horizontal="center" vertical="center" wrapText="1"/>
    </xf>
    <xf numFmtId="49" fontId="53" fillId="36" borderId="13" xfId="0" applyFont="1" applyFill="1" applyBorder="1" applyNumberFormat="1">
      <alignment horizontal="left" vertical="center" wrapText="1"/>
      <protection locked="0"/>
    </xf>
    <xf numFmtId="49" fontId="53" fillId="36" borderId="12" xfId="0" applyFont="1" applyFill="1" applyBorder="1" applyNumberFormat="1">
      <alignment horizontal="left" vertical="center" wrapText="1"/>
      <protection locked="0"/>
    </xf>
    <xf numFmtId="0" fontId="48" fillId="0" borderId="0" xfId="0" applyFont="1" applyNumberFormat="1">
      <alignment vertical="center" wrapText="1"/>
    </xf>
    <xf numFmtId="49" fontId="22" fillId="0" borderId="0" xfId="0" applyFont="1" applyNumberFormat="1">
      <alignment horizontal="center" vertical="center" wrapText="1"/>
    </xf>
    <xf numFmtId="0" fontId="22" fillId="0" borderId="12" xfId="0" applyFont="1" applyBorder="1" applyNumberFormat="1">
      <alignment horizontal="center" vertical="center" wrapText="1"/>
    </xf>
    <xf numFmtId="503" fontId="22" fillId="39" borderId="13" xfId="0" applyFont="1" applyFill="1" applyBorder="1" applyNumberFormat="1">
      <alignment horizontal="right" vertical="center" wrapText="1"/>
      <protection locked="0"/>
    </xf>
    <xf numFmtId="0" fontId="84" fillId="0" borderId="0" xfId="0" applyFont="1" applyNumberFormat="1">
      <alignment vertical="center" wrapText="1"/>
    </xf>
    <xf numFmtId="0" fontId="54" fillId="0" borderId="0" xfId="0" applyFont="1" applyNumberFormat="1">
      <alignment vertical="center" wrapText="1"/>
    </xf>
    <xf numFmtId="0" fontId="32" fillId="0" borderId="0" xfId="0" applyFont="1" applyNumberFormat="1">
      <alignment vertical="center" wrapText="1"/>
    </xf>
    <xf numFmtId="0" fontId="47" fillId="0" borderId="0" xfId="0" applyFont="1" applyNumberFormat="1">
      <alignment vertical="center" wrapText="1"/>
    </xf>
    <xf numFmtId="49" fontId="50" fillId="0" borderId="0" xfId="0" applyFont="1" applyNumberFormat="1">
      <alignment horizontal="center" vertical="center"/>
    </xf>
    <xf numFmtId="0" fontId="22" fillId="0" borderId="0" xfId="0" applyFont="1" applyNumberFormat="1">
      <alignment vertical="center" wrapText="1"/>
    </xf>
    <xf numFmtId="503" fontId="22" fillId="34" borderId="13" xfId="0" applyFont="1" applyFill="1" applyBorder="1" applyNumberFormat="1">
      <alignment horizontal="right" vertical="center" wrapText="1"/>
    </xf>
    <xf numFmtId="503" fontId="22" fillId="34" borderId="12" xfId="0" applyFont="1" applyFill="1" applyBorder="1" applyNumberFormat="1">
      <alignment horizontal="right" vertical="center" wrapText="1"/>
    </xf>
    <xf numFmtId="49" fontId="91" fillId="46" borderId="0" xfId="0" applyFont="1" applyFill="1" applyNumberFormat="1">
      <alignment horizontal="center" vertical="center" textRotation="90" wrapText="1"/>
    </xf>
    <xf numFmtId="0" fontId="22" fillId="39" borderId="12" xfId="0" applyFont="1" applyFill="1" applyBorder="1" applyNumberFormat="1">
      <alignment horizontal="center" vertical="center" wrapText="1"/>
      <protection locked="0"/>
    </xf>
    <xf numFmtId="4" fontId="22" fillId="39" borderId="29"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0" fontId="48" fillId="0" borderId="36" xfId="0" applyFont="1" applyBorder="1" applyNumberFormat="1">
      <alignment horizontal="left" vertical="center" wrapText="1" indent="1"/>
    </xf>
    <xf numFmtId="0" fontId="48" fillId="0" borderId="36" xfId="0" applyFont="1" applyBorder="1" applyNumberFormat="1">
      <alignment horizontal="center" vertical="center" wrapText="1"/>
    </xf>
    <xf numFmtId="0" fontId="48" fillId="0" borderId="17" xfId="0" applyFont="1" applyBorder="1" applyNumberFormat="1">
      <alignment vertical="center" wrapText="1"/>
    </xf>
    <xf numFmtId="49" fontId="22" fillId="37" borderId="37" xfId="0" applyFont="1" applyFill="1" applyBorder="1" applyNumberFormat="1">
      <alignment vertical="center" wrapText="1"/>
    </xf>
    <xf numFmtId="49" fontId="40" fillId="37" borderId="19" xfId="0" applyFont="1" applyFill="1" applyBorder="1" applyNumberFormat="1">
      <alignment horizontal="left" vertical="center" indent="1"/>
    </xf>
    <xf numFmtId="0" fontId="22" fillId="0" borderId="23" xfId="0" applyFont="1" applyBorder="1" applyNumberFormat="1">
      <alignment vertical="top" wrapText="1"/>
    </xf>
    <xf numFmtId="0" fontId="22" fillId="0" borderId="13" xfId="0" applyFont="1" applyBorder="1" applyNumberFormat="1">
      <alignment horizontal="center" vertical="center" wrapText="1"/>
    </xf>
    <xf numFmtId="0" fontId="22" fillId="0" borderId="13" xfId="0" applyFont="1" applyBorder="1" applyNumberFormat="1">
      <alignment horizontal="center" vertical="center" wrapText="1"/>
    </xf>
    <xf numFmtId="0" fontId="22" fillId="0" borderId="20" xfId="0" applyFont="1" applyBorder="1" applyNumberFormat="1">
      <alignment horizontal="center" vertical="center" wrapText="1"/>
    </xf>
    <xf numFmtId="503" fontId="22" fillId="39" borderId="17" xfId="0" applyFont="1" applyFill="1" applyBorder="1" applyNumberFormat="1">
      <alignment horizontal="right" vertical="center" wrapText="1"/>
      <protection locked="0"/>
    </xf>
    <xf numFmtId="0" fontId="48" fillId="0" borderId="23" xfId="0" applyFont="1" applyBorder="1" applyNumberFormat="1">
      <alignment horizontal="left" vertical="center" wrapText="1" indent="1"/>
    </xf>
    <xf numFmtId="0" fontId="48" fillId="0" borderId="17" xfId="0" applyFont="1" applyBorder="1" applyNumberFormat="1">
      <alignment horizontal="center" vertical="center" wrapText="1"/>
    </xf>
    <xf numFmtId="0" fontId="37" fillId="0" borderId="0" xfId="0" applyFont="1" applyNumberFormat="1">
      <alignment horizontal="center" vertical="center" wrapText="1"/>
    </xf>
    <xf numFmtId="49" fontId="22" fillId="37" borderId="37" xfId="0" applyFont="1" applyFill="1" applyBorder="1" applyNumberFormat="1">
      <alignment vertical="center" wrapText="1"/>
    </xf>
    <xf numFmtId="49" fontId="40" fillId="37" borderId="19" xfId="0" applyFont="1" applyFill="1" applyBorder="1" applyNumberFormat="1">
      <alignment horizontal="left" vertical="center" indent="1"/>
    </xf>
    <xf numFmtId="0" fontId="22" fillId="37" borderId="15" xfId="0" applyFont="1" applyFill="1" applyBorder="1" applyNumberFormat="1">
      <alignment vertical="center" wrapText="1"/>
    </xf>
    <xf numFmtId="0" fontId="47" fillId="37" borderId="13" xfId="0" applyFont="1" applyFill="1" applyBorder="1" applyNumberFormat="1">
      <alignment vertical="center" wrapText="1"/>
    </xf>
    <xf numFmtId="0" fontId="22" fillId="0" borderId="23" xfId="0" applyFont="1" applyBorder="1" applyNumberFormat="1">
      <alignment vertical="top" wrapText="1"/>
    </xf>
    <xf numFmtId="0" fontId="48" fillId="0" borderId="17" xfId="0" applyFont="1" applyBorder="1" applyNumberFormat="1">
      <alignment horizontal="left" vertical="center" wrapText="1" indent="1"/>
    </xf>
    <xf numFmtId="49" fontId="53" fillId="36" borderId="12" xfId="0" applyFont="1" applyFill="1" applyBorder="1" applyNumberFormat="1">
      <alignment horizontal="left" vertical="center" wrapText="1"/>
      <protection locked="0"/>
    </xf>
    <xf numFmtId="0" fontId="22" fillId="0" borderId="0" xfId="0" applyFont="1" applyNumberFormat="1">
      <alignment vertical="top" wrapText="1"/>
    </xf>
    <xf numFmtId="0" fontId="22" fillId="0" borderId="0" xfId="0" applyFont="1" applyNumberFormat="1">
      <alignment horizontal="left" vertical="top" wrapText="1"/>
    </xf>
    <xf numFmtId="0" fontId="54" fillId="0" borderId="0" xfId="0" applyFont="1" applyNumberFormat="1">
      <alignment vertical="center"/>
    </xf>
    <xf numFmtId="0" fontId="91" fillId="0" borderId="0" xfId="0" applyFont="1" applyNumberFormat="1">
      <alignment vertical="center" wrapText="1"/>
    </xf>
    <xf numFmtId="49" fontId="91" fillId="0" borderId="0" xfId="0" applyFont="1" applyNumberFormat="1">
      <alignment horizontal="center" vertical="center" wrapText="1"/>
    </xf>
    <xf numFmtId="0" fontId="54" fillId="0" borderId="0" xfId="0" applyFont="1" applyNumberFormat="1">
      <alignment vertical="center" wrapText="1"/>
    </xf>
    <xf numFmtId="0" fontId="22" fillId="0" borderId="19" xfId="0" applyFont="1" applyBorder="1" applyNumberFormat="1">
      <alignment vertical="center" wrapText="1"/>
    </xf>
    <xf numFmtId="0" fontId="22" fillId="0" borderId="0" xfId="0" applyFont="1" applyNumberFormat="1">
      <alignment horizontal="center" vertical="center" wrapText="1"/>
    </xf>
    <xf numFmtId="49" fontId="32" fillId="0" borderId="0" xfId="0" applyFont="1" applyNumberFormat="1">
      <alignment horizontal="center" vertical="center" wrapText="1"/>
    </xf>
    <xf numFmtId="0" fontId="22" fillId="0" borderId="27" xfId="0" applyFont="1" applyBorder="1" applyNumberFormat="1">
      <alignment vertical="center" wrapText="1"/>
    </xf>
    <xf numFmtId="0" fontId="48" fillId="0" borderId="0" xfId="0" applyFont="1" applyNumberFormat="1">
      <alignment vertical="center" wrapText="1"/>
    </xf>
    <xf numFmtId="0" fontId="32" fillId="0" borderId="0" xfId="0" applyFont="1" applyNumberFormat="1">
      <alignment vertical="center" wrapText="1"/>
    </xf>
    <xf numFmtId="0" fontId="50" fillId="0" borderId="0" xfId="0" applyFont="1" applyNumberFormat="1">
      <alignment horizontal="center" vertical="center" wrapText="1"/>
    </xf>
    <xf numFmtId="49" fontId="63" fillId="0" borderId="0" xfId="0" applyFont="1" applyNumberFormat="1">
      <alignment horizontal="center" vertical="center" wrapText="1"/>
    </xf>
    <xf numFmtId="0" fontId="72" fillId="0" borderId="0" xfId="0" applyFont="1" applyNumberFormat="1">
      <alignment horizontal="center" vertical="center" wrapText="1"/>
    </xf>
    <xf numFmtId="0" fontId="100" fillId="0" borderId="0" xfId="0" applyFont="1" applyNumberFormat="1">
      <alignment horizontal="center" vertical="center" wrapText="1"/>
    </xf>
    <xf numFmtId="0" fontId="101" fillId="35" borderId="0" xfId="0" applyFont="1" applyFill="1" applyNumberFormat="1">
      <alignment horizontal="right" vertical="center"/>
    </xf>
    <xf numFmtId="0" fontId="63" fillId="0" borderId="0" xfId="0" applyFont="1" applyNumberFormat="1">
      <alignment vertical="center" wrapText="1"/>
    </xf>
    <xf numFmtId="0" fontId="71" fillId="0" borderId="0" xfId="0" applyFont="1" applyNumberFormat="1">
      <alignment vertical="center" wrapText="1"/>
    </xf>
    <xf numFmtId="0" fontId="22" fillId="0" borderId="12" xfId="0" applyFont="1" applyBorder="1" applyNumberFormat="1">
      <alignment horizontal="center" vertical="center" wrapText="1"/>
    </xf>
    <xf numFmtId="49" fontId="48" fillId="0" borderId="0" xfId="0" applyFont="1" applyNumberFormat="1">
      <alignment horizontal="center" vertical="center" wrapText="1"/>
    </xf>
    <xf numFmtId="49" fontId="48" fillId="0" borderId="0" xfId="0" applyFont="1" applyNumberFormat="1">
      <alignment horizontal="center" vertical="center" wrapText="1"/>
    </xf>
    <xf numFmtId="49" fontId="32" fillId="0" borderId="0" xfId="0" applyFont="1" applyNumberFormat="1">
      <alignment horizontal="center" vertical="center" wrapText="1"/>
    </xf>
    <xf numFmtId="49" fontId="22" fillId="0" borderId="0" xfId="0" applyFont="1" applyNumberFormat="1">
      <alignment horizontal="center" vertical="center" wrapText="1"/>
    </xf>
    <xf numFmtId="4" fontId="22" fillId="0" borderId="0" xfId="0" applyFont="1" applyNumberFormat="1">
      <alignment horizontal="right" vertical="center" wrapText="1"/>
    </xf>
    <xf numFmtId="9" fontId="50" fillId="0" borderId="0" xfId="0" applyFont="1" applyNumberFormat="1">
      <alignment horizontal="center" vertical="center" wrapText="1"/>
    </xf>
    <xf numFmtId="0" fontId="71" fillId="0" borderId="0" xfId="0" applyFont="1" applyNumberFormat="1">
      <alignment vertical="center" wrapText="1"/>
    </xf>
    <xf numFmtId="0" fontId="48" fillId="0" borderId="0" xfId="0" applyFont="1" applyNumberFormat="1">
      <alignment vertical="center" wrapText="1"/>
    </xf>
    <xf numFmtId="0" fontId="32" fillId="0" borderId="0" xfId="0" applyFont="1" applyNumberFormat="1">
      <alignment vertical="center" wrapText="1"/>
    </xf>
    <xf numFmtId="0" fontId="0" fillId="0" borderId="0" xfId="0" applyFont="1" applyNumberFormat="1">
      <alignment vertical="top"/>
    </xf>
    <xf numFmtId="49" fontId="0" fillId="0" borderId="0" xfId="0" applyFont="1" applyNumberFormat="1">
      <alignment vertical="top"/>
    </xf>
    <xf numFmtId="49" fontId="48" fillId="0" borderId="17" xfId="0" applyFont="1" applyBorder="1" applyNumberFormat="1">
      <alignment horizontal="center" vertical="center" wrapText="1"/>
    </xf>
    <xf numFmtId="0" fontId="0" fillId="0" borderId="14" xfId="0" applyFont="1" applyBorder="1" applyNumberFormat="1">
      <alignment horizontal="right" vertical="center" wrapText="1" indent="1"/>
    </xf>
    <xf numFmtId="0" fontId="0" fillId="0" borderId="15" xfId="0" applyFont="1" applyBorder="1" applyNumberFormat="1">
      <alignment horizontal="right" vertical="center" wrapText="1" indent="1"/>
    </xf>
    <xf numFmtId="0" fontId="0" fillId="0" borderId="13" xfId="0" applyFont="1" applyBorder="1" applyNumberFormat="1">
      <alignment horizontal="right" vertical="center" wrapText="1" indent="1"/>
    </xf>
    <xf numFmtId="0" fontId="0" fillId="34" borderId="12" xfId="0" applyFont="1" applyFill="1" applyBorder="1" applyNumberFormat="1">
      <alignment horizontal="left" vertical="center" wrapText="1" indent="1"/>
    </xf>
    <xf numFmtId="0" fontId="22" fillId="0" borderId="13" xfId="0" applyFont="1" applyBorder="1" applyNumberFormat="1">
      <alignment horizontal="left" vertical="center" wrapText="1" indent="1"/>
    </xf>
    <xf numFmtId="49" fontId="48" fillId="0" borderId="22" xfId="0" applyFont="1" applyBorder="1" applyNumberFormat="1">
      <alignment vertical="top"/>
    </xf>
    <xf numFmtId="49" fontId="48" fillId="0" borderId="0" xfId="0" applyFont="1" applyNumberFormat="1">
      <alignment vertical="top"/>
    </xf>
    <xf numFmtId="49" fontId="47" fillId="0" borderId="0" xfId="0" applyFont="1" applyNumberFormat="1">
      <alignment vertical="top"/>
    </xf>
    <xf numFmtId="49" fontId="48" fillId="0" borderId="0" xfId="0" applyFont="1" applyNumberFormat="1">
      <alignment vertical="top"/>
    </xf>
    <xf numFmtId="49" fontId="47" fillId="0" borderId="0" xfId="0" applyFont="1" applyNumberFormat="1">
      <alignment vertical="top"/>
    </xf>
    <xf numFmtId="0" fontId="47" fillId="0" borderId="0" xfId="0" applyFont="1" applyNumberFormat="1">
      <alignment horizontal="center" vertical="top"/>
    </xf>
    <xf numFmtId="49" fontId="47" fillId="0" borderId="0" xfId="0" applyFont="1" applyNumberFormat="1">
      <alignment vertical="top"/>
    </xf>
    <xf numFmtId="0" fontId="47" fillId="0" borderId="0" xfId="0" applyFont="1" applyNumberFormat="1">
      <alignment vertical="top"/>
    </xf>
    <xf numFmtId="0" fontId="74" fillId="0" borderId="0" xfId="0" applyFont="1" applyNumberFormat="1">
      <alignment vertical="top"/>
    </xf>
    <xf numFmtId="0" fontId="87" fillId="0" borderId="0" xfId="0" applyFont="1" applyNumberFormat="1">
      <alignment vertical="top"/>
    </xf>
    <xf numFmtId="49" fontId="48" fillId="0" borderId="36" xfId="0" applyFont="1" applyBorder="1" applyNumberFormat="1">
      <alignment horizontal="center" vertical="center" wrapText="1"/>
    </xf>
    <xf numFmtId="0" fontId="47" fillId="0" borderId="0" xfId="0" applyFont="1" applyNumberFormat="1">
      <alignment horizontal="center" vertical="center" wrapText="1"/>
    </xf>
    <xf numFmtId="0" fontId="22" fillId="0" borderId="23" xfId="0" applyFont="1" applyBorder="1" applyNumberFormat="1">
      <alignment horizontal="left" vertical="center" wrapText="1"/>
    </xf>
    <xf numFmtId="2" fontId="22" fillId="0" borderId="23" xfId="0" applyFont="1" applyBorder="1" applyNumberFormat="1">
      <alignment horizontal="center" vertical="center" wrapText="1"/>
    </xf>
    <xf numFmtId="0" fontId="22" fillId="0" borderId="12" xfId="0" applyFont="1" applyBorder="1" applyNumberFormat="1">
      <alignment horizontal="left" vertical="center" wrapText="1"/>
    </xf>
    <xf numFmtId="49" fontId="48" fillId="0" borderId="22" xfId="0" applyFont="1" applyBorder="1" applyNumberFormat="1">
      <alignment vertical="top"/>
    </xf>
    <xf numFmtId="0" fontId="48" fillId="0" borderId="0" xfId="0" applyFont="1" applyNumberFormat="1">
      <alignment horizontal="center" vertical="center" wrapText="1"/>
    </xf>
    <xf numFmtId="0" fontId="48" fillId="0" borderId="0" xfId="0" applyFont="1" applyNumberFormat="1">
      <alignment horizontal="center" vertical="center" wrapText="1"/>
    </xf>
    <xf numFmtId="0" fontId="48" fillId="0" borderId="12" xfId="0" applyFont="1" applyBorder="1" applyNumberFormat="1">
      <alignment horizontal="left" vertical="center" wrapText="1"/>
    </xf>
    <xf numFmtId="0" fontId="48" fillId="0" borderId="12" xfId="0" applyFont="1" applyBorder="1" applyNumberFormat="1">
      <alignment vertical="center" wrapText="1"/>
    </xf>
    <xf numFmtId="0" fontId="48" fillId="0" borderId="22" xfId="0" applyFont="1" applyBorder="1" applyNumberFormat="1">
      <alignment vertical="center" wrapText="1"/>
    </xf>
    <xf numFmtId="49" fontId="40" fillId="37" borderId="14" xfId="0" applyFont="1" applyFill="1" applyBorder="1" applyNumberFormat="1">
      <alignment horizontal="left" vertical="center"/>
    </xf>
    <xf numFmtId="49" fontId="40" fillId="37" borderId="15" xfId="0" applyFont="1" applyFill="1" applyBorder="1" applyNumberFormat="1">
      <alignment horizontal="left" vertical="center" indent="1"/>
    </xf>
    <xf numFmtId="49" fontId="40" fillId="37" borderId="15" xfId="0" applyFont="1" applyFill="1" applyBorder="1" applyNumberFormat="1">
      <alignment horizontal="left" vertical="center"/>
    </xf>
    <xf numFmtId="49" fontId="40" fillId="37" borderId="13" xfId="0" applyFont="1" applyFill="1" applyBorder="1" applyNumberFormat="1">
      <alignment horizontal="left" vertical="center" indent="1"/>
    </xf>
    <xf numFmtId="0" fontId="22" fillId="0" borderId="23" xfId="0" applyFont="1" applyBorder="1" applyNumberFormat="1">
      <alignment horizontal="left" vertical="center" wrapText="1"/>
    </xf>
    <xf numFmtId="0" fontId="22" fillId="0" borderId="12" xfId="0" applyFont="1" applyBorder="1" applyNumberFormat="1">
      <alignment horizontal="left" vertical="center" wrapText="1"/>
    </xf>
    <xf numFmtId="0" fontId="47" fillId="0" borderId="0" xfId="0" applyFont="1" applyNumberFormat="1">
      <alignment horizontal="center" vertical="top"/>
    </xf>
    <xf numFmtId="0" fontId="48" fillId="0" borderId="0" xfId="0" applyFont="1" applyNumberFormat="1">
      <alignment horizontal="center" vertical="center" wrapText="1"/>
    </xf>
    <xf numFmtId="49" fontId="48" fillId="0" borderId="23" xfId="0" applyFont="1" applyBorder="1" applyNumberFormat="1">
      <alignment horizontal="center" vertical="center" wrapText="1"/>
    </xf>
    <xf numFmtId="49" fontId="40" fillId="0" borderId="19" xfId="0" applyFont="1" applyBorder="1" applyNumberFormat="1">
      <alignment horizontal="right" vertical="center"/>
    </xf>
    <xf numFmtId="0" fontId="22" fillId="0" borderId="0" xfId="0" applyFont="1" applyNumberFormat="1">
      <alignment horizontal="right" vertical="center" wrapText="1"/>
    </xf>
    <xf numFmtId="0" fontId="0" fillId="0" borderId="0" xfId="0" applyFont="1" applyNumberFormat="1">
      <alignment vertical="center"/>
    </xf>
    <xf numFmtId="0" fontId="45" fillId="0" borderId="0" xfId="0" applyFont="1" applyNumberFormat="1">
      <alignment horizontal="right" vertical="top" wrapText="1"/>
    </xf>
    <xf numFmtId="0" fontId="45" fillId="0" borderId="0" xfId="0" applyFont="1" applyNumberFormat="1">
      <alignment horizontal="left" vertical="top" wrapText="1"/>
    </xf>
    <xf numFmtId="49" fontId="32" fillId="0" borderId="0" xfId="0" applyFont="1" applyNumberFormat="1">
      <alignment horizontal="center" vertical="center" wrapText="1"/>
    </xf>
    <xf numFmtId="0" fontId="47" fillId="55" borderId="12" xfId="0" applyFont="1" applyFill="1" applyBorder="1" applyNumberFormat="1">
      <alignment horizontal="left" vertical="center" wrapText="1"/>
    </xf>
    <xf numFmtId="0" fontId="22" fillId="54" borderId="12" xfId="0" applyFont="1" applyFill="1" applyBorder="1" applyNumberFormat="1">
      <alignment vertical="center"/>
    </xf>
    <xf numFmtId="49" fontId="0" fillId="7" borderId="12" xfId="0" applyFont="1" applyFill="1" applyBorder="1" applyNumberFormat="1">
      <alignment horizontal="center" vertical="center" wrapText="1"/>
    </xf>
    <xf numFmtId="49" fontId="0" fillId="7" borderId="12" xfId="0" applyFont="1" applyFill="1" applyBorder="1" applyNumberFormat="1">
      <alignment horizontal="center" vertical="center" wrapText="1"/>
    </xf>
    <xf numFmtId="49" fontId="36"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3" xfId="0" applyFont="1" applyBorder="1" applyNumberFormat="1">
      <alignment horizontal="center" vertical="center" wrapText="1"/>
    </xf>
    <xf numFmtId="49" fontId="126" fillId="0" borderId="17" xfId="0" applyFont="1" applyBorder="1" applyNumberFormat="1">
      <alignment horizontal="center" vertical="center" wrapText="1"/>
    </xf>
    <xf numFmtId="49" fontId="126" fillId="0" borderId="12" xfId="0" applyFont="1" applyBorder="1" applyNumberFormat="1">
      <alignment horizontal="center" vertical="center" wrapText="1"/>
    </xf>
    <xf numFmtId="0" fontId="22" fillId="34" borderId="14" xfId="0" applyFont="1" applyFill="1" applyBorder="1" applyNumberFormat="1">
      <alignment horizontal="left" vertical="top" wrapText="1"/>
    </xf>
    <xf numFmtId="0" fontId="48" fillId="0" borderId="14" xfId="0" applyFont="1" applyBorder="1" applyNumberFormat="1">
      <alignment vertical="center" wrapText="1"/>
    </xf>
    <xf numFmtId="0" fontId="22" fillId="0" borderId="15" xfId="0" applyFont="1" applyBorder="1" applyNumberFormat="1">
      <alignment horizontal="right" vertical="center" wrapText="1" indent="1"/>
    </xf>
    <xf numFmtId="0" fontId="22" fillId="0" borderId="19" xfId="0" applyFont="1" applyBorder="1" applyNumberFormat="1">
      <alignment horizontal="right" vertical="center" wrapText="1" indent="1"/>
    </xf>
    <xf numFmtId="0" fontId="22" fillId="0" borderId="12" xfId="0" applyFont="1" applyBorder="1" applyNumberFormat="1">
      <alignment horizontal="center" vertical="center" wrapText="1"/>
    </xf>
    <xf numFmtId="0" fontId="22" fillId="0" borderId="14" xfId="0" applyFont="1" applyBorder="1" applyNumberFormat="1">
      <alignment horizontal="center" vertical="center" wrapText="1"/>
    </xf>
    <xf numFmtId="0" fontId="22" fillId="0" borderId="12" xfId="0" applyFont="1" applyBorder="1" applyNumberFormat="1">
      <alignment horizontal="center" vertical="center" wrapText="1"/>
    </xf>
    <xf numFmtId="0" fontId="91" fillId="0" borderId="0" xfId="0" applyFont="1" applyNumberFormat="1">
      <alignment horizontal="center" vertical="center" wrapText="1"/>
    </xf>
    <xf numFmtId="49" fontId="22" fillId="0" borderId="0" xfId="0" applyFont="1" applyNumberFormat="1">
      <alignment horizontal="center" vertical="center" wrapText="1"/>
    </xf>
    <xf numFmtId="49" fontId="22" fillId="0" borderId="28" xfId="0" applyFont="1" applyBorder="1" applyNumberFormat="1">
      <alignment horizontal="center" vertical="center" wrapText="1"/>
    </xf>
    <xf numFmtId="0" fontId="22" fillId="0" borderId="12" xfId="0" applyFont="1" applyBorder="1" applyNumberFormat="1">
      <alignment horizontal="left" vertical="center" wrapText="1"/>
    </xf>
    <xf numFmtId="49" fontId="53" fillId="36" borderId="14" xfId="0" applyFont="1" applyFill="1" applyBorder="1" applyNumberFormat="1">
      <alignment horizontal="left" vertical="center" wrapText="1"/>
      <protection locked="0"/>
    </xf>
    <xf numFmtId="49" fontId="22" fillId="0" borderId="57" xfId="0" applyFont="1" applyBorder="1" applyNumberFormat="1">
      <alignment horizontal="center" vertical="center" wrapText="1"/>
    </xf>
    <xf numFmtId="0" fontId="22" fillId="0" borderId="17" xfId="0" applyFont="1" applyBorder="1" applyNumberFormat="1">
      <alignment horizontal="left" vertical="center" wrapText="1"/>
    </xf>
    <xf numFmtId="0" fontId="22" fillId="0" borderId="17" xfId="0" applyFont="1" applyBorder="1" applyNumberFormat="1">
      <alignment horizontal="center" vertical="center" wrapText="1"/>
    </xf>
    <xf numFmtId="4" fontId="22" fillId="39" borderId="37" xfId="0" applyFont="1" applyFill="1" applyBorder="1" applyNumberFormat="1">
      <alignment horizontal="right" vertical="center" wrapText="1"/>
      <protection locked="0"/>
    </xf>
    <xf numFmtId="4" fontId="22" fillId="39" borderId="17" xfId="0" applyFont="1" applyFill="1" applyBorder="1" applyNumberFormat="1">
      <alignment horizontal="right" vertical="center" wrapText="1"/>
      <protection locked="0"/>
    </xf>
    <xf numFmtId="0" fontId="47" fillId="37" borderId="15" xfId="0" applyFont="1" applyFill="1" applyBorder="1" applyNumberFormat="1">
      <alignment vertical="center" wrapText="1"/>
    </xf>
    <xf numFmtId="49" fontId="22" fillId="0" borderId="58" xfId="0" applyFont="1" applyBorder="1" applyNumberFormat="1">
      <alignment horizontal="center" vertical="center" wrapText="1"/>
    </xf>
    <xf numFmtId="0" fontId="22" fillId="0" borderId="15" xfId="0" applyFont="1" applyBorder="1" applyNumberFormat="1">
      <alignment horizontal="center" vertical="center" wrapText="1"/>
    </xf>
    <xf numFmtId="4" fontId="22" fillId="39" borderId="14" xfId="0" applyFont="1" applyFill="1" applyBorder="1" applyNumberFormat="1">
      <alignment horizontal="right" vertical="center" wrapText="1"/>
      <protection locked="0"/>
    </xf>
    <xf numFmtId="49" fontId="22" fillId="0" borderId="59" xfId="0" applyFont="1" applyBorder="1" applyNumberFormat="1">
      <alignment horizontal="center" vertical="center" wrapText="1"/>
    </xf>
    <xf numFmtId="3" fontId="22" fillId="39" borderId="14" xfId="0" applyFont="1" applyFill="1" applyBorder="1" applyNumberFormat="1">
      <alignment horizontal="right" vertical="center" wrapText="1"/>
      <protection locked="0"/>
    </xf>
    <xf numFmtId="0" fontId="22" fillId="0" borderId="17" xfId="0" applyFont="1" applyBorder="1" applyNumberFormat="1">
      <alignment horizontal="left" vertical="center" wrapText="1"/>
    </xf>
    <xf numFmtId="0" fontId="22" fillId="0" borderId="37" xfId="0" applyFont="1" applyBorder="1" applyNumberFormat="1">
      <alignment horizontal="center" vertical="center" wrapText="1"/>
    </xf>
    <xf numFmtId="49" fontId="22" fillId="0" borderId="12" xfId="0" applyFont="1" applyBorder="1" applyNumberFormat="1">
      <alignment horizontal="center" vertical="center" wrapText="1"/>
    </xf>
    <xf numFmtId="0" fontId="22" fillId="0" borderId="12" xfId="0" applyFont="1" applyBorder="1" applyNumberFormat="1">
      <alignment horizontal="left" vertical="center" wrapText="1"/>
    </xf>
    <xf numFmtId="49" fontId="53" fillId="39" borderId="14" xfId="0" applyFont="1" applyFill="1" applyBorder="1" applyNumberFormat="1">
      <alignment horizontal="left" vertical="center" wrapText="1"/>
      <protection locked="0"/>
    </xf>
    <xf numFmtId="0" fontId="22" fillId="0" borderId="0" xfId="0" applyFont="1" applyNumberFormat="1">
      <alignment horizontal="left" vertical="center" wrapText="1" indent="2"/>
    </xf>
    <xf numFmtId="49" fontId="121" fillId="0" borderId="0" xfId="0" applyFont="1" applyNumberFormat="1">
      <alignment horizontal="center" vertical="center" wrapText="1"/>
    </xf>
    <xf numFmtId="49" fontId="0" fillId="35" borderId="12" xfId="0" applyFont="1" applyFill="1" applyBorder="1" applyNumberFormat="1">
      <alignment horizontal="center" vertical="center" wrapText="1"/>
    </xf>
    <xf numFmtId="49" fontId="0" fillId="39" borderId="12" xfId="0" applyFont="1" applyFill="1" applyBorder="1" applyNumberFormat="1">
      <alignment horizontal="left" vertical="center" wrapText="1" indent="1"/>
      <protection locked="0"/>
    </xf>
    <xf numFmtId="0" fontId="22" fillId="0" borderId="12" xfId="0" applyFont="1" applyBorder="1" applyNumberFormat="1">
      <alignment vertical="top" wrapText="1"/>
    </xf>
    <xf numFmtId="0" fontId="22" fillId="35" borderId="0" xfId="0" applyFont="1" applyFill="1" applyNumberFormat="1">
      <alignment horizontal="right" vertical="center" wrapText="1"/>
    </xf>
    <xf numFmtId="0" fontId="64" fillId="0" borderId="0" xfId="0" applyFont="1" applyNumberFormat="1">
      <alignment vertical="center" wrapText="1"/>
    </xf>
    <xf numFmtId="0" fontId="22" fillId="35" borderId="0" xfId="0" applyFont="1" applyFill="1" applyNumberFormat="1">
      <alignment horizontal="right" vertical="center"/>
    </xf>
    <xf numFmtId="0" fontId="22" fillId="35" borderId="14" xfId="0" applyFont="1" applyFill="1" applyBorder="1" applyNumberFormat="1">
      <alignment horizontal="center" vertical="center" wrapText="1"/>
    </xf>
    <xf numFmtId="0" fontId="22" fillId="35" borderId="15" xfId="0" applyFont="1" applyFill="1" applyBorder="1" applyNumberFormat="1">
      <alignment horizontal="center" vertical="center" wrapText="1"/>
    </xf>
    <xf numFmtId="0" fontId="22" fillId="35" borderId="20" xfId="0" applyFont="1" applyFill="1" applyBorder="1" applyNumberFormat="1">
      <alignment horizontal="center" vertical="center" wrapText="1"/>
    </xf>
    <xf numFmtId="0" fontId="22" fillId="35" borderId="12" xfId="0" applyFont="1" applyFill="1" applyBorder="1" applyNumberFormat="1">
      <alignment horizontal="center" vertical="center"/>
    </xf>
    <xf numFmtId="0" fontId="22" fillId="35" borderId="12" xfId="0" applyFont="1" applyFill="1" applyBorder="1" applyNumberFormat="1">
      <alignment horizontal="center" vertical="center" wrapText="1"/>
    </xf>
    <xf numFmtId="0" fontId="0" fillId="0" borderId="12" xfId="0" applyFont="1" applyBorder="1" applyNumberFormat="1">
      <alignment horizontal="center" vertical="center" wrapText="1"/>
    </xf>
    <xf numFmtId="0" fontId="0" fillId="0" borderId="14" xfId="0" applyFont="1" applyBorder="1" applyNumberFormat="1">
      <alignment horizontal="center" vertical="center" wrapText="1"/>
    </xf>
    <xf numFmtId="0" fontId="0" fillId="0" borderId="12" xfId="0" applyFont="1" applyBorder="1" applyNumberFormat="1">
      <alignment horizontal="center" vertical="center" wrapText="1"/>
    </xf>
    <xf numFmtId="0" fontId="0" fillId="0" borderId="12" xfId="0" applyFont="1" applyBorder="1" applyNumberFormat="1">
      <alignment horizontal="left" vertical="top" wrapText="1"/>
    </xf>
    <xf numFmtId="0" fontId="0" fillId="0" borderId="12" xfId="0" applyFont="1" applyBorder="1" applyNumberFormat="1">
      <alignment horizontal="left" vertical="center" wrapText="1"/>
    </xf>
    <xf numFmtId="49" fontId="22" fillId="0" borderId="0" xfId="0" applyFont="1" applyNumberFormat="1">
      <alignment vertical="top"/>
    </xf>
    <xf numFmtId="0" fontId="22" fillId="37" borderId="14" xfId="0" applyFont="1" applyFill="1" applyBorder="1" applyNumberFormat="1">
      <alignment vertical="center" wrapText="1"/>
    </xf>
    <xf numFmtId="49" fontId="44" fillId="37" borderId="13" xfId="0" applyFont="1" applyFill="1" applyBorder="1" applyNumberFormat="1">
      <alignment horizontal="center" vertical="top"/>
    </xf>
    <xf numFmtId="49" fontId="40" fillId="0" borderId="19" xfId="0" applyFont="1" applyBorder="1" applyNumberFormat="1">
      <alignment horizontal="left" vertical="center"/>
    </xf>
    <xf numFmtId="49" fontId="40" fillId="0" borderId="19" xfId="0" applyFont="1" applyBorder="1" applyNumberFormat="1">
      <alignment horizontal="left" vertical="center" indent="2"/>
    </xf>
    <xf numFmtId="49" fontId="44" fillId="0" borderId="19" xfId="0" applyFont="1" applyBorder="1" applyNumberFormat="1">
      <alignment horizontal="center" vertical="top"/>
    </xf>
    <xf numFmtId="0" fontId="22" fillId="0" borderId="0" xfId="0" applyFont="1" applyNumberFormat="1">
      <alignment horizontal="left" vertical="top" wrapText="1"/>
    </xf>
    <xf numFmtId="0" fontId="22" fillId="0" borderId="0" xfId="0" applyFont="1" applyNumberFormat="1">
      <alignment horizontal="right" vertical="top" wrapText="1"/>
    </xf>
    <xf numFmtId="0" fontId="22" fillId="0" borderId="0" xfId="0" applyFont="1" applyNumberFormat="1">
      <alignment horizontal="left" vertical="top" wrapText="1"/>
    </xf>
    <xf numFmtId="49" fontId="22" fillId="0" borderId="0" xfId="0" applyFont="1" applyNumberFormat="1">
      <alignment vertical="center" wrapText="1"/>
    </xf>
    <xf numFmtId="49" fontId="22" fillId="0" borderId="0" xfId="0" applyFont="1" applyNumberFormat="1">
      <alignment vertical="center" wrapText="1"/>
    </xf>
    <xf numFmtId="49" fontId="22" fillId="0" borderId="0" xfId="0" applyFont="1" applyNumberFormat="1">
      <alignment vertical="center" wrapText="1"/>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34" borderId="14" xfId="0" applyFont="1" applyFill="1" applyBorder="1" applyNumberFormat="1">
      <alignment horizontal="left" vertical="top" wrapText="1"/>
    </xf>
    <xf numFmtId="0" fontId="48" fillId="0" borderId="15" xfId="0" applyFont="1" applyBorder="1" applyNumberFormat="1">
      <alignment horizontal="right" vertical="center" wrapText="1" indent="1"/>
    </xf>
    <xf numFmtId="0" fontId="48" fillId="0" borderId="13" xfId="0" applyFont="1" applyBorder="1" applyNumberFormat="1">
      <alignment horizontal="right" vertical="center" wrapText="1" indent="1"/>
    </xf>
    <xf numFmtId="0" fontId="48" fillId="0" borderId="14" xfId="0" applyFont="1" applyBorder="1" applyNumberFormat="1">
      <alignment horizontal="left" vertical="top" wrapText="1"/>
    </xf>
    <xf numFmtId="0" fontId="22" fillId="0" borderId="15" xfId="0" applyFont="1" applyBorder="1" applyNumberFormat="1">
      <alignment horizontal="right" vertical="center" wrapText="1" indent="1"/>
    </xf>
    <xf numFmtId="0" fontId="22" fillId="0" borderId="12" xfId="0" applyFont="1" applyBorder="1" applyNumberFormat="1">
      <alignment horizontal="center" vertical="center" wrapText="1"/>
    </xf>
    <xf numFmtId="0" fontId="22" fillId="0" borderId="12" xfId="0" applyFont="1" applyBorder="1" applyNumberFormat="1">
      <alignment horizontal="left" vertical="center" wrapText="1"/>
    </xf>
    <xf numFmtId="0" fontId="22" fillId="0" borderId="12" xfId="0" applyFont="1" applyBorder="1" applyNumberFormat="1">
      <alignment horizontal="left" vertical="center" wrapText="1" indent="1"/>
    </xf>
    <xf numFmtId="0" fontId="22" fillId="0" borderId="13" xfId="0" applyFont="1" applyBorder="1" applyNumberFormat="1">
      <alignment horizontal="center" vertical="center" wrapText="1"/>
    </xf>
    <xf numFmtId="0" fontId="22" fillId="0" borderId="13" xfId="0" applyFont="1" applyBorder="1" applyNumberFormat="1">
      <alignment horizontal="center" vertical="center" wrapText="1"/>
    </xf>
    <xf numFmtId="0" fontId="22" fillId="0" borderId="17" xfId="0" applyFont="1" applyBorder="1" applyNumberFormat="1">
      <alignment horizontal="center" vertical="center" wrapText="1"/>
    </xf>
    <xf numFmtId="49" fontId="40" fillId="37" borderId="19" xfId="0" applyFont="1" applyFill="1" applyBorder="1" applyNumberFormat="1">
      <alignment horizontal="left" vertical="center" indent="2"/>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34" borderId="14" xfId="0" applyFont="1" applyFill="1" applyBorder="1" applyNumberFormat="1">
      <alignment horizontal="left" vertical="top" wrapText="1"/>
    </xf>
    <xf numFmtId="0" fontId="22" fillId="0" borderId="15" xfId="0" applyFont="1" applyBorder="1" applyNumberFormat="1">
      <alignment horizontal="right" vertical="center" wrapText="1" indent="1"/>
    </xf>
    <xf numFmtId="0" fontId="22" fillId="0" borderId="12" xfId="0" applyFont="1" applyBorder="1" applyNumberFormat="1">
      <alignment horizontal="center" vertical="center" wrapText="1"/>
    </xf>
    <xf numFmtId="0" fontId="22" fillId="0" borderId="17" xfId="0" applyFont="1" applyBorder="1" applyNumberFormat="1">
      <alignment horizontal="left" vertical="center" wrapText="1"/>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0" fontId="22" fillId="0" borderId="17" xfId="0" applyFont="1" applyBorder="1" applyNumberFormat="1">
      <alignment horizontal="left" vertical="center" wrapText="1" indent="1"/>
    </xf>
    <xf numFmtId="0" fontId="22" fillId="0" borderId="17" xfId="0" applyFont="1" applyBorder="1" applyNumberFormat="1">
      <alignment horizontal="center" vertical="center" wrapText="1"/>
    </xf>
    <xf numFmtId="49" fontId="0" fillId="0" borderId="12" xfId="0" applyFont="1" applyBorder="1" applyNumberFormat="1">
      <alignment vertical="center" wrapText="1"/>
    </xf>
    <xf numFmtId="49" fontId="0" fillId="0" borderId="12" xfId="0" applyFont="1" applyBorder="1" applyNumberFormat="1">
      <alignment horizontal="left" vertical="center" wrapText="1" indent="1"/>
    </xf>
    <xf numFmtId="49" fontId="47" fillId="0" borderId="0" xfId="0" applyFont="1" applyNumberFormat="1">
      <alignment horizontal="center" vertical="center" wrapText="1"/>
    </xf>
    <xf numFmtId="49" fontId="47" fillId="0" borderId="0" xfId="0" applyFont="1" applyNumberFormat="1">
      <alignment horizontal="center" vertical="center" wrapText="1"/>
    </xf>
    <xf numFmtId="0" fontId="48" fillId="0" borderId="27" xfId="0" applyFont="1" applyBorder="1" applyNumberFormat="1">
      <alignment vertical="center" wrapText="1"/>
    </xf>
    <xf numFmtId="0" fontId="22" fillId="34" borderId="14" xfId="0" applyFont="1" applyFill="1" applyBorder="1" applyNumberFormat="1">
      <alignment horizontal="left" vertical="top" wrapText="1"/>
    </xf>
    <xf numFmtId="0" fontId="22" fillId="34" borderId="13" xfId="0" applyFont="1" applyFill="1" applyBorder="1" applyNumberFormat="1">
      <alignment horizontal="left" vertical="top" wrapText="1"/>
    </xf>
    <xf numFmtId="49" fontId="47" fillId="0" borderId="0" xfId="0" applyFont="1" applyNumberFormat="1">
      <alignment horizontal="center" vertical="center" wrapText="1"/>
    </xf>
    <xf numFmtId="49" fontId="47" fillId="0" borderId="0" xfId="0" applyFont="1" applyNumberFormat="1">
      <alignment horizontal="center" vertical="center" wrapText="1"/>
    </xf>
    <xf numFmtId="0" fontId="22" fillId="0" borderId="0" xfId="0" applyFont="1" applyNumberFormat="1">
      <alignment vertical="top" wrapText="1"/>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14" xfId="0" applyFont="1" applyBorder="1" applyNumberFormat="1">
      <alignment horizontal="center" vertical="center" wrapText="1"/>
    </xf>
    <xf numFmtId="0" fontId="22" fillId="0" borderId="0" xfId="0" applyFont="1" applyNumberFormat="1">
      <alignment horizontal="left" vertical="top" wrapText="1"/>
    </xf>
    <xf numFmtId="49" fontId="48" fillId="0" borderId="0" xfId="0" applyFont="1" applyNumberFormat="1">
      <alignment horizontal="center" vertical="center" wrapText="1"/>
    </xf>
    <xf numFmtId="0" fontId="48" fillId="0" borderId="0" xfId="0" applyFont="1" applyNumberFormat="1">
      <alignment horizontal="center" vertical="center" wrapText="1"/>
    </xf>
    <xf numFmtId="49" fontId="22" fillId="57" borderId="0" xfId="0" applyFont="1" applyFill="1" applyNumberFormat="1">
      <alignment horizontal="center" vertical="center" textRotation="90" wrapText="1"/>
    </xf>
    <xf numFmtId="49" fontId="22" fillId="0" borderId="12" xfId="0" applyFont="1" applyBorder="1" applyNumberFormat="1">
      <alignment horizontal="center" vertical="center" wrapText="1"/>
    </xf>
    <xf numFmtId="0" fontId="22" fillId="0" borderId="12" xfId="0" applyFont="1" applyBorder="1" applyNumberFormat="1">
      <alignment horizontal="left"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0" fontId="71" fillId="0" borderId="22" xfId="0" applyFont="1" applyBorder="1" applyNumberFormat="1">
      <alignment vertical="center" wrapText="1"/>
    </xf>
    <xf numFmtId="49"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49" fontId="22" fillId="36" borderId="12" xfId="0" applyFont="1" applyFill="1" applyBorder="1" applyNumberFormat="1">
      <alignment horizontal="left" vertical="center" wrapText="1"/>
      <protection locked="0"/>
    </xf>
    <xf numFmtId="3" fontId="22" fillId="36" borderId="14" xfId="0" applyFont="1" applyFill="1" applyBorder="1" applyNumberFormat="1">
      <alignment horizontal="right" vertical="center" wrapText="1"/>
      <protection locked="0"/>
    </xf>
    <xf numFmtId="4" fontId="22" fillId="36" borderId="14" xfId="0" applyFont="1" applyFill="1" applyBorder="1" applyNumberFormat="1">
      <alignment horizontal="right" vertical="center" wrapText="1"/>
      <protection locked="0"/>
    </xf>
    <xf numFmtId="49" fontId="22" fillId="39" borderId="12"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37" fillId="0" borderId="0" xfId="0" applyFont="1" applyNumberFormat="1">
      <alignment horizontal="center" vertical="center" wrapText="1"/>
    </xf>
    <xf numFmtId="0" fontId="22" fillId="0" borderId="17" xfId="0" applyFont="1" applyBorder="1" applyNumberFormat="1">
      <alignment horizontal="center" vertical="center" wrapText="1"/>
    </xf>
    <xf numFmtId="0" fontId="22" fillId="0" borderId="14" xfId="0" applyFont="1" applyBorder="1" applyNumberFormat="1">
      <alignment horizontal="center" vertical="center" wrapText="1"/>
    </xf>
    <xf numFmtId="0" fontId="83" fillId="0" borderId="0" xfId="0" applyFont="1" applyNumberFormat="1">
      <alignment vertical="center" wrapText="1"/>
    </xf>
    <xf numFmtId="0" fontId="22" fillId="0" borderId="12" xfId="0" applyFont="1" applyBorder="1" applyNumberFormat="1">
      <alignment horizontal="left" vertical="center" wrapText="1" indent="2"/>
    </xf>
    <xf numFmtId="49" fontId="22" fillId="36" borderId="14" xfId="0" applyFont="1" applyFill="1" applyBorder="1" applyNumberFormat="1">
      <alignment horizontal="left" vertical="center" wrapText="1"/>
      <protection locked="0"/>
    </xf>
    <xf numFmtId="0" fontId="22" fillId="0" borderId="0" xfId="0" applyFont="1" applyNumberFormat="1">
      <alignment vertical="top" wrapText="1"/>
    </xf>
    <xf numFmtId="0" fontId="22" fillId="0" borderId="0" xfId="0" applyFont="1" applyNumberFormat="1">
      <alignment vertical="top"/>
    </xf>
    <xf numFmtId="0" fontId="22" fillId="0" borderId="0" xfId="0" applyFont="1" applyNumberFormat="1">
      <alignment vertical="top" wrapText="1"/>
    </xf>
    <xf numFmtId="0" fontId="22" fillId="0" borderId="0" xfId="0" applyFont="1" applyNumberFormat="1">
      <alignment vertical="top"/>
    </xf>
    <xf numFmtId="49" fontId="53" fillId="0" borderId="12" xfId="0" applyFont="1" applyBorder="1" applyNumberFormat="1">
      <alignment horizontal="left" vertical="center" wrapText="1"/>
    </xf>
    <xf numFmtId="49" fontId="22" fillId="0" borderId="32" xfId="0" applyFont="1" applyBorder="1" applyNumberFormat="1">
      <alignment horizontal="center" vertical="center" wrapText="1"/>
    </xf>
    <xf numFmtId="0" fontId="22" fillId="0" borderId="32" xfId="0" applyFont="1" applyBorder="1" applyNumberFormat="1">
      <alignment horizontal="left" vertical="center" wrapText="1"/>
    </xf>
    <xf numFmtId="4" fontId="22" fillId="0" borderId="40" xfId="0" applyFont="1" applyBorder="1" applyNumberFormat="1">
      <alignment horizontal="center" vertical="center" wrapText="1"/>
    </xf>
    <xf numFmtId="49" fontId="53" fillId="0" borderId="30" xfId="0" applyFont="1" applyBorder="1" applyNumberFormat="1">
      <alignment horizontal="left" vertical="center" wrapText="1"/>
    </xf>
    <xf numFmtId="49" fontId="22" fillId="0" borderId="31" xfId="0" applyFont="1" applyBorder="1" applyNumberFormat="1">
      <alignment horizontal="center" vertical="center" wrapText="1"/>
    </xf>
    <xf numFmtId="0" fontId="22" fillId="0" borderId="33" xfId="0" applyFont="1" applyBorder="1" applyNumberFormat="1">
      <alignment horizontal="left" vertical="center" wrapText="1" indent="1"/>
    </xf>
    <xf numFmtId="4" fontId="22" fillId="39" borderId="31" xfId="0" applyFont="1" applyFill="1" applyBorder="1" applyNumberFormat="1">
      <alignment horizontal="right" vertical="center" wrapText="1"/>
      <protection locked="0"/>
    </xf>
    <xf numFmtId="49" fontId="53" fillId="0" borderId="14" xfId="0" applyFont="1" applyBorder="1" applyNumberFormat="1">
      <alignment horizontal="left" vertical="center" wrapText="1"/>
    </xf>
    <xf numFmtId="4" fontId="22" fillId="0" borderId="17"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0" fontId="22" fillId="0" borderId="33" xfId="0" applyFont="1" applyBorder="1" applyNumberFormat="1">
      <alignment horizontal="left" vertical="center" wrapText="1"/>
    </xf>
    <xf numFmtId="49" fontId="53" fillId="0" borderId="15" xfId="0" applyFont="1" applyBorder="1" applyNumberFormat="1">
      <alignment horizontal="left" vertical="center" wrapText="1"/>
    </xf>
    <xf numFmtId="0" fontId="22" fillId="0" borderId="31" xfId="0" applyFont="1" applyBorder="1" applyNumberFormat="1">
      <alignment horizontal="left" vertical="center" wrapText="1" indent="1"/>
    </xf>
    <xf numFmtId="4" fontId="22" fillId="0" borderId="32" xfId="0" applyFont="1" applyBorder="1" applyNumberFormat="1">
      <alignment horizontal="center" vertical="center" wrapText="1"/>
    </xf>
    <xf numFmtId="0" fontId="22" fillId="0" borderId="31" xfId="0" applyFont="1" applyBorder="1" applyNumberFormat="1">
      <alignment horizontal="left" vertical="center" wrapText="1"/>
    </xf>
    <xf numFmtId="0" fontId="22" fillId="0" borderId="31" xfId="0" applyFont="1" applyBorder="1" applyNumberFormat="1">
      <alignment horizontal="left" vertical="center" wrapText="1" indent="2"/>
    </xf>
    <xf numFmtId="4" fontId="22" fillId="0" borderId="31" xfId="0" applyFont="1" applyBorder="1" applyNumberFormat="1">
      <alignment horizontal="center" vertical="center" wrapText="1"/>
    </xf>
    <xf numFmtId="49" fontId="22" fillId="0" borderId="34" xfId="0" applyFont="1" applyBorder="1" applyNumberFormat="1">
      <alignment horizontal="center" vertical="center" wrapText="1"/>
    </xf>
    <xf numFmtId="49" fontId="53" fillId="39" borderId="12" xfId="0" applyFont="1" applyFill="1" applyBorder="1" applyNumberFormat="1">
      <alignment horizontal="left" vertical="center" wrapText="1"/>
      <protection locked="0"/>
    </xf>
    <xf numFmtId="0" fontId="22" fillId="0" borderId="35" xfId="0" applyFont="1" applyBorder="1" applyNumberFormat="1">
      <alignment horizontal="left" vertical="center" wrapText="1"/>
    </xf>
    <xf numFmtId="4" fontId="22" fillId="0" borderId="35" xfId="0" applyFont="1" applyBorder="1" applyNumberFormat="1">
      <alignment horizontal="center" vertical="center" wrapText="1"/>
    </xf>
    <xf numFmtId="49" fontId="53" fillId="0" borderId="37" xfId="0" applyFont="1" applyBorder="1" applyNumberFormat="1">
      <alignment horizontal="left" vertical="center" wrapText="1"/>
    </xf>
    <xf numFmtId="49" fontId="22" fillId="0" borderId="33" xfId="0" applyFont="1" applyBorder="1" applyNumberFormat="1">
      <alignment horizontal="center" vertical="center" wrapText="1"/>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 fontId="22" fillId="39" borderId="34" xfId="0" applyFont="1" applyFill="1" applyBorder="1" applyNumberFormat="1">
      <alignment horizontal="right" vertical="center" wrapText="1"/>
      <protection locked="0"/>
    </xf>
    <xf numFmtId="49" fontId="47" fillId="0" borderId="0" xfId="0" applyFont="1" applyNumberFormat="1">
      <alignment horizontal="center" vertical="center" wrapText="1"/>
    </xf>
    <xf numFmtId="0" fontId="47" fillId="0" borderId="0" xfId="0" applyFont="1" applyNumberFormat="1">
      <alignment horizontal="center" vertical="center" wrapText="1"/>
    </xf>
    <xf numFmtId="49" fontId="22" fillId="0" borderId="0" xfId="0" applyFont="1" applyNumberFormat="1">
      <alignment vertical="center" wrapText="1"/>
    </xf>
    <xf numFmtId="0" fontId="36" fillId="0" borderId="24" xfId="0" applyFont="1" applyBorder="1" applyNumberFormat="1">
      <alignment horizontal="center" vertical="center" wrapText="1"/>
    </xf>
    <xf numFmtId="0" fontId="0" fillId="0" borderId="14" xfId="0" applyFont="1" applyBorder="1" applyNumberFormat="1">
      <alignment horizontal="center" vertical="center"/>
    </xf>
    <xf numFmtId="0" fontId="22" fillId="0" borderId="13" xfId="0" applyFont="1" applyBorder="1" applyNumberFormat="1">
      <alignment horizontal="center" vertical="center" wrapText="1"/>
    </xf>
    <xf numFmtId="504" fontId="0" fillId="36"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0" fontId="22" fillId="0" borderId="0" xfId="0" applyFont="1" applyNumberFormat="1">
      <alignment horizontal="left" vertical="center" wrapText="1"/>
    </xf>
    <xf numFmtId="0" fontId="22" fillId="34" borderId="14" xfId="0" applyFont="1" applyFill="1" applyBorder="1" applyNumberFormat="1">
      <alignment horizontal="left" vertical="top" wrapText="1" indent="1"/>
    </xf>
    <xf numFmtId="0" fontId="22" fillId="34" borderId="13" xfId="0" applyFont="1" applyFill="1" applyBorder="1" applyNumberFormat="1">
      <alignment horizontal="left" vertical="top" wrapText="1" indent="1"/>
    </xf>
    <xf numFmtId="0" fontId="22" fillId="0" borderId="15" xfId="0" applyFont="1" applyBorder="1" applyNumberFormat="1">
      <alignment horizontal="right" vertical="center" wrapText="1" indent="1"/>
    </xf>
    <xf numFmtId="0" fontId="22" fillId="0" borderId="13" xfId="0" applyFont="1" applyBorder="1" applyNumberFormat="1">
      <alignment horizontal="right" vertical="center" wrapText="1" indent="1"/>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14" xfId="0" applyFont="1" applyBorder="1" applyNumberFormat="1">
      <alignment horizontal="center" vertical="center" wrapText="1"/>
    </xf>
    <xf numFmtId="0" fontId="36" fillId="0" borderId="0" xfId="0" applyFont="1" applyNumberFormat="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0" borderId="13" xfId="0" applyFont="1" applyBorder="1" applyNumberFormat="1">
      <alignment horizontal="center" vertical="center" wrapText="1"/>
    </xf>
    <xf numFmtId="0" fontId="22" fillId="0" borderId="13" xfId="0" applyFont="1" applyBorder="1" applyNumberFormat="1">
      <alignment horizontal="center" vertical="center" wrapText="1"/>
    </xf>
    <xf numFmtId="0" fontId="22" fillId="37" borderId="19" xfId="0" applyFont="1" applyFill="1" applyBorder="1" applyNumberFormat="1">
      <alignment vertical="center" wrapText="1"/>
    </xf>
    <xf numFmtId="0" fontId="22" fillId="0" borderId="15" xfId="0" applyFont="1" applyBorder="1" applyNumberFormat="1">
      <alignment horizontal="center" vertical="center" wrapText="1"/>
    </xf>
    <xf numFmtId="49" fontId="22" fillId="40" borderId="12" xfId="0" applyFont="1" applyFill="1" applyBorder="1" applyNumberFormat="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pplyNumberFormat="1">
      <alignment horizontal="center" vertical="center" wrapText="1"/>
    </xf>
    <xf numFmtId="0" fontId="22" fillId="0" borderId="13" xfId="0" applyFont="1" applyBorder="1" applyNumberFormat="1">
      <alignment vertical="center" wrapText="1"/>
    </xf>
    <xf numFmtId="0" fontId="22" fillId="37" borderId="27" xfId="0" applyFont="1" applyFill="1" applyBorder="1" applyNumberFormat="1">
      <alignment vertical="center" wrapText="1"/>
    </xf>
    <xf numFmtId="0" fontId="36" fillId="0" borderId="0" xfId="0" applyFont="1" applyNumberFormat="1">
      <alignment horizontal="center" vertical="center" wrapText="1"/>
    </xf>
    <xf numFmtId="0" fontId="36" fillId="0" borderId="0" xfId="0" applyFont="1" applyNumberFormat="1">
      <alignment horizontal="center" vertical="center" wrapText="1"/>
    </xf>
    <xf numFmtId="0" fontId="83" fillId="0" borderId="0" xfId="0" applyFont="1" applyNumberFormat="1">
      <alignment vertical="center" wrapText="1"/>
    </xf>
    <xf numFmtId="49" fontId="47" fillId="0" borderId="0" xfId="0" applyFont="1" applyNumberFormat="1">
      <alignment horizontal="center" vertical="center" wrapText="1"/>
    </xf>
    <xf numFmtId="0" fontId="22" fillId="0" borderId="0" xfId="0" applyFont="1" applyNumberFormat="1">
      <alignment vertical="center" wrapText="1"/>
    </xf>
    <xf numFmtId="49" fontId="47" fillId="0" borderId="0" xfId="0" applyFont="1" applyNumberFormat="1">
      <alignment horizontal="center" vertical="center" wrapText="1"/>
    </xf>
    <xf numFmtId="0" fontId="22" fillId="0" borderId="0" xfId="0" applyFont="1" applyNumberFormat="1">
      <alignment vertical="center" wrapText="1"/>
    </xf>
    <xf numFmtId="49" fontId="47" fillId="0" borderId="0" xfId="0" applyFont="1" applyNumberFormat="1">
      <alignment horizontal="center" vertical="center" wrapText="1"/>
    </xf>
    <xf numFmtId="49" fontId="98" fillId="0" borderId="0" xfId="0" applyFont="1" applyNumberFormat="1">
      <alignment horizontal="center" vertical="center" wrapText="1"/>
    </xf>
    <xf numFmtId="0" fontId="0" fillId="35" borderId="14" xfId="0" applyFont="1" applyFill="1" applyBorder="1" applyNumberFormat="1">
      <alignment horizontal="center" vertical="center" wrapText="1"/>
    </xf>
    <xf numFmtId="0" fontId="0" fillId="35" borderId="15" xfId="0" applyFont="1" applyFill="1" applyBorder="1" applyNumberFormat="1">
      <alignment horizontal="center" vertical="center" wrapText="1"/>
    </xf>
    <xf numFmtId="0" fontId="0" fillId="35" borderId="13" xfId="0" applyFont="1" applyFill="1" applyBorder="1" applyNumberFormat="1">
      <alignment horizontal="center" vertical="center" wrapText="1"/>
    </xf>
    <xf numFmtId="0" fontId="0" fillId="35" borderId="17" xfId="0" applyFont="1" applyFill="1" applyBorder="1" applyNumberFormat="1">
      <alignment horizontal="center" vertical="center" wrapText="1"/>
    </xf>
    <xf numFmtId="0" fontId="22" fillId="35" borderId="17" xfId="0" applyFont="1" applyFill="1" applyBorder="1" applyNumberFormat="1">
      <alignment horizontal="center" vertical="center" wrapText="1"/>
    </xf>
    <xf numFmtId="0" fontId="0" fillId="35" borderId="17" xfId="0" applyFont="1" applyFill="1" applyBorder="1" applyNumberFormat="1">
      <alignment horizontal="center" vertical="center" wrapText="1"/>
    </xf>
    <xf numFmtId="0" fontId="0" fillId="35" borderId="37" xfId="0" applyFont="1" applyFill="1" applyBorder="1" applyNumberFormat="1">
      <alignment horizontal="center" vertical="center" wrapText="1"/>
    </xf>
    <xf numFmtId="0" fontId="22" fillId="0" borderId="12" xfId="0" applyFont="1" applyBorder="1" applyNumberFormat="1">
      <alignment horizontal="center" vertical="center" wrapText="1"/>
    </xf>
    <xf numFmtId="0" fontId="48" fillId="0" borderId="0" xfId="0" applyFont="1" applyNumberFormat="1">
      <alignment horizontal="center" vertical="center" wrapText="1"/>
    </xf>
    <xf numFmtId="49" fontId="48" fillId="0" borderId="12" xfId="0" applyFont="1" applyBorder="1" applyNumberFormat="1">
      <alignment horizontal="center" vertical="center" wrapText="1"/>
    </xf>
    <xf numFmtId="0" fontId="0" fillId="0" borderId="12" xfId="0" applyFont="1" applyBorder="1" applyNumberFormat="1">
      <alignment horizontal="left" vertical="center" wrapText="1" indent="1"/>
    </xf>
    <xf numFmtId="49" fontId="0" fillId="0" borderId="12" xfId="0" applyFont="1" applyBorder="1" applyNumberFormat="1">
      <alignment horizontal="center" vertical="center" wrapText="1"/>
    </xf>
    <xf numFmtId="49" fontId="22" fillId="0" borderId="12" xfId="0" applyFont="1" applyBorder="1" applyNumberFormat="1">
      <alignment horizontal="left" vertical="center" wrapText="1"/>
    </xf>
    <xf numFmtId="49" fontId="48" fillId="0" borderId="0" xfId="0" applyFont="1" applyNumberFormat="1">
      <alignment horizontal="center" vertical="center" wrapText="1"/>
    </xf>
    <xf numFmtId="49" fontId="22" fillId="0" borderId="14" xfId="0" applyFont="1" applyBorder="1" applyNumberFormat="1">
      <alignment horizontal="center" vertical="center" wrapText="1"/>
    </xf>
    <xf numFmtId="49" fontId="40" fillId="37" borderId="14" xfId="0" applyFont="1" applyFill="1" applyBorder="1" applyNumberFormat="1">
      <alignment horizontal="left" vertical="center" indent="1"/>
    </xf>
    <xf numFmtId="0" fontId="22" fillId="37" borderId="29" xfId="0" applyFont="1" applyFill="1" applyBorder="1" applyNumberFormat="1">
      <alignment vertical="center" wrapText="1"/>
    </xf>
    <xf numFmtId="0" fontId="47" fillId="0" borderId="0" xfId="0" applyFont="1" applyNumberFormat="1">
      <alignment vertical="center" wrapText="1"/>
    </xf>
    <xf numFmtId="0" fontId="47" fillId="0" borderId="0" xfId="0" applyFont="1" applyNumberFormat="1">
      <alignment vertical="center" wrapText="1"/>
    </xf>
    <xf numFmtId="0" fontId="47" fillId="0" borderId="0" xfId="0" applyFont="1" applyNumberFormat="1">
      <alignment vertical="center" wrapText="1"/>
    </xf>
    <xf numFmtId="0" fontId="32" fillId="0" borderId="0" xfId="0" applyFont="1" applyNumberFormat="1">
      <alignment vertical="center" wrapText="1"/>
    </xf>
    <xf numFmtId="0" fontId="32" fillId="0" borderId="0" xfId="0" applyFont="1" applyNumberFormat="1">
      <alignment vertical="center" wrapText="1"/>
    </xf>
    <xf numFmtId="0" fontId="32" fillId="0" borderId="0" xfId="0" applyFont="1" applyNumberFormat="1">
      <alignment vertical="center" wrapText="1"/>
    </xf>
    <xf numFmtId="0" fontId="22" fillId="0" borderId="0" xfId="0" applyFont="1" applyNumberFormat="1">
      <alignment horizontal="left" vertical="center" wrapText="1" indent="3"/>
    </xf>
    <xf numFmtId="0" fontId="22" fillId="35" borderId="0" xfId="0" applyFont="1" applyFill="1" applyNumberFormat="1">
      <alignment vertical="center" wrapText="1"/>
    </xf>
    <xf numFmtId="0" fontId="22" fillId="35" borderId="39" xfId="0" applyFont="1" applyFill="1" applyBorder="1" applyNumberFormat="1">
      <alignment vertical="center" wrapText="1"/>
    </xf>
    <xf numFmtId="0" fontId="22" fillId="35" borderId="39" xfId="0" applyFont="1" applyFill="1" applyBorder="1" applyNumberFormat="1">
      <alignment vertical="center" wrapText="1"/>
    </xf>
    <xf numFmtId="49" fontId="73" fillId="0" borderId="39" xfId="0" applyFont="1" applyBorder="1" applyNumberFormat="1">
      <alignment vertical="top"/>
    </xf>
    <xf numFmtId="49" fontId="73" fillId="0" borderId="39" xfId="0" applyFont="1" applyBorder="1" applyNumberFormat="1">
      <alignment vertical="top"/>
    </xf>
    <xf numFmtId="0" fontId="50" fillId="35" borderId="39" xfId="0" applyFont="1" applyFill="1" applyBorder="1" applyNumberFormat="1">
      <alignment horizontal="center" wrapText="1"/>
    </xf>
    <xf numFmtId="0" fontId="50" fillId="35" borderId="39" xfId="0" applyFont="1" applyFill="1" applyBorder="1" applyNumberFormat="1">
      <alignment horizontal="center" wrapText="1"/>
    </xf>
    <xf numFmtId="0" fontId="22" fillId="35" borderId="39" xfId="0" applyFont="1" applyFill="1" applyBorder="1" applyNumberFormat="1">
      <alignment vertical="center" wrapText="1"/>
    </xf>
    <xf numFmtId="0" fontId="22" fillId="35" borderId="39" xfId="0" applyFont="1" applyFill="1" applyBorder="1" applyNumberFormat="1">
      <alignment vertical="center" wrapText="1"/>
    </xf>
    <xf numFmtId="49" fontId="22" fillId="0" borderId="0" xfId="0" applyFont="1" applyNumberFormat="1">
      <alignment vertical="top"/>
    </xf>
    <xf numFmtId="0" fontId="22" fillId="0" borderId="60" xfId="0" applyFont="1" applyBorder="1" applyNumberFormat="1">
      <alignment horizontal="center" vertical="center"/>
    </xf>
    <xf numFmtId="0" fontId="22" fillId="0" borderId="61" xfId="0" applyFont="1" applyBorder="1" applyNumberFormat="1">
      <alignment horizontal="center" vertical="center"/>
    </xf>
    <xf numFmtId="0" fontId="22" fillId="0" borderId="67" xfId="0" applyFont="1" applyBorder="1" applyNumberFormat="1">
      <alignment horizontal="center" vertical="center"/>
    </xf>
    <xf numFmtId="0" fontId="22" fillId="0" borderId="38" xfId="0" applyFont="1" applyBorder="1" applyNumberFormat="1">
      <alignment vertical="center" wrapText="1"/>
    </xf>
    <xf numFmtId="0" fontId="22" fillId="35" borderId="12" xfId="0" applyFont="1" applyFill="1" applyBorder="1" applyNumberFormat="1">
      <alignment horizontal="center" vertical="center" wrapText="1"/>
    </xf>
    <xf numFmtId="0" fontId="22" fillId="35" borderId="37" xfId="0" applyFont="1" applyFill="1" applyBorder="1" applyNumberFormat="1">
      <alignment horizontal="center" vertical="center" wrapText="1"/>
    </xf>
    <xf numFmtId="0" fontId="22" fillId="35" borderId="20" xfId="0" applyFont="1" applyFill="1" applyBorder="1" applyNumberFormat="1">
      <alignment horizontal="center" vertical="center" wrapText="1"/>
    </xf>
    <xf numFmtId="0" fontId="22" fillId="0" borderId="0" xfId="0" applyFont="1" applyNumberFormat="1">
      <alignment vertical="center" wrapText="1"/>
    </xf>
    <xf numFmtId="0" fontId="22" fillId="35" borderId="0" xfId="0" applyFont="1" applyFill="1" applyNumberFormat="1">
      <alignment vertical="center" wrapText="1"/>
    </xf>
    <xf numFmtId="0" fontId="22" fillId="35" borderId="22" xfId="0" applyFont="1" applyFill="1" applyBorder="1" applyNumberFormat="1">
      <alignment horizontal="center" vertical="center" wrapText="1"/>
    </xf>
    <xf numFmtId="0" fontId="22" fillId="35" borderId="24" xfId="0" applyFont="1" applyFill="1" applyBorder="1" applyNumberFormat="1">
      <alignment horizontal="center" vertical="center" wrapText="1"/>
    </xf>
    <xf numFmtId="49" fontId="22" fillId="0" borderId="0" xfId="0" applyFont="1" applyNumberFormat="1">
      <alignment vertical="top"/>
    </xf>
    <xf numFmtId="49" fontId="98" fillId="0" borderId="0" xfId="0" applyFont="1" applyNumberFormat="1">
      <alignment horizontal="center" vertical="center" wrapText="1"/>
    </xf>
    <xf numFmtId="0" fontId="22" fillId="35" borderId="0" xfId="0" applyFont="1" applyFill="1" applyNumberFormat="1">
      <alignment vertical="center" wrapText="1"/>
    </xf>
    <xf numFmtId="0" fontId="0" fillId="0" borderId="12" xfId="0" applyFont="1" applyBorder="1" applyNumberFormat="1">
      <alignment horizontal="center" vertical="center" wrapText="1"/>
    </xf>
    <xf numFmtId="49" fontId="22" fillId="0" borderId="0" xfId="0" applyFont="1" applyNumberFormat="1">
      <alignment vertical="top"/>
    </xf>
    <xf numFmtId="0" fontId="22" fillId="0" borderId="0" xfId="0" applyFont="1" applyNumberFormat="1">
      <alignment vertical="center" wrapText="1"/>
    </xf>
    <xf numFmtId="0" fontId="22" fillId="35" borderId="30" xfId="0" applyFont="1" applyFill="1" applyBorder="1" applyNumberFormat="1">
      <alignment horizontal="center" vertical="center" wrapText="1"/>
    </xf>
    <xf numFmtId="0" fontId="22" fillId="35" borderId="29" xfId="0" applyFont="1" applyFill="1" applyBorder="1" applyNumberFormat="1">
      <alignment horizontal="center" vertical="center" wrapText="1"/>
    </xf>
    <xf numFmtId="0" fontId="22" fillId="0" borderId="12" xfId="0" applyFont="1" applyBorder="1" applyNumberFormat="1">
      <alignment horizontal="center" vertical="center" wrapText="1"/>
    </xf>
    <xf numFmtId="0" fontId="0"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35" borderId="0" xfId="0" applyFont="1" applyFill="1" applyNumberFormat="1">
      <alignment vertical="center" wrapText="1"/>
    </xf>
    <xf numFmtId="0" fontId="22" fillId="0" borderId="0" xfId="0" applyFont="1" applyNumberFormat="1">
      <alignment vertical="center" wrapText="1"/>
    </xf>
    <xf numFmtId="0" fontId="22" fillId="0" borderId="0" xfId="0" applyFont="1" applyNumberFormat="1">
      <alignment vertical="center" wrapText="1"/>
    </xf>
    <xf numFmtId="0" fontId="22" fillId="0" borderId="0" xfId="0" applyFont="1" applyNumberFormat="1">
      <alignment vertical="center" wrapText="1"/>
    </xf>
    <xf numFmtId="0" fontId="22" fillId="0" borderId="0" xfId="0" applyFont="1" applyNumberFormat="1">
      <alignment vertical="center" wrapText="1"/>
    </xf>
    <xf numFmtId="0" fontId="22" fillId="0" borderId="0" xfId="0" applyFont="1" applyNumberFormat="1">
      <alignment vertical="center"/>
    </xf>
    <xf numFmtId="0" fontId="22" fillId="0" borderId="0" xfId="0" applyFont="1" applyNumberFormat="1">
      <alignment vertical="center"/>
    </xf>
    <xf numFmtId="49" fontId="22" fillId="0" borderId="0" xfId="0" applyFont="1" applyNumberFormat="1">
      <alignment vertical="top"/>
    </xf>
    <xf numFmtId="49" fontId="22" fillId="0" borderId="0" xfId="0" applyFont="1" applyNumberFormat="1">
      <alignment vertical="top"/>
    </xf>
    <xf numFmtId="49" fontId="22" fillId="0" borderId="0" xfId="0" applyFont="1" applyNumberFormat="1">
      <alignment vertical="top"/>
    </xf>
    <xf numFmtId="0" fontId="22" fillId="0" borderId="0" xfId="0" applyFont="1" applyNumberFormat="1">
      <alignment horizontal="left" vertical="center" wrapText="1"/>
    </xf>
    <xf numFmtId="0" fontId="22" fillId="0" borderId="0" xfId="0" applyFont="1" applyNumberFormat="1">
      <alignment vertical="center" wrapText="1"/>
    </xf>
    <xf numFmtId="0" fontId="22" fillId="0" borderId="0" xfId="0" applyFont="1" applyNumberFormat="1">
      <alignment vertical="center" wrapText="1"/>
    </xf>
    <xf numFmtId="0" fontId="22" fillId="35" borderId="0" xfId="0" applyFont="1" applyFill="1" applyNumberFormat="1">
      <alignment vertical="center" wrapText="1"/>
    </xf>
    <xf numFmtId="0" fontId="22" fillId="35" borderId="19" xfId="0" applyFont="1" applyFill="1" applyBorder="1" applyNumberFormat="1">
      <alignment vertical="center" wrapText="1"/>
    </xf>
    <xf numFmtId="49" fontId="22" fillId="0" borderId="0" xfId="0" applyFont="1" applyNumberFormat="1">
      <alignment vertical="top"/>
    </xf>
    <xf numFmtId="49" fontId="48" fillId="0" borderId="0" xfId="0" applyFont="1" applyNumberFormat="1">
      <alignment vertical="top"/>
    </xf>
    <xf numFmtId="0" fontId="48" fillId="0" borderId="39" xfId="0" applyFont="1" applyBorder="1" applyNumberFormat="1">
      <alignment vertical="center" wrapText="1"/>
    </xf>
    <xf numFmtId="0" fontId="22" fillId="0" borderId="73" xfId="0" applyFont="1" applyBorder="1" applyNumberFormat="1">
      <alignment horizontal="center" vertical="center"/>
    </xf>
    <xf numFmtId="0" fontId="22" fillId="0" borderId="43" xfId="0" applyFont="1" applyBorder="1" applyNumberFormat="1">
      <alignment horizontal="center" vertical="center"/>
    </xf>
    <xf numFmtId="0" fontId="22" fillId="0" borderId="38" xfId="0" applyFont="1" applyBorder="1" applyNumberFormat="1">
      <alignment vertical="center"/>
    </xf>
    <xf numFmtId="49" fontId="0" fillId="0" borderId="17" xfId="0" applyFont="1" applyBorder="1" applyNumberFormat="1">
      <alignment horizontal="center"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22" fillId="0" borderId="22" xfId="0" applyFont="1" applyBorder="1" applyNumberFormat="1">
      <alignment vertical="top"/>
    </xf>
    <xf numFmtId="49" fontId="0" fillId="0" borderId="36" xfId="0" applyFont="1" applyBorder="1" applyNumberFormat="1">
      <alignment horizontal="center" vertical="center" wrapText="1"/>
    </xf>
    <xf numFmtId="0" fontId="0" fillId="34" borderId="12" xfId="0" applyFont="1" applyFill="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xf>
    <xf numFmtId="49" fontId="0" fillId="34" borderId="12" xfId="0" applyFont="1" applyFill="1" applyBorder="1" applyNumberFormat="1">
      <alignment horizontal="center" vertical="center"/>
    </xf>
    <xf numFmtId="0" fontId="22" fillId="0" borderId="22" xfId="0" applyFont="1" applyBorder="1" applyNumberFormat="1">
      <alignment vertical="center" wrapText="1"/>
    </xf>
    <xf numFmtId="49" fontId="0" fillId="0" borderId="12" xfId="0" applyFont="1" applyBorder="1" applyNumberFormat="1">
      <alignment horizontal="center" vertical="center" wrapText="1"/>
    </xf>
    <xf numFmtId="49" fontId="0" fillId="0" borderId="12" xfId="0" applyFont="1" applyBorder="1" applyNumberFormat="1">
      <alignment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 fontId="0" fillId="36"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horizontal="left" vertical="center" wrapText="1"/>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49" fontId="45" fillId="0" borderId="0" xfId="0" applyFont="1" applyNumberFormat="1">
      <alignment vertical="center"/>
    </xf>
    <xf numFmtId="49" fontId="99" fillId="0" borderId="0" xfId="0" applyFont="1" applyNumberFormat="1">
      <alignment vertical="center"/>
    </xf>
    <xf numFmtId="49" fontId="45" fillId="0" borderId="0" xfId="0" applyFont="1" applyNumberFormat="1">
      <alignment vertical="center"/>
    </xf>
    <xf numFmtId="49" fontId="45" fillId="0" borderId="0" xfId="0" applyFont="1" applyNumberFormat="1">
      <alignment vertical="center"/>
    </xf>
    <xf numFmtId="49" fontId="45" fillId="0" borderId="0" xfId="0" applyFont="1" applyNumberFormat="1">
      <alignment vertical="center"/>
    </xf>
    <xf numFmtId="49" fontId="99" fillId="0" borderId="0" xfId="0" applyFont="1" applyNumberFormat="1">
      <alignment vertical="center" wrapText="1"/>
    </xf>
    <xf numFmtId="49" fontId="45" fillId="0" borderId="0" xfId="0" applyFont="1" applyNumberFormat="1">
      <alignment vertical="center" wrapText="1"/>
    </xf>
    <xf numFmtId="49" fontId="45" fillId="0" borderId="0" xfId="0" applyFont="1" applyNumberFormat="1">
      <alignment vertical="top"/>
    </xf>
    <xf numFmtId="49" fontId="45" fillId="0" borderId="0" xfId="0" applyFont="1" applyNumberFormat="1">
      <alignment vertical="center" wrapText="1"/>
    </xf>
    <xf numFmtId="49" fontId="45" fillId="0" borderId="0" xfId="0" applyFont="1" applyNumberFormat="1">
      <alignment vertical="center" wrapText="1"/>
    </xf>
    <xf numFmtId="49" fontId="22" fillId="0" borderId="0" xfId="0" applyFont="1" applyNumberFormat="1">
      <alignment horizontal="center" vertical="top" wrapText="1"/>
    </xf>
    <xf numFmtId="49" fontId="32" fillId="0" borderId="0" xfId="0" applyFont="1" applyNumberFormat="1">
      <alignment horizontal="center" vertical="top" wrapText="1"/>
    </xf>
    <xf numFmtId="49" fontId="22" fillId="35" borderId="0" xfId="0" applyFont="1" applyFill="1" applyNumberFormat="1">
      <alignment horizontal="center" vertical="top" wrapText="1"/>
    </xf>
    <xf numFmtId="0" fontId="22" fillId="0" borderId="20" xfId="0" applyFont="1" applyBorder="1" applyNumberFormat="1">
      <alignment horizontal="left" vertical="top" wrapText="1"/>
    </xf>
    <xf numFmtId="49" fontId="22" fillId="0" borderId="0" xfId="0" applyFont="1" applyNumberFormat="1">
      <alignment horizontal="center" vertical="top" wrapText="1"/>
    </xf>
    <xf numFmtId="49" fontId="22" fillId="0" borderId="0" xfId="0" applyFont="1" applyNumberFormat="1">
      <alignment horizontal="center" vertical="center" wrapText="1"/>
    </xf>
    <xf numFmtId="49" fontId="32" fillId="0" borderId="0" xfId="0" applyFont="1" applyNumberFormat="1">
      <alignment horizontal="center" vertical="center" wrapText="1"/>
    </xf>
    <xf numFmtId="49" fontId="22" fillId="35" borderId="0" xfId="0" applyFont="1" applyFill="1" applyNumberFormat="1">
      <alignment horizontal="center" vertical="center" wrapText="1"/>
    </xf>
    <xf numFmtId="49" fontId="22" fillId="0" borderId="0" xfId="0" applyFont="1" applyNumberFormat="1">
      <alignment horizontal="center" vertical="center" wrapText="1"/>
    </xf>
    <xf numFmtId="49" fontId="45" fillId="0" borderId="0" xfId="0" applyFont="1" applyNumberFormat="1">
      <alignment horizontal="center" vertical="center" wrapText="1"/>
    </xf>
    <xf numFmtId="49" fontId="99" fillId="0" borderId="0" xfId="0" applyFont="1" applyNumberFormat="1">
      <alignment horizontal="center" vertical="center" wrapText="1"/>
    </xf>
    <xf numFmtId="49" fontId="45" fillId="0" borderId="0" xfId="0" applyFont="1" applyNumberFormat="1">
      <alignment horizontal="center" vertical="center" wrapText="1"/>
    </xf>
    <xf numFmtId="0" fontId="45" fillId="0" borderId="0" xfId="0" applyFont="1" applyNumberFormat="1">
      <alignment horizontal="center" vertical="center" wrapText="1"/>
    </xf>
    <xf numFmtId="49" fontId="45" fillId="0" borderId="0" xfId="0" applyFont="1" applyNumberFormat="1">
      <alignment horizontal="center" vertical="center" wrapText="1"/>
    </xf>
    <xf numFmtId="49" fontId="99" fillId="0" borderId="0" xfId="0" applyFont="1" applyNumberFormat="1">
      <alignment horizontal="center" vertical="center" wrapText="1"/>
    </xf>
    <xf numFmtId="49" fontId="22" fillId="0" borderId="0" xfId="0" applyFont="1" applyNumberFormat="1">
      <alignment horizontal="center" vertical="center" wrapText="1"/>
    </xf>
    <xf numFmtId="0" fontId="22" fillId="0" borderId="0" xfId="0" applyFont="1" applyNumberFormat="1">
      <alignment horizontal="center" vertical="center" wrapText="1"/>
    </xf>
    <xf numFmtId="0" fontId="22" fillId="49" borderId="14" xfId="0" applyFont="1" applyFill="1" applyBorder="1" applyNumberFormat="1">
      <alignment horizontal="center" vertical="center" wrapText="1"/>
    </xf>
    <xf numFmtId="0" fontId="22" fillId="49" borderId="15" xfId="0" applyFont="1" applyFill="1" applyBorder="1" applyNumberFormat="1">
      <alignment horizontal="center" vertical="center" wrapText="1"/>
    </xf>
    <xf numFmtId="0" fontId="22" fillId="49" borderId="13" xfId="0" applyFont="1" applyFill="1" applyBorder="1" applyNumberFormat="1">
      <alignment horizontal="center" vertical="center" wrapText="1"/>
    </xf>
    <xf numFmtId="49" fontId="47" fillId="47" borderId="14" xfId="0" applyFont="1" applyFill="1" applyBorder="1" applyNumberFormat="1">
      <alignment horizontal="center" vertical="center" wrapText="1"/>
    </xf>
    <xf numFmtId="49" fontId="47" fillId="47" borderId="15" xfId="0" applyFont="1" applyFill="1" applyBorder="1" applyNumberFormat="1">
      <alignment horizontal="center" vertical="center" wrapText="1"/>
    </xf>
    <xf numFmtId="49" fontId="47" fillId="47" borderId="13" xfId="0" applyFont="1" applyFill="1" applyBorder="1" applyNumberFormat="1">
      <alignment horizontal="center" vertical="center" wrapText="1"/>
    </xf>
    <xf numFmtId="49" fontId="47" fillId="50" borderId="14" xfId="0" applyFont="1" applyFill="1" applyBorder="1" applyNumberFormat="1">
      <alignment horizontal="center" vertical="center" wrapText="1"/>
    </xf>
    <xf numFmtId="49" fontId="47" fillId="50" borderId="15" xfId="0" applyFont="1" applyFill="1" applyBorder="1" applyNumberFormat="1">
      <alignment horizontal="center" vertical="center" wrapText="1"/>
    </xf>
    <xf numFmtId="49" fontId="47" fillId="50" borderId="13"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49" fontId="45" fillId="35" borderId="0" xfId="0" applyFont="1" applyFill="1" applyNumberFormat="1">
      <alignment vertical="center" wrapText="1"/>
    </xf>
    <xf numFmtId="49" fontId="22" fillId="35" borderId="12"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0" fontId="22" fillId="41" borderId="12" xfId="0" applyFont="1" applyFill="1" applyBorder="1" applyNumberFormat="1">
      <alignment horizontal="center" vertical="center" wrapText="1"/>
    </xf>
    <xf numFmtId="0" fontId="22" fillId="41" borderId="14" xfId="0" applyFont="1" applyFill="1" applyBorder="1" applyNumberFormat="1">
      <alignment horizontal="center" vertical="center" wrapText="1"/>
    </xf>
    <xf numFmtId="0" fontId="22" fillId="35" borderId="13" xfId="0" applyFont="1" applyFill="1" applyBorder="1" applyNumberFormat="1">
      <alignment horizontal="center" vertical="center" wrapText="1"/>
    </xf>
    <xf numFmtId="0" fontId="22" fillId="41" borderId="13" xfId="0" applyFont="1" applyFill="1" applyBorder="1" applyNumberFormat="1">
      <alignment horizontal="center" vertical="center" wrapText="1"/>
    </xf>
    <xf numFmtId="49" fontId="22" fillId="0" borderId="0" xfId="0" applyFont="1" applyNumberFormat="1">
      <alignment vertical="center" wrapText="1"/>
    </xf>
    <xf numFmtId="49" fontId="45" fillId="0" borderId="0" xfId="0" applyFont="1" applyNumberFormat="1">
      <alignment vertical="top"/>
    </xf>
    <xf numFmtId="0" fontId="22" fillId="35" borderId="29" xfId="0" applyFont="1" applyFill="1" applyBorder="1" applyNumberFormat="1">
      <alignment horizontal="center" vertical="center" wrapText="1"/>
    </xf>
    <xf numFmtId="0" fontId="22" fillId="35" borderId="12" xfId="0" applyFont="1" applyFill="1" applyBorder="1" applyNumberFormat="1">
      <alignment horizontal="center" vertical="center" wrapText="1"/>
    </xf>
    <xf numFmtId="49" fontId="22" fillId="41" borderId="27" xfId="0" applyFont="1" applyFill="1" applyBorder="1" applyNumberFormat="1">
      <alignment horizontal="center" vertical="center" wrapText="1"/>
    </xf>
    <xf numFmtId="49" fontId="45" fillId="35" borderId="0" xfId="0" applyFont="1" applyFill="1" applyNumberFormat="1">
      <alignment vertical="center"/>
    </xf>
    <xf numFmtId="49" fontId="36" fillId="0" borderId="12" xfId="0" applyFont="1" applyBorder="1" applyNumberFormat="1">
      <alignment horizontal="center" vertical="center"/>
    </xf>
    <xf numFmtId="49" fontId="36" fillId="41" borderId="12" xfId="0" applyFont="1" applyFill="1" applyBorder="1" applyNumberFormat="1">
      <alignment horizontal="center" vertical="center"/>
    </xf>
    <xf numFmtId="0" fontId="36" fillId="0" borderId="12" xfId="0" applyFont="1" applyBorder="1" applyNumberFormat="1">
      <alignment horizontal="center" vertical="center"/>
    </xf>
    <xf numFmtId="49" fontId="36" fillId="0" borderId="23" xfId="0" applyFont="1" applyBorder="1" applyNumberFormat="1">
      <alignment horizontal="center" vertical="center"/>
    </xf>
    <xf numFmtId="49" fontId="22" fillId="0" borderId="0" xfId="0" applyFont="1" applyNumberFormat="1">
      <alignment vertical="center"/>
    </xf>
    <xf numFmtId="49" fontId="99" fillId="0" borderId="0" xfId="0" applyFont="1" applyNumberFormat="1">
      <alignment vertical="center"/>
    </xf>
    <xf numFmtId="49" fontId="47"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pplyNumberFormat="1">
      <alignment horizontal="right" vertical="center"/>
    </xf>
    <xf numFmtId="0" fontId="22" fillId="0" borderId="17" xfId="0" applyFont="1" applyBorder="1" applyNumberFormat="1">
      <alignment horizontal="center" vertical="center"/>
    </xf>
    <xf numFmtId="0" fontId="22" fillId="0" borderId="12" xfId="0" applyFont="1" applyBorder="1" applyNumberFormat="1">
      <alignment horizontal="right" vertical="center"/>
    </xf>
    <xf numFmtId="49" fontId="22" fillId="0" borderId="0" xfId="0" applyFont="1" applyNumberFormat="1">
      <alignment vertical="center"/>
    </xf>
    <xf numFmtId="49" fontId="45" fillId="0" borderId="0" xfId="0" applyFont="1" applyNumberFormat="1">
      <alignment vertical="top"/>
    </xf>
    <xf numFmtId="4" fontId="45" fillId="35" borderId="0" xfId="0" applyFont="1" applyFill="1" applyNumberFormat="1">
      <alignment vertical="center"/>
    </xf>
    <xf numFmtId="49" fontId="45" fillId="0" borderId="0" xfId="0" applyFont="1" applyNumberFormat="1">
      <alignment vertical="center" wrapText="1"/>
    </xf>
    <xf numFmtId="49" fontId="45" fillId="0" borderId="0" xfId="0" applyFont="1" applyNumberFormat="1">
      <alignment vertical="top"/>
    </xf>
    <xf numFmtId="0" fontId="45" fillId="0" borderId="0" xfId="0" applyFont="1" applyNumberFormat="1">
      <alignment vertical="center" wrapText="1"/>
    </xf>
    <xf numFmtId="49" fontId="94" fillId="0" borderId="0" xfId="0" applyFont="1" applyNumberFormat="1">
      <alignment vertical="center" wrapText="1"/>
    </xf>
    <xf numFmtId="49" fontId="45" fillId="0" borderId="0" xfId="0" applyFont="1" applyNumberFormat="1">
      <alignment vertical="center" wrapText="1"/>
    </xf>
    <xf numFmtId="49" fontId="99" fillId="0" borderId="0" xfId="0" applyFont="1" applyNumberFormat="1">
      <alignment vertical="center" wrapText="1"/>
    </xf>
    <xf numFmtId="49" fontId="99" fillId="0" borderId="0" xfId="0" applyFont="1" applyNumberFormat="1">
      <alignment vertical="center" wrapText="1"/>
    </xf>
    <xf numFmtId="0" fontId="36" fillId="0" borderId="0" xfId="0" applyFont="1" applyNumberFormat="1">
      <alignment horizontal="center" vertical="center" wrapText="1"/>
    </xf>
    <xf numFmtId="0" fontId="22" fillId="0" borderId="12" xfId="0" applyFont="1" applyBorder="1" applyNumberFormat="1">
      <alignment horizontal="center" vertical="center" wrapText="1"/>
    </xf>
    <xf numFmtId="0" fontId="22" fillId="34" borderId="14" xfId="0" applyFont="1" applyFill="1" applyBorder="1" applyNumberFormat="1">
      <alignment horizontal="left" vertical="top" wrapText="1" indent="1"/>
    </xf>
    <xf numFmtId="0" fontId="22" fillId="0" borderId="14" xfId="0" applyFont="1" applyBorder="1" applyNumberFormat="1">
      <alignment horizontal="center" vertical="center" wrapText="1"/>
    </xf>
    <xf numFmtId="0" fontId="22" fillId="0" borderId="12" xfId="0" applyFont="1" applyBorder="1" applyNumberFormat="1">
      <alignment horizontal="left" vertical="top" wrapText="1"/>
    </xf>
    <xf numFmtId="3" fontId="22" fillId="39" borderId="14" xfId="0" applyFont="1" applyFill="1" applyBorder="1" applyNumberFormat="1">
      <alignment vertical="center" wrapText="1"/>
      <protection locked="0"/>
    </xf>
    <xf numFmtId="0" fontId="22" fillId="0" borderId="12" xfId="0" applyFont="1" applyBorder="1" applyNumberFormat="1">
      <alignment vertical="top" wrapText="1"/>
    </xf>
    <xf numFmtId="0" fontId="22" fillId="0" borderId="12" xfId="0" applyFont="1" applyBorder="1" applyNumberFormat="1">
      <alignment horizontal="left" vertical="top" wrapText="1"/>
    </xf>
    <xf numFmtId="4" fontId="22" fillId="34" borderId="14" xfId="0" applyFont="1" applyFill="1" applyBorder="1" applyNumberFormat="1">
      <alignment horizontal="right" vertical="center" wrapText="1"/>
    </xf>
    <xf numFmtId="0" fontId="47" fillId="0" borderId="12" xfId="0" applyFont="1" applyBorder="1" applyNumberFormat="1">
      <alignment vertical="top" wrapText="1"/>
    </xf>
    <xf numFmtId="49" fontId="22" fillId="39" borderId="12" xfId="0" applyFont="1" applyFill="1" applyBorder="1" applyNumberFormat="1">
      <alignment horizontal="left" vertical="center" wrapText="1" indent="1"/>
      <protection locked="0"/>
    </xf>
    <xf numFmtId="0" fontId="39" fillId="35" borderId="0" xfId="0" applyFont="1" applyFill="1" applyNumberFormat="1">
      <alignment vertical="center" wrapText="1"/>
    </xf>
    <xf numFmtId="0" fontId="22" fillId="35" borderId="0" xfId="0" applyFont="1" applyFill="1" applyNumberFormat="1">
      <alignment vertical="center" wrapText="1"/>
    </xf>
    <xf numFmtId="0" fontId="22" fillId="0" borderId="20" xfId="0" applyFont="1" applyBorder="1" applyNumberFormat="1">
      <alignment horizontal="left" vertical="top" wrapText="1" indent="1"/>
    </xf>
    <xf numFmtId="0" fontId="22" fillId="0" borderId="17" xfId="0" applyFont="1" applyBorder="1" applyNumberFormat="1">
      <alignment horizontal="left" vertical="top" wrapText="1" indent="1"/>
    </xf>
    <xf numFmtId="0" fontId="22" fillId="0" borderId="37" xfId="0" applyFont="1" applyBorder="1" applyNumberFormat="1">
      <alignment horizontal="left" vertical="top" wrapText="1" indent="1"/>
    </xf>
    <xf numFmtId="49" fontId="22" fillId="0" borderId="0" xfId="0" applyFont="1" applyNumberFormat="1">
      <alignment vertical="center" wrapText="1"/>
    </xf>
    <xf numFmtId="0" fontId="22" fillId="0" borderId="29" xfId="0" applyFont="1" applyBorder="1" applyNumberFormat="1">
      <alignment horizontal="left" vertical="center" wrapText="1" indent="1"/>
    </xf>
    <xf numFmtId="0" fontId="22" fillId="0" borderId="23" xfId="0" applyFont="1" applyBorder="1" applyNumberFormat="1">
      <alignment horizontal="left" vertical="center" wrapText="1" indent="1"/>
    </xf>
    <xf numFmtId="0" fontId="22" fillId="0" borderId="30" xfId="0" applyFont="1" applyBorder="1" applyNumberFormat="1">
      <alignment horizontal="left" vertical="center" wrapText="1" indent="1"/>
    </xf>
    <xf numFmtId="0" fontId="22" fillId="35" borderId="0" xfId="0" applyFont="1" applyFill="1" applyNumberFormat="1">
      <alignment horizontal="center" vertical="center" wrapText="1"/>
    </xf>
    <xf numFmtId="49" fontId="22" fillId="0" borderId="0" xfId="0" applyFont="1" applyNumberFormat="1">
      <alignment vertical="center" wrapText="1"/>
    </xf>
    <xf numFmtId="0" fontId="22" fillId="35" borderId="0" xfId="0" applyFont="1" applyFill="1" applyNumberFormat="1">
      <alignment horizontal="center" vertical="center" wrapText="1"/>
    </xf>
    <xf numFmtId="0" fontId="22" fillId="35" borderId="12" xfId="0" applyFont="1" applyFill="1" applyBorder="1" applyNumberFormat="1">
      <alignment horizontal="center" vertical="center" wrapText="1"/>
    </xf>
    <xf numFmtId="0" fontId="0" fillId="0" borderId="12" xfId="0" applyFont="1" applyBorder="1" applyNumberFormat="1">
      <alignment horizontal="center" vertical="center" wrapText="1"/>
    </xf>
    <xf numFmtId="49" fontId="36" fillId="35" borderId="0" xfId="0" applyFont="1" applyFill="1" applyNumberFormat="1">
      <alignment horizontal="center" vertical="center" wrapText="1"/>
    </xf>
    <xf numFmtId="49" fontId="22" fillId="0" borderId="0" xfId="0" applyFont="1" applyNumberFormat="1">
      <alignment vertical="top"/>
    </xf>
    <xf numFmtId="49" fontId="0" fillId="35" borderId="12" xfId="0" applyFont="1" applyFill="1" applyBorder="1" applyNumberFormat="1">
      <alignment horizontal="center" vertical="center" wrapText="1"/>
    </xf>
    <xf numFmtId="0" fontId="0" fillId="0" borderId="12" xfId="0" applyFont="1" applyBorder="1" applyNumberFormat="1">
      <alignment vertical="center" wrapText="1"/>
    </xf>
    <xf numFmtId="0" fontId="0" fillId="0" borderId="12" xfId="0" applyFont="1" applyBorder="1" applyNumberFormat="1">
      <alignment horizontal="center" vertical="center" wrapText="1"/>
    </xf>
    <xf numFmtId="0" fontId="22" fillId="0" borderId="12" xfId="0" applyFont="1" applyBorder="1" applyNumberFormat="1">
      <alignment vertical="center" wrapText="1"/>
    </xf>
    <xf numFmtId="0" fontId="0" fillId="0" borderId="12" xfId="0" applyFont="1" applyBorder="1" applyNumberFormat="1">
      <alignment horizontal="left" vertical="center" wrapText="1" indent="1"/>
    </xf>
    <xf numFmtId="0" fontId="0" fillId="39" borderId="12" xfId="0" applyFont="1" applyFill="1" applyBorder="1" applyNumberFormat="1">
      <alignment horizontal="left" vertical="center" wrapText="1" indent="2"/>
      <protection locked="0"/>
    </xf>
    <xf numFmtId="49" fontId="53" fillId="39" borderId="12" xfId="0" applyFont="1" applyFill="1" applyBorder="1" applyNumberFormat="1">
      <alignment horizontal="left" vertical="center" wrapText="1"/>
      <protection locked="0"/>
    </xf>
    <xf numFmtId="0" fontId="22" fillId="37" borderId="14" xfId="0" applyFont="1" applyFill="1" applyBorder="1" applyNumberFormat="1">
      <alignment vertical="center" wrapText="1"/>
    </xf>
    <xf numFmtId="49" fontId="40" fillId="37" borderId="15" xfId="0" applyFont="1" applyFill="1" applyBorder="1" applyNumberFormat="1">
      <alignment horizontal="left" vertical="center" indent="2"/>
    </xf>
    <xf numFmtId="49" fontId="44" fillId="37" borderId="13" xfId="0" applyFont="1" applyFill="1" applyBorder="1" applyNumberFormat="1">
      <alignment horizontal="center" vertical="top"/>
    </xf>
    <xf numFmtId="0" fontId="47" fillId="0" borderId="0" xfId="0" applyFont="1" applyNumberFormat="1">
      <alignment vertical="center" wrapText="1"/>
    </xf>
    <xf numFmtId="0" fontId="39" fillId="35" borderId="0" xfId="0" applyFont="1" applyFill="1" applyNumberFormat="1">
      <alignment vertical="center" wrapText="1"/>
    </xf>
    <xf numFmtId="49" fontId="44" fillId="37" borderId="15" xfId="0" applyFont="1" applyFill="1" applyBorder="1" applyNumberFormat="1">
      <alignment horizontal="center" vertical="top"/>
    </xf>
    <xf numFmtId="0" fontId="48" fillId="0" borderId="0" xfId="0" applyFont="1" applyNumberFormat="1">
      <alignment vertical="center"/>
    </xf>
    <xf numFmtId="0" fontId="22" fillId="0" borderId="0" xfId="0" applyFont="1" applyNumberFormat="1">
      <alignment vertical="center" wrapText="1"/>
    </xf>
    <xf numFmtId="49" fontId="0" fillId="35" borderId="12" xfId="0" applyFont="1" applyFill="1" applyBorder="1" applyNumberFormat="1">
      <alignment horizontal="center" vertical="center" wrapText="1"/>
    </xf>
    <xf numFmtId="0" fontId="0" fillId="0" borderId="12" xfId="0" applyFont="1" applyBorder="1" applyNumberFormat="1">
      <alignment horizontal="left" vertical="center" wrapText="1" indent="1"/>
    </xf>
    <xf numFmtId="0" fontId="0" fillId="35" borderId="12" xfId="0" applyFont="1" applyFill="1" applyBorder="1" applyNumberFormat="1">
      <alignment horizontal="center" vertical="center" wrapText="1"/>
    </xf>
    <xf numFmtId="0" fontId="0" fillId="0" borderId="12" xfId="0" applyFont="1" applyBorder="1" applyNumberFormat="1">
      <alignment horizontal="left" vertical="center" wrapText="1" indent="1"/>
    </xf>
    <xf numFmtId="49" fontId="67" fillId="0" borderId="12" xfId="0" applyFont="1" applyBorder="1" applyNumberFormat="1">
      <alignment horizontal="center" vertical="center" wrapText="1"/>
    </xf>
    <xf numFmtId="0" fontId="67" fillId="0" borderId="12" xfId="0" applyFont="1" applyBorder="1" applyNumberFormat="1">
      <alignment horizontal="left" vertical="center" wrapText="1" indent="2"/>
    </xf>
    <xf numFmtId="49" fontId="70" fillId="0" borderId="14" xfId="0" applyFont="1" applyBorder="1" applyNumberFormat="1">
      <alignment horizontal="left" vertical="center" wrapText="1"/>
    </xf>
    <xf numFmtId="0" fontId="22" fillId="0" borderId="17" xfId="0" applyFont="1" applyBorder="1" applyNumberFormat="1">
      <alignment vertical="top" wrapText="1"/>
    </xf>
    <xf numFmtId="49" fontId="40" fillId="37" borderId="15" xfId="0" applyFont="1" applyFill="1" applyBorder="1" applyNumberFormat="1">
      <alignment horizontal="left" vertical="center" indent="1"/>
    </xf>
    <xf numFmtId="0" fontId="22" fillId="0" borderId="23" xfId="0" applyFont="1" applyBorder="1" applyNumberFormat="1">
      <alignment vertical="top" wrapText="1"/>
    </xf>
    <xf numFmtId="49" fontId="0" fillId="35" borderId="12" xfId="0" applyFont="1" applyFill="1" applyBorder="1" applyNumberFormat="1">
      <alignment horizontal="center" vertical="center" wrapText="1"/>
    </xf>
    <xf numFmtId="0" fontId="0" fillId="0" borderId="12" xfId="0" applyFont="1" applyBorder="1" applyNumberFormat="1">
      <alignment horizontal="center" vertical="center" wrapText="1"/>
    </xf>
    <xf numFmtId="0" fontId="22" fillId="0" borderId="12" xfId="0" applyFont="1" applyBorder="1" applyNumberFormat="1">
      <alignment vertical="center" wrapText="1"/>
    </xf>
    <xf numFmtId="0" fontId="0" fillId="0" borderId="12" xfId="0" applyFont="1" applyBorder="1" applyNumberFormat="1">
      <alignment horizontal="left" vertical="center" wrapText="1" indent="1"/>
    </xf>
    <xf numFmtId="0" fontId="22" fillId="0" borderId="0" xfId="0" applyFont="1" applyNumberFormat="1">
      <alignment vertical="top" wrapText="1"/>
    </xf>
    <xf numFmtId="49" fontId="22" fillId="0" borderId="0" xfId="0" applyFont="1" applyNumberFormat="1">
      <alignment vertical="center" wrapText="1"/>
    </xf>
    <xf numFmtId="0" fontId="39" fillId="0" borderId="0" xfId="0" applyFont="1" applyNumberFormat="1">
      <alignment vertical="center" wrapText="1"/>
    </xf>
    <xf numFmtId="49" fontId="47" fillId="0" borderId="0" xfId="0" applyFont="1" applyNumberFormat="1">
      <alignment vertical="top"/>
    </xf>
    <xf numFmtId="0" fontId="0" fillId="39" borderId="12" xfId="0" applyFont="1" applyFill="1" applyBorder="1" applyNumberFormat="1">
      <alignment horizontal="left" vertical="center" wrapText="1" indent="1"/>
      <protection locked="0"/>
    </xf>
    <xf numFmtId="49" fontId="53" fillId="39" borderId="12" xfId="0" applyFont="1" applyFill="1" applyBorder="1" applyNumberFormat="1">
      <alignment horizontal="left" vertical="center" wrapText="1"/>
      <protection locked="0"/>
    </xf>
    <xf numFmtId="0" fontId="0" fillId="0" borderId="12" xfId="0" applyFont="1" applyBorder="1" applyNumberFormat="1">
      <alignment horizontal="left" vertical="center" wrapText="1" indent="1"/>
    </xf>
    <xf numFmtId="0" fontId="0" fillId="39" borderId="12" xfId="0" applyFont="1" applyFill="1" applyBorder="1" applyNumberFormat="1">
      <alignment horizontal="left" vertical="center" wrapText="1"/>
      <protection locked="0"/>
    </xf>
    <xf numFmtId="0" fontId="0" fillId="0" borderId="12" xfId="0" applyFont="1" applyBorder="1" applyNumberFormat="1">
      <alignment horizontal="left" vertical="center" wrapText="1" indent="2"/>
    </xf>
    <xf numFmtId="49" fontId="22" fillId="40" borderId="12" xfId="0" applyFont="1" applyFill="1" applyBorder="1" applyNumberFormat="1">
      <alignment horizontal="left" vertical="center" wrapText="1"/>
    </xf>
    <xf numFmtId="0" fontId="0" fillId="0" borderId="12" xfId="0" applyFont="1" applyBorder="1" applyNumberFormat="1">
      <alignment horizontal="left" vertical="center" wrapText="1"/>
    </xf>
    <xf numFmtId="504" fontId="0" fillId="39" borderId="12" xfId="0" applyFont="1" applyFill="1" applyBorder="1" applyNumberFormat="1">
      <alignment horizontal="left" vertical="center" wrapText="1"/>
      <protection locked="0"/>
    </xf>
    <xf numFmtId="0" fontId="22" fillId="0" borderId="12" xfId="0" applyFont="1" applyBorder="1" applyNumberFormat="1">
      <alignment horizontal="left" vertical="top" wrapText="1"/>
    </xf>
    <xf numFmtId="0" fontId="0" fillId="0" borderId="12" xfId="0" applyFont="1" applyBorder="1" applyNumberFormat="1">
      <alignment horizontal="left" vertical="center" wrapText="1"/>
    </xf>
    <xf numFmtId="0" fontId="22" fillId="0" borderId="12" xfId="0" applyFont="1" applyBorder="1" applyNumberFormat="1">
      <alignment horizontal="left" vertical="center" wrapText="1"/>
    </xf>
    <xf numFmtId="0" fontId="0" fillId="0" borderId="12" xfId="0" applyFont="1" applyBorder="1" applyNumberFormat="1">
      <alignment horizontal="left" vertical="center" wrapText="1"/>
    </xf>
    <xf numFmtId="0" fontId="22" fillId="0" borderId="12" xfId="0" applyFont="1" applyBorder="1" applyNumberFormat="1">
      <alignment vertical="top" wrapText="1"/>
    </xf>
    <xf numFmtId="49" fontId="40" fillId="37" borderId="15" xfId="0" applyFont="1" applyFill="1" applyBorder="1" applyNumberFormat="1">
      <alignment horizontal="left" vertical="center" indent="2"/>
    </xf>
    <xf numFmtId="49" fontId="40" fillId="37" borderId="15" xfId="0" applyFont="1" applyFill="1" applyBorder="1" applyNumberFormat="1">
      <alignment horizontal="left" vertical="center" indent="3"/>
    </xf>
    <xf numFmtId="49" fontId="22" fillId="40" borderId="12" xfId="0" applyFont="1" applyFill="1" applyBorder="1" applyNumberFormat="1">
      <alignment horizontal="left" vertical="center" wrapText="1"/>
    </xf>
    <xf numFmtId="49" fontId="22" fillId="0" borderId="0" xfId="0" applyFont="1" applyNumberFormat="1">
      <alignment vertical="top"/>
    </xf>
    <xf numFmtId="49" fontId="48" fillId="0" borderId="0" xfId="0" applyFont="1" applyNumberFormat="1">
      <alignment vertical="top"/>
    </xf>
    <xf numFmtId="49" fontId="22" fillId="0" borderId="0" xfId="0" applyFont="1" applyNumberFormat="1">
      <alignment vertical="top"/>
    </xf>
    <xf numFmtId="49" fontId="22" fillId="0" borderId="0" xfId="0" applyFont="1" applyNumberFormat="1">
      <alignment vertical="top" wrapText="1"/>
    </xf>
    <xf numFmtId="49" fontId="22" fillId="0" borderId="0" xfId="0" applyFont="1" applyNumberFormat="1">
      <alignment vertical="top"/>
    </xf>
    <xf numFmtId="0" fontId="0" fillId="0" borderId="13" xfId="0" applyFont="1" applyBorder="1" applyNumberFormat="1">
      <alignment horizontal="center" vertical="center" wrapText="1"/>
    </xf>
    <xf numFmtId="504" fontId="0" fillId="39" borderId="13" xfId="0" applyFont="1" applyFill="1" applyBorder="1" applyNumberFormat="1">
      <alignment horizontal="left" vertical="center" wrapText="1"/>
      <protection locked="0"/>
    </xf>
    <xf numFmtId="504" fontId="0" fillId="39" borderId="14" xfId="0" applyFont="1" applyFill="1" applyBorder="1" applyNumberFormat="1">
      <alignment horizontal="left" vertical="center" wrapText="1"/>
      <protection locked="0"/>
    </xf>
    <xf numFmtId="0" fontId="22" fillId="40" borderId="12" xfId="0" applyFont="1" applyFill="1" applyBorder="1" applyNumberFormat="1">
      <alignment horizontal="left" vertical="center" wrapText="1"/>
    </xf>
    <xf numFmtId="0" fontId="0" fillId="0" borderId="36" xfId="0" applyFont="1" applyBorder="1" applyNumberFormat="1">
      <alignment horizontal="center" vertical="center" wrapText="1"/>
    </xf>
    <xf numFmtId="0" fontId="0" fillId="0" borderId="13" xfId="0" applyFont="1" applyBorder="1" applyNumberFormat="1">
      <alignment horizontal="center" vertical="center" wrapText="1"/>
    </xf>
    <xf numFmtId="0" fontId="22" fillId="0" borderId="0" xfId="0" applyFont="1" applyNumberFormat="1">
      <alignment horizontal="left" vertical="center" wrapText="1" indent="1"/>
    </xf>
    <xf numFmtId="0" fontId="22" fillId="0" borderId="0" xfId="0" applyFont="1" applyNumberFormat="1">
      <alignment vertical="center" wrapText="1"/>
    </xf>
    <xf numFmtId="0" fontId="0" fillId="0" borderId="12" xfId="0" applyFont="1" applyBorder="1" applyNumberFormat="1">
      <alignment horizontal="center" vertical="center" wrapText="1"/>
    </xf>
    <xf numFmtId="0" fontId="22" fillId="0" borderId="15" xfId="0" applyFont="1" applyBorder="1" applyNumberFormat="1">
      <alignment horizontal="left" vertical="top" wrapText="1" indent="1"/>
    </xf>
    <xf numFmtId="0" fontId="46" fillId="0" borderId="0" xfId="0" applyFont="1" applyNumberFormat="1">
      <alignment vertical="center" wrapText="1"/>
    </xf>
    <xf numFmtId="0" fontId="0" fillId="35" borderId="14" xfId="0" applyFont="1" applyFill="1" applyBorder="1" applyNumberFormat="1">
      <alignment horizontal="right" vertical="center" wrapText="1" indent="1"/>
    </xf>
    <xf numFmtId="0" fontId="71" fillId="0" borderId="0" xfId="0" applyFont="1" applyNumberFormat="1">
      <alignment vertical="center" wrapText="1"/>
    </xf>
    <xf numFmtId="49" fontId="36" fillId="35" borderId="0" xfId="0" applyFont="1" applyFill="1" applyNumberFormat="1">
      <alignment horizontal="center" vertical="center" wrapText="1"/>
    </xf>
    <xf numFmtId="49" fontId="36" fillId="35" borderId="19" xfId="0" applyFont="1" applyFill="1" applyBorder="1" applyNumberFormat="1">
      <alignment horizontal="center" vertical="center" wrapText="1"/>
    </xf>
    <xf numFmtId="49" fontId="0" fillId="35" borderId="17" xfId="0" applyFont="1" applyFill="1" applyBorder="1" applyNumberFormat="1">
      <alignment horizontal="center" vertical="center" wrapText="1"/>
    </xf>
    <xf numFmtId="0" fontId="0" fillId="0" borderId="17" xfId="0" applyFont="1" applyBorder="1" applyNumberFormat="1">
      <alignment horizontal="left" vertical="center" wrapText="1"/>
    </xf>
    <xf numFmtId="0" fontId="0" fillId="0" borderId="17" xfId="0" applyFont="1" applyBorder="1" applyNumberFormat="1">
      <alignment horizontal="left" vertical="center" wrapText="1"/>
    </xf>
    <xf numFmtId="0" fontId="22" fillId="0" borderId="12" xfId="0" applyFont="1" applyBorder="1" applyNumberFormat="1">
      <alignment horizontal="left" vertical="center" wrapText="1"/>
    </xf>
    <xf numFmtId="0" fontId="39" fillId="35" borderId="0" xfId="0" applyFont="1" applyFill="1" applyNumberFormat="1">
      <alignment horizontal="center" vertical="top" wrapText="1"/>
    </xf>
    <xf numFmtId="0" fontId="0" fillId="34" borderId="14" xfId="0" applyFont="1" applyFill="1" applyBorder="1" applyNumberFormat="1">
      <alignment horizontal="left" vertical="center" wrapText="1" indent="1"/>
    </xf>
    <xf numFmtId="0" fontId="0" fillId="0" borderId="13" xfId="0" applyFont="1" applyBorder="1" applyNumberFormat="1">
      <alignment horizontal="center" vertical="center" wrapText="1"/>
    </xf>
    <xf numFmtId="0" fontId="0" fillId="0" borderId="13" xfId="0" applyFont="1" applyBorder="1" applyNumberFormat="1">
      <alignment horizontal="center" vertical="center" wrapText="1"/>
    </xf>
    <xf numFmtId="49" fontId="40" fillId="37" borderId="27" xfId="0" applyFont="1" applyFill="1" applyBorder="1" applyNumberFormat="1">
      <alignment horizontal="left" vertical="center" indent="2"/>
    </xf>
    <xf numFmtId="49" fontId="40" fillId="37" borderId="15" xfId="0" applyFont="1" applyFill="1" applyBorder="1" applyNumberFormat="1">
      <alignment horizontal="left" vertical="center"/>
    </xf>
    <xf numFmtId="0" fontId="39" fillId="35" borderId="24" xfId="0" applyFont="1" applyFill="1" applyBorder="1" applyNumberFormat="1">
      <alignment horizontal="center" vertical="top" wrapText="1"/>
    </xf>
    <xf numFmtId="49" fontId="0" fillId="35" borderId="23" xfId="0" applyFont="1" applyFill="1" applyBorder="1" applyNumberFormat="1">
      <alignment horizontal="center" vertical="center" wrapText="1"/>
    </xf>
    <xf numFmtId="0" fontId="0" fillId="34" borderId="23" xfId="0" applyFont="1" applyFill="1" applyBorder="1" applyNumberFormat="1">
      <alignment horizontal="left" vertical="center" wrapText="1" indent="1"/>
    </xf>
    <xf numFmtId="504" fontId="0" fillId="39" borderId="13" xfId="0" applyFont="1" applyFill="1" applyBorder="1" applyNumberFormat="1">
      <alignment horizontal="left" vertical="center" wrapText="1"/>
      <protection locked="0"/>
    </xf>
    <xf numFmtId="504" fontId="0" fillId="39" borderId="14" xfId="0" applyFont="1" applyFill="1" applyBorder="1" applyNumberFormat="1">
      <alignment horizontal="left" vertical="center" wrapText="1"/>
      <protection locked="0"/>
    </xf>
    <xf numFmtId="0" fontId="0" fillId="0" borderId="13" xfId="0" applyFont="1" applyBorder="1" applyNumberFormat="1">
      <alignment horizontal="center" vertical="center" wrapText="1"/>
    </xf>
    <xf numFmtId="49" fontId="0" fillId="35" borderId="14" xfId="0" applyFont="1" applyFill="1" applyBorder="1" applyNumberFormat="1">
      <alignment horizontal="center" vertical="center" wrapText="1"/>
    </xf>
    <xf numFmtId="49" fontId="27" fillId="39" borderId="12" xfId="0" applyFont="1" applyFill="1" applyBorder="1" applyNumberFormat="1">
      <alignment horizontal="left" vertical="center" wrapText="1"/>
      <protection locked="0"/>
    </xf>
    <xf numFmtId="0" fontId="22" fillId="0" borderId="36" xfId="0" applyFont="1" applyBorder="1" applyNumberFormat="1">
      <alignment horizontal="left" vertical="top" wrapText="1"/>
    </xf>
    <xf numFmtId="49" fontId="22" fillId="0" borderId="0" xfId="0" applyFont="1" applyNumberFormat="1">
      <alignment vertical="top"/>
    </xf>
    <xf numFmtId="49" fontId="22" fillId="0" borderId="19" xfId="0" applyFont="1" applyBorder="1" applyNumberFormat="1">
      <alignment vertical="top"/>
    </xf>
    <xf numFmtId="0" fontId="46" fillId="0" borderId="0" xfId="0" applyFont="1" applyNumberFormat="1">
      <alignment horizontal="right" vertical="top" wrapText="1"/>
    </xf>
    <xf numFmtId="49" fontId="22" fillId="0" borderId="0" xfId="0" applyFont="1" applyNumberFormat="1">
      <alignment vertical="top" wrapText="1"/>
    </xf>
    <xf numFmtId="0" fontId="22" fillId="0" borderId="0" xfId="0" applyFont="1" applyNumberFormat="1">
      <alignment vertical="top" wrapText="1"/>
    </xf>
    <xf numFmtId="49" fontId="22" fillId="0" borderId="0" xfId="0" applyFont="1" applyNumberFormat="1">
      <alignment vertical="top"/>
    </xf>
    <xf numFmtId="0" fontId="22" fillId="35" borderId="12" xfId="0" applyFont="1" applyFill="1" applyBorder="1" applyNumberFormat="1">
      <alignment horizontal="center" vertical="center" wrapText="1"/>
    </xf>
    <xf numFmtId="49" fontId="27" fillId="39" borderId="12" xfId="0" applyFont="1" applyFill="1" applyBorder="1" applyNumberFormat="1">
      <alignment horizontal="left" vertical="center" wrapText="1"/>
      <protection locked="0"/>
    </xf>
    <xf numFmtId="0" fontId="37" fillId="35" borderId="0" xfId="0" applyFont="1" applyFill="1" applyNumberFormat="1">
      <alignment horizontal="center" vertical="center" wrapText="1"/>
    </xf>
    <xf numFmtId="0" fontId="0" fillId="0" borderId="12" xfId="0" applyFont="1" applyBorder="1" applyNumberFormat="1">
      <alignment horizontal="left" vertical="center" wrapText="1"/>
    </xf>
    <xf numFmtId="0" fontId="22" fillId="0" borderId="19" xfId="0" applyFont="1" applyBorder="1" applyNumberFormat="1">
      <alignment vertical="center" wrapText="1"/>
    </xf>
    <xf numFmtId="0" fontId="22" fillId="0" borderId="19" xfId="0" applyFont="1" applyBorder="1" applyNumberFormat="1">
      <alignment horizontal="left" vertical="top" wrapText="1"/>
    </xf>
    <xf numFmtId="49" fontId="22" fillId="0" borderId="0" xfId="0" applyFont="1" applyNumberFormat="1">
      <alignment vertical="center" wrapText="1"/>
    </xf>
    <xf numFmtId="0" fontId="83" fillId="0" borderId="0" xfId="0" applyFont="1" applyNumberFormat="1">
      <alignment vertical="center" wrapText="1"/>
    </xf>
    <xf numFmtId="0" fontId="22" fillId="0" borderId="12" xfId="0" applyFont="1" applyBorder="1" applyNumberFormat="1">
      <alignment horizontal="center" vertical="center" wrapText="1"/>
    </xf>
    <xf numFmtId="0" fontId="22" fillId="0" borderId="12" xfId="0" applyFont="1" applyBorder="1" applyNumberFormat="1">
      <alignment horizontal="left" vertical="center" wrapText="1"/>
    </xf>
    <xf numFmtId="3" fontId="22" fillId="0" borderId="14" xfId="0" applyFont="1" applyBorder="1" applyNumberFormat="1">
      <alignment vertical="center" wrapText="1"/>
    </xf>
    <xf numFmtId="0" fontId="22" fillId="0" borderId="12" xfId="0" applyFont="1" applyBorder="1" applyNumberFormat="1">
      <alignment horizontal="center" vertical="center" wrapText="1"/>
    </xf>
    <xf numFmtId="0" fontId="22" fillId="0" borderId="17" xfId="0" applyFont="1" applyBorder="1" applyNumberFormat="1">
      <alignment horizontal="center" vertical="center" wrapText="1"/>
    </xf>
    <xf numFmtId="0" fontId="22" fillId="0" borderId="17" xfId="0" applyFont="1" applyBorder="1" applyNumberFormat="1">
      <alignment horizontal="center" vertical="center" wrapText="1"/>
    </xf>
    <xf numFmtId="0" fontId="22" fillId="0" borderId="12" xfId="0" applyFont="1" applyBorder="1" applyNumberFormat="1">
      <alignment horizontal="left" vertical="center" wrapText="1" indent="1"/>
    </xf>
    <xf numFmtId="49" fontId="22" fillId="0" borderId="12" xfId="0" applyFont="1" applyBorder="1" applyNumberFormat="1">
      <alignment horizontal="center" vertical="center" wrapText="1"/>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53" fillId="0" borderId="0" xfId="0" applyFont="1" applyNumberFormat="1">
      <alignment vertical="center" wrapText="1"/>
    </xf>
    <xf numFmtId="49" fontId="22" fillId="0" borderId="0" xfId="0" applyFont="1" applyNumberFormat="1">
      <alignment horizontal="center" vertical="top"/>
    </xf>
    <xf numFmtId="49" fontId="32" fillId="47" borderId="0" xfId="0" applyFont="1" applyFill="1" applyNumberFormat="1">
      <alignment horizontal="center" vertical="center"/>
    </xf>
    <xf numFmtId="49" fontId="22" fillId="0" borderId="12" xfId="0" applyFont="1" applyBorder="1" applyNumberFormat="1">
      <alignment horizontal="center" vertical="top"/>
    </xf>
    <xf numFmtId="49" fontId="47" fillId="47" borderId="0" xfId="0" applyFont="1" applyFill="1" applyNumberFormat="1">
      <alignment horizontal="center" vertical="center" wrapText="1"/>
    </xf>
    <xf numFmtId="0" fontId="0" fillId="49" borderId="12" xfId="0" applyFont="1" applyFill="1" applyBorder="1" applyNumberFormat="1">
      <alignment horizontal="center" vertical="center"/>
    </xf>
    <xf numFmtId="49" fontId="0" fillId="0" borderId="0" xfId="0" applyFont="1" applyNumberFormat="1">
      <alignment vertical="center"/>
    </xf>
    <xf numFmtId="49" fontId="47" fillId="47" borderId="12" xfId="0" applyFont="1" applyFill="1" applyBorder="1" applyNumberFormat="1">
      <alignment horizontal="center" vertical="center"/>
    </xf>
    <xf numFmtId="49" fontId="47"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horizontal="center" vertical="top"/>
    </xf>
    <xf numFmtId="49" fontId="22" fillId="0" borderId="0" xfId="0" applyFont="1" applyNumberFormat="1">
      <alignment vertical="top"/>
    </xf>
    <xf numFmtId="0" fontId="22" fillId="0" borderId="12" xfId="0" applyFont="1" applyBorder="1" applyNumberFormat="1">
      <alignment vertical="center"/>
    </xf>
    <xf numFmtId="0" fontId="0" fillId="0" borderId="12" xfId="0" applyFont="1" applyBorder="1" applyNumberFormat="1">
      <alignment vertical="center"/>
    </xf>
    <xf numFmtId="0" fontId="0" fillId="0" borderId="12" xfId="0" applyFont="1" applyBorder="1" applyNumberFormat="1">
      <alignment vertical="center"/>
    </xf>
    <xf numFmtId="0" fontId="0" fillId="0" borderId="14" xfId="0" applyFont="1" applyBorder="1" applyNumberFormat="1">
      <alignment vertical="center"/>
    </xf>
    <xf numFmtId="0" fontId="0" fillId="0" borderId="14" xfId="0" applyFont="1" applyBorder="1" applyNumberFormat="1">
      <alignment vertical="center"/>
    </xf>
    <xf numFmtId="0" fontId="22" fillId="0" borderId="14" xfId="0" applyFont="1" applyBorder="1" applyNumberFormat="1">
      <alignment horizontal="left" vertical="center"/>
    </xf>
    <xf numFmtId="49" fontId="22" fillId="0" borderId="44" xfId="0" applyFont="1" applyBorder="1" applyNumberFormat="1">
      <alignment vertical="center"/>
    </xf>
    <xf numFmtId="49" fontId="22" fillId="0" borderId="45" xfId="0" applyFont="1" applyBorder="1" applyNumberFormat="1">
      <alignment vertical="top"/>
    </xf>
    <xf numFmtId="49" fontId="22" fillId="0" borderId="16" xfId="0" applyFont="1" applyBorder="1" applyNumberFormat="1">
      <alignment vertical="top"/>
    </xf>
    <xf numFmtId="0" fontId="0" fillId="0" borderId="13" xfId="0" applyFont="1" applyBorder="1" applyNumberFormat="1">
      <alignment vertical="center"/>
    </xf>
    <xf numFmtId="0" fontId="0" fillId="0" borderId="12" xfId="0" applyFont="1" applyBorder="1" applyNumberFormat="1">
      <alignment horizontal="right" vertical="top"/>
    </xf>
    <xf numFmtId="0" fontId="0" fillId="0" borderId="12" xfId="0" applyFont="1" applyBorder="1" applyNumberFormat="1">
      <alignment vertical="top"/>
    </xf>
    <xf numFmtId="0" fontId="22" fillId="0" borderId="13" xfId="0" applyFont="1" applyBorder="1" applyNumberFormat="1">
      <alignment vertical="center"/>
    </xf>
    <xf numFmtId="49" fontId="22" fillId="0" borderId="12" xfId="0" applyFont="1" applyBorder="1" applyNumberFormat="1">
      <alignment vertical="center"/>
    </xf>
    <xf numFmtId="0" fontId="0" fillId="0" borderId="0" xfId="0" applyFont="1" applyNumberFormat="1">
      <alignment vertical="top"/>
    </xf>
    <xf numFmtId="0" fontId="22" fillId="0" borderId="12" xfId="0" applyFont="1" applyBorder="1" applyNumberFormat="1">
      <alignment vertical="top"/>
    </xf>
    <xf numFmtId="0" fontId="0" fillId="48" borderId="0" xfId="0" applyFont="1" applyFill="1" applyNumberFormat="1">
      <alignment horizontal="right" vertical="center"/>
    </xf>
    <xf numFmtId="49" fontId="32" fillId="0" borderId="0" xfId="0" applyFont="1" applyNumberFormat="1">
      <alignment horizontal="center" vertical="center"/>
    </xf>
    <xf numFmtId="49" fontId="0" fillId="0" borderId="0" xfId="0" applyFont="1" applyNumberFormat="1">
      <alignment vertical="top"/>
    </xf>
    <xf numFmtId="49" fontId="32" fillId="47" borderId="0" xfId="0" applyFont="1" applyFill="1" applyNumberFormat="1">
      <alignment horizontal="center" vertical="center"/>
    </xf>
    <xf numFmtId="0" fontId="22" fillId="0" borderId="0" xfId="0" applyFont="1" applyNumberFormat="1">
      <alignment vertical="center"/>
    </xf>
    <xf numFmtId="0" fontId="0" fillId="48" borderId="0" xfId="0" applyFont="1" applyFill="1" applyNumberFormat="1">
      <alignment horizontal="left" vertical="center"/>
    </xf>
    <xf numFmtId="0" fontId="0" fillId="0" borderId="0" xfId="0" applyFont="1" applyNumberFormat="1">
      <alignment horizontal="right" vertical="top"/>
    </xf>
    <xf numFmtId="0" fontId="0" fillId="0" borderId="0" xfId="0" applyFont="1" applyNumberFormat="1">
      <alignment vertical="top"/>
    </xf>
    <xf numFmtId="0" fontId="0" fillId="0" borderId="0" xfId="0" applyFont="1" applyNumberFormat="1">
      <alignment vertical="top"/>
    </xf>
    <xf numFmtId="0" fontId="0" fillId="0" borderId="0" xfId="0" applyFont="1" applyNumberFormat="1">
      <alignment horizontal="right" vertical="top"/>
    </xf>
    <xf numFmtId="0" fontId="0" fillId="0" borderId="0" xfId="0" applyFont="1" applyNumberFormat="1">
      <alignment vertical="top"/>
    </xf>
    <xf numFmtId="49" fontId="22" fillId="0" borderId="14" xfId="0" applyFont="1" applyBorder="1" applyNumberFormat="1">
      <alignment vertical="top"/>
    </xf>
    <xf numFmtId="0" fontId="0" fillId="48" borderId="0" xfId="0" applyFont="1" applyFill="1" applyNumberFormat="1">
      <alignment horizontal="right" vertical="center"/>
    </xf>
    <xf numFmtId="0" fontId="0" fillId="0" borderId="0" xfId="0" applyFont="1" applyNumberFormat="1">
      <alignment horizontal="left" vertical="center"/>
    </xf>
    <xf numFmtId="0" fontId="0" fillId="48" borderId="0" xfId="0" applyFont="1" applyFill="1" applyNumberFormat="1">
      <alignment horizontal="right" vertical="center"/>
    </xf>
    <xf numFmtId="0" fontId="0" fillId="48" borderId="0" xfId="0" applyFont="1" applyFill="1" applyNumberFormat="1">
      <alignment horizontal="left" vertical="center"/>
    </xf>
    <xf numFmtId="0" fontId="54" fillId="48" borderId="0" xfId="0" applyFont="1" applyFill="1" applyNumberFormat="1">
      <alignment horizontal="left" vertical="center"/>
    </xf>
    <xf numFmtId="0" fontId="0" fillId="0" borderId="0" xfId="0" applyFont="1" applyNumberFormat="1">
      <alignment vertical="center"/>
    </xf>
    <xf numFmtId="0" fontId="22" fillId="0" borderId="0" xfId="0" applyFont="1" applyNumberFormat="1">
      <alignment vertical="top"/>
    </xf>
    <xf numFmtId="0" fontId="54" fillId="0" borderId="0" xfId="0" applyFont="1" applyNumberFormat="1">
      <alignment horizontal="left" vertical="center"/>
    </xf>
    <xf numFmtId="49" fontId="0" fillId="0" borderId="14" xfId="0" applyFont="1" applyBorder="1" applyNumberFormat="1">
      <alignment vertical="top"/>
    </xf>
    <xf numFmtId="49" fontId="22" fillId="0" borderId="12" xfId="0" applyFont="1" applyBorder="1" applyNumberFormat="1">
      <alignment horizontal="right" vertical="top"/>
    </xf>
    <xf numFmtId="0" fontId="0" fillId="0" borderId="14" xfId="0" applyFont="1" applyBorder="1" applyNumberFormat="1">
      <alignment horizontal="left" vertical="center"/>
    </xf>
    <xf numFmtId="0" fontId="54" fillId="48" borderId="0" xfId="0" applyFont="1" applyFill="1" applyNumberFormat="1">
      <alignment horizontal="left" vertical="center"/>
    </xf>
    <xf numFmtId="49" fontId="22" fillId="0" borderId="17" xfId="0" applyFont="1" applyBorder="1" applyNumberFormat="1">
      <alignment horizontal="right" vertical="top"/>
    </xf>
    <xf numFmtId="0" fontId="0" fillId="0" borderId="17" xfId="0" applyFont="1" applyBorder="1" applyNumberFormat="1">
      <alignment vertical="top"/>
    </xf>
    <xf numFmtId="0" fontId="22" fillId="0" borderId="17" xfId="0" applyFont="1" applyBorder="1" applyNumberFormat="1">
      <alignment vertical="center"/>
    </xf>
    <xf numFmtId="49" fontId="22" fillId="0" borderId="31" xfId="0" applyFont="1" applyBorder="1" applyNumberFormat="1">
      <alignment horizontal="center" vertical="center"/>
    </xf>
    <xf numFmtId="49" fontId="22" fillId="0" borderId="12" xfId="0" applyFont="1" applyBorder="1" applyNumberFormat="1">
      <alignment horizontal="right" vertical="center"/>
    </xf>
    <xf numFmtId="49" fontId="22" fillId="0" borderId="12" xfId="0" applyFont="1" applyBorder="1" applyNumberFormat="1">
      <alignment vertical="top"/>
    </xf>
    <xf numFmtId="49" fontId="0" fillId="0" borderId="0" xfId="0" applyFont="1" applyNumberFormat="1">
      <alignment vertical="center"/>
    </xf>
    <xf numFmtId="0" fontId="22" fillId="48" borderId="0" xfId="0" applyFont="1" applyFill="1" applyNumberFormat="1">
      <alignment horizontal="left" vertical="center"/>
    </xf>
    <xf numFmtId="0" fontId="0" fillId="48" borderId="10" xfId="0" applyFont="1" applyFill="1" applyBorder="1" applyNumberFormat="1">
      <alignment horizontal="center"/>
    </xf>
    <xf numFmtId="49" fontId="104" fillId="0" borderId="16" xfId="0" applyFont="1" applyBorder="1" applyNumberFormat="1">
      <alignment vertical="top"/>
    </xf>
    <xf numFmtId="49" fontId="0" fillId="0" borderId="0" xfId="0" applyFont="1" applyNumberFormat="1">
      <alignment vertical="center"/>
    </xf>
    <xf numFmtId="49" fontId="45" fillId="54" borderId="0" xfId="0" applyFont="1" applyFill="1" applyNumberFormat="1">
      <alignment vertical="center" wrapText="1"/>
    </xf>
    <xf numFmtId="0" fontId="0" fillId="0" borderId="10" xfId="0" applyFont="1" applyBorder="1" applyNumberFormat="1">
      <alignment horizontal="center"/>
    </xf>
    <xf numFmtId="49" fontId="32" fillId="47" borderId="0" xfId="0" applyFont="1" applyFill="1" applyNumberFormat="1">
      <alignment horizontal="center" vertical="center" wrapText="1"/>
    </xf>
    <xf numFmtId="49" fontId="22" fillId="48" borderId="0" xfId="0" applyFont="1" applyFill="1" applyNumberFormat="1">
      <alignment horizontal="center" vertical="center"/>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pplyNumberFormat="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pplyNumberFormat="1">
      <alignment horizontal="center" vertical="center"/>
    </xf>
    <xf numFmtId="0" fontId="102" fillId="0" borderId="46" xfId="0" applyFont="1" applyBorder="1" applyNumberFormat="1">
      <alignment horizontal="center" vertical="center"/>
    </xf>
    <xf numFmtId="0" fontId="0" fillId="0" borderId="46" xfId="0" applyFont="1" applyBorder="1" applyNumberFormat="1">
      <alignment horizontal="center" vertical="center"/>
    </xf>
    <xf numFmtId="49" fontId="32"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pplyNumberFormat="1">
      <alignment vertical="top"/>
    </xf>
    <xf numFmtId="0" fontId="0" fillId="41" borderId="12" xfId="0" applyFont="1" applyFill="1" applyBorder="1" applyNumberFormat="1">
      <alignment horizontal="right" vertical="center"/>
    </xf>
    <xf numFmtId="49" fontId="22" fillId="41" borderId="23" xfId="0" applyFont="1" applyFill="1" applyBorder="1" applyNumberFormat="1">
      <alignment vertical="top"/>
    </xf>
    <xf numFmtId="49" fontId="22" fillId="41" borderId="12" xfId="0" applyFont="1" applyFill="1" applyBorder="1" applyNumberFormat="1">
      <alignment vertical="top"/>
    </xf>
    <xf numFmtId="49" fontId="22" fillId="0" borderId="14" xfId="0" applyFont="1" applyBorder="1" applyNumberFormat="1">
      <alignment horizontal="center" vertical="top"/>
    </xf>
    <xf numFmtId="49" fontId="22" fillId="0" borderId="13" xfId="0" applyFont="1" applyBorder="1" applyNumberFormat="1">
      <alignment horizontal="center" vertical="top"/>
    </xf>
    <xf numFmtId="0" fontId="22" fillId="34" borderId="30" xfId="0" applyFont="1" applyFill="1" applyBorder="1" applyNumberFormat="1">
      <alignment horizontal="center" vertical="top"/>
    </xf>
    <xf numFmtId="0" fontId="22" fillId="34" borderId="30" xfId="0" applyFont="1" applyFill="1" applyBorder="1" applyNumberFormat="1">
      <alignment horizontal="left" vertical="top"/>
    </xf>
    <xf numFmtId="0" fontId="0" fillId="0" borderId="32" xfId="0" applyFont="1" applyBorder="1" applyNumberFormat="1">
      <alignment horizontal="center" vertical="center"/>
    </xf>
    <xf numFmtId="0" fontId="0" fillId="0" borderId="34" xfId="0" applyFont="1" applyBorder="1" applyNumberFormat="1">
      <alignment horizontal="center" vertical="center"/>
    </xf>
    <xf numFmtId="0" fontId="22" fillId="0" borderId="12" xfId="0" applyFont="1" applyBorder="1" applyNumberFormat="1">
      <alignment horizontal="left" vertical="top"/>
    </xf>
    <xf numFmtId="49" fontId="22" fillId="0" borderId="0" xfId="0" applyFont="1" applyNumberFormat="1">
      <alignment horizontal="left" vertical="top"/>
    </xf>
    <xf numFmtId="0" fontId="0" fillId="0" borderId="33" xfId="0" applyFont="1" applyBorder="1" applyNumberFormat="1">
      <alignment horizontal="center" vertical="center"/>
    </xf>
    <xf numFmtId="49" fontId="32" fillId="47" borderId="14" xfId="0" applyFont="1" applyFill="1" applyBorder="1" applyNumberFormat="1">
      <alignment horizontal="right" vertical="center"/>
    </xf>
    <xf numFmtId="49" fontId="22" fillId="0" borderId="12" xfId="0" applyFont="1" applyBorder="1" applyNumberFormat="1">
      <alignment vertical="top"/>
    </xf>
    <xf numFmtId="49" fontId="0" fillId="0" borderId="0" xfId="0" applyFont="1" applyNumberFormat="1">
      <alignment vertical="center"/>
    </xf>
    <xf numFmtId="49" fontId="0" fillId="0" borderId="0" xfId="0" applyFont="1" applyNumberFormat="1">
      <alignment vertical="top"/>
    </xf>
    <xf numFmtId="0" fontId="0" fillId="48" borderId="0" xfId="0" applyFont="1" applyFill="1" applyNumberFormat="1">
      <alignment horizontal="right" vertical="top" wrapText="1"/>
    </xf>
    <xf numFmtId="0" fontId="22" fillId="0" borderId="0" xfId="0" applyFont="1" applyNumberFormat="1">
      <alignment horizontal="left" vertical="top" wrapText="1"/>
    </xf>
    <xf numFmtId="49" fontId="22" fillId="0" borderId="0" xfId="0" applyFont="1" applyNumberFormat="1">
      <alignment vertical="center"/>
    </xf>
    <xf numFmtId="49" fontId="0" fillId="0" borderId="0" xfId="0" applyFont="1" applyNumberFormat="1">
      <alignment vertical="center" wrapText="1"/>
    </xf>
    <xf numFmtId="49" fontId="0" fillId="0" borderId="0" xfId="0" applyFont="1" applyNumberFormat="1">
      <alignment vertical="center"/>
    </xf>
    <xf numFmtId="49" fontId="22" fillId="35" borderId="12" xfId="0" applyFont="1" applyFill="1" applyBorder="1" applyNumberFormat="1">
      <alignment horizontal="center" vertical="center"/>
    </xf>
    <xf numFmtId="49" fontId="22" fillId="39" borderId="12" xfId="0" applyFont="1" applyFill="1" applyBorder="1" applyNumberFormat="1">
      <alignment horizontal="left" vertical="center" wrapText="1"/>
      <protection locked="0"/>
    </xf>
    <xf numFmtId="0" fontId="22" fillId="39" borderId="12" xfId="0" applyFont="1" applyFill="1" applyBorder="1" applyNumberFormat="1">
      <alignment horizontal="center" vertical="center" wrapText="1"/>
      <protection locked="0"/>
    </xf>
    <xf numFmtId="0" fontId="47" fillId="35" borderId="0" xfId="0" applyFont="1" applyFill="1" applyNumberFormat="1"/>
    <xf numFmtId="49" fontId="22" fillId="35" borderId="12" xfId="0" applyFont="1" applyFill="1" applyBorder="1" applyNumberFormat="1">
      <alignment horizontal="center" vertical="center" wrapText="1"/>
    </xf>
    <xf numFmtId="0" fontId="0" fillId="35" borderId="12" xfId="0" applyFont="1" applyFill="1" applyBorder="1" applyNumberFormat="1">
      <alignment horizontal="center" vertical="center" wrapText="1"/>
    </xf>
    <xf numFmtId="0" fontId="22" fillId="34" borderId="12" xfId="0" applyFont="1" applyFill="1" applyBorder="1" applyNumberFormat="1">
      <alignment horizontal="left" vertical="center" wrapText="1"/>
    </xf>
    <xf numFmtId="0" fontId="68" fillId="35" borderId="0" xfId="0" applyFont="1" applyFill="1" applyNumberFormat="1"/>
    <xf numFmtId="0" fontId="22" fillId="35" borderId="12" xfId="0" applyFont="1" applyFill="1" applyBorder="1" applyNumberFormat="1">
      <alignment horizontal="left" vertical="center" wrapText="1"/>
    </xf>
    <xf numFmtId="0" fontId="22" fillId="0" borderId="12" xfId="0" applyFont="1" applyBorder="1" applyNumberFormat="1">
      <alignment horizontal="center" vertical="center" wrapText="1"/>
    </xf>
    <xf numFmtId="49" fontId="22" fillId="0" borderId="12" xfId="0" applyFont="1" applyBorder="1" applyNumberFormat="1">
      <alignment horizontal="center" vertical="center"/>
    </xf>
    <xf numFmtId="49" fontId="22" fillId="36" borderId="12" xfId="0" applyFont="1" applyFill="1" applyBorder="1" applyNumberFormat="1">
      <alignment horizontal="left" vertical="center" wrapText="1"/>
      <protection locked="0"/>
    </xf>
    <xf numFmtId="0" fontId="48" fillId="35" borderId="0" xfId="0" applyFont="1" applyFill="1" applyNumberFormat="1">
      <alignment horizontal="center" vertical="center" wrapText="1"/>
    </xf>
    <xf numFmtId="0" fontId="22" fillId="35" borderId="24" xfId="0" applyFont="1" applyFill="1" applyBorder="1" applyNumberFormat="1">
      <alignment horizontal="center" vertical="center" wrapText="1"/>
    </xf>
    <xf numFmtId="0" fontId="0" fillId="35" borderId="17" xfId="0" applyFont="1" applyFill="1" applyBorder="1" applyNumberFormat="1">
      <alignment horizontal="left" vertical="top" wrapText="1"/>
    </xf>
    <xf numFmtId="0" fontId="67" fillId="35" borderId="0" xfId="0" applyFont="1" applyFill="1" applyNumberFormat="1"/>
    <xf numFmtId="0" fontId="72" fillId="35" borderId="0" xfId="0" applyFont="1" applyFill="1" applyNumberFormat="1">
      <alignment vertical="center" wrapText="1"/>
    </xf>
    <xf numFmtId="0" fontId="48" fillId="35" borderId="12" xfId="0" applyFont="1" applyFill="1" applyBorder="1" applyNumberFormat="1">
      <alignment horizontal="center" vertical="center"/>
    </xf>
    <xf numFmtId="0" fontId="0" fillId="35" borderId="36" xfId="0" applyFont="1" applyFill="1" applyBorder="1" applyNumberFormat="1">
      <alignment horizontal="left" vertical="top" wrapText="1"/>
    </xf>
    <xf numFmtId="0" fontId="67" fillId="35" borderId="0" xfId="0" applyFont="1" applyFill="1" applyNumberFormat="1"/>
    <xf numFmtId="0" fontId="0" fillId="35" borderId="23" xfId="0" applyFont="1" applyFill="1" applyBorder="1" applyNumberFormat="1">
      <alignment horizontal="left" vertical="top" wrapText="1"/>
    </xf>
    <xf numFmtId="0" fontId="84" fillId="35" borderId="0" xfId="0" applyFont="1" applyFill="1" applyNumberFormat="1"/>
    <xf numFmtId="0" fontId="22" fillId="35" borderId="12" xfId="0" applyFont="1" applyFill="1" applyBorder="1" applyNumberFormat="1">
      <alignment horizontal="left" vertical="top" wrapText="1"/>
    </xf>
    <xf numFmtId="49" fontId="53" fillId="36" borderId="23" xfId="0" applyFont="1" applyFill="1" applyBorder="1" applyNumberFormat="1">
      <alignment horizontal="left" vertical="center" wrapText="1"/>
      <protection locked="0"/>
    </xf>
    <xf numFmtId="0" fontId="22" fillId="35" borderId="12" xfId="0" applyFont="1" applyFill="1" applyBorder="1" applyNumberFormat="1">
      <alignment vertical="top" wrapText="1"/>
    </xf>
    <xf numFmtId="0" fontId="22" fillId="0" borderId="12" xfId="0" applyFont="1" applyBorder="1" applyNumberFormat="1">
      <alignment horizontal="center" vertical="center" wrapText="1"/>
    </xf>
    <xf numFmtId="49" fontId="22" fillId="40" borderId="12" xfId="0" applyFont="1" applyFill="1" applyBorder="1" applyNumberFormat="1">
      <alignment horizontal="left" vertical="center" wrapText="1"/>
    </xf>
    <xf numFmtId="14" fontId="22" fillId="39" borderId="14" xfId="0" applyFont="1" applyFill="1" applyBorder="1" applyNumberFormat="1">
      <alignment horizontal="left" vertical="center" wrapText="1" indent="1"/>
      <protection locked="0"/>
    </xf>
    <xf numFmtId="0" fontId="47" fillId="0" borderId="36" xfId="0" applyFont="1" applyBorder="1" applyNumberFormat="1">
      <alignment horizontal="left" vertical="center" wrapText="1" indent="1"/>
    </xf>
    <xf numFmtId="0" fontId="112" fillId="0" borderId="0" xfId="0" applyFont="1" applyNumberFormat="1">
      <alignment vertical="center"/>
    </xf>
    <xf numFmtId="0" fontId="37" fillId="0" borderId="0" xfId="0" applyFont="1" applyNumberFormat="1">
      <alignment horizontal="center" vertical="center" wrapText="1"/>
    </xf>
    <xf numFmtId="4" fontId="22" fillId="0" borderId="17" xfId="0" applyFont="1" applyBorder="1" applyNumberFormat="1">
      <alignment horizontal="center" vertical="center" wrapText="1"/>
    </xf>
    <xf numFmtId="501" fontId="22" fillId="0" borderId="37" xfId="0" applyFont="1" applyBorder="1" applyNumberFormat="1">
      <alignment horizontal="center" vertical="center" wrapText="1"/>
    </xf>
    <xf numFmtId="501"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14" fontId="22" fillId="40" borderId="12" xfId="0" applyFont="1" applyFill="1" applyBorder="1" applyNumberFormat="1">
      <alignment horizontal="left" vertical="center" wrapText="1"/>
    </xf>
    <xf numFmtId="14" fontId="22" fillId="39" borderId="12" xfId="0" applyFont="1" applyFill="1" applyBorder="1" applyNumberFormat="1">
      <alignment horizontal="left" vertical="center" wrapText="1" indent="1"/>
      <protection locked="0"/>
    </xf>
    <xf numFmtId="49" fontId="50"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0" fillId="37" borderId="29" xfId="0" applyFont="1" applyFill="1" applyBorder="1" applyNumberFormat="1">
      <alignment horizontal="right" vertical="center" wrapText="1"/>
    </xf>
    <xf numFmtId="0" fontId="112" fillId="0" borderId="0" xfId="0" applyFont="1" applyNumberFormat="1">
      <alignment vertical="center" wrapText="1"/>
    </xf>
    <xf numFmtId="49" fontId="0" fillId="0" borderId="0" xfId="0" applyFont="1" applyNumberFormat="1">
      <alignment vertical="top"/>
    </xf>
    <xf numFmtId="0" fontId="22" fillId="0" borderId="14" xfId="0" applyFont="1" applyBorder="1" applyNumberFormat="1">
      <alignment horizontal="center" vertical="center" wrapText="1"/>
    </xf>
    <xf numFmtId="0" fontId="22" fillId="34" borderId="12" xfId="0" applyFont="1" applyFill="1" applyBorder="1" applyNumberFormat="1">
      <alignment horizontal="left" vertical="center" wrapText="1" indent="1"/>
    </xf>
    <xf numFmtId="504" fontId="0" fillId="39" borderId="15" xfId="0" applyFont="1" applyFill="1" applyBorder="1" applyNumberFormat="1">
      <alignment horizontal="left" vertical="center" wrapText="1" indent="1"/>
      <protection locked="0"/>
    </xf>
    <xf numFmtId="505" fontId="22" fillId="39" borderId="12" xfId="0" applyFont="1" applyFill="1" applyBorder="1" applyNumberFormat="1">
      <alignment horizontal="left" vertical="center" wrapText="1" indent="1"/>
      <protection locked="0"/>
    </xf>
    <xf numFmtId="504" fontId="48" fillId="0" borderId="0" xfId="0" applyFont="1" applyNumberFormat="1">
      <alignment horizontal="center" vertical="center" wrapText="1"/>
    </xf>
    <xf numFmtId="501" fontId="22" fillId="0" borderId="17" xfId="0" applyFont="1" applyBorder="1" applyNumberFormat="1">
      <alignment horizontal="center" vertical="center" wrapText="1"/>
    </xf>
    <xf numFmtId="501" fontId="22" fillId="0" borderId="14" xfId="0" applyFont="1" applyBorder="1" applyNumberFormat="1">
      <alignment horizontal="center" vertical="center" wrapText="1"/>
    </xf>
    <xf numFmtId="501" fontId="22" fillId="0" borderId="15" xfId="0" applyFont="1" applyBorder="1" applyNumberFormat="1">
      <alignment horizontal="center" vertical="center" wrapText="1"/>
    </xf>
    <xf numFmtId="501" fontId="22" fillId="0" borderId="13" xfId="0" applyFont="1" applyBorder="1" applyNumberFormat="1">
      <alignment horizontal="center" vertical="center" wrapText="1"/>
    </xf>
    <xf numFmtId="4" fontId="22" fillId="0" borderId="36" xfId="0" applyFont="1" applyBorder="1" applyNumberFormat="1">
      <alignment horizontal="center" vertical="center" wrapText="1"/>
    </xf>
    <xf numFmtId="501" fontId="22" fillId="0" borderId="23" xfId="0" applyFont="1" applyBorder="1" applyNumberFormat="1">
      <alignment horizontal="center" vertical="center" wrapText="1"/>
    </xf>
    <xf numFmtId="501" fontId="22" fillId="0" borderId="23" xfId="0" applyFont="1" applyBorder="1" applyNumberFormat="1">
      <alignment horizontal="center" vertical="center" wrapText="1"/>
    </xf>
    <xf numFmtId="0" fontId="22" fillId="0" borderId="23" xfId="0" applyFont="1" applyBorder="1" applyNumberFormat="1">
      <alignment horizontal="center" vertical="center" wrapText="1"/>
    </xf>
    <xf numFmtId="0" fontId="22" fillId="34" borderId="23" xfId="0" applyFont="1" applyFill="1" applyBorder="1" applyNumberFormat="1">
      <alignment horizontal="left" vertical="center" wrapText="1" indent="1"/>
    </xf>
    <xf numFmtId="14" fontId="22" fillId="39" borderId="23" xfId="0" applyFont="1" applyFill="1" applyBorder="1" applyNumberFormat="1">
      <alignment horizontal="left" vertical="center" wrapText="1" indent="1"/>
      <protection locked="0"/>
    </xf>
    <xf numFmtId="0" fontId="22" fillId="0" borderId="29" xfId="0" applyFont="1" applyBorder="1" applyNumberFormat="1">
      <alignment horizontal="left" vertical="top" wrapText="1"/>
    </xf>
    <xf numFmtId="0" fontId="22" fillId="0" borderId="12" xfId="0" applyFont="1" applyBorder="1" applyNumberFormat="1">
      <alignment horizontal="center" vertical="center" wrapText="1"/>
    </xf>
    <xf numFmtId="0" fontId="22" fillId="34" borderId="12" xfId="0" applyFont="1" applyFill="1" applyBorder="1" applyNumberFormat="1">
      <alignment horizontal="left" vertical="center" wrapText="1" indent="1"/>
    </xf>
    <xf numFmtId="0" fontId="48" fillId="0" borderId="0" xfId="0" applyFont="1" applyNumberFormat="1">
      <alignment horizontal="center" vertical="center" wrapText="1"/>
    </xf>
    <xf numFmtId="0" fontId="22" fillId="0" borderId="0" xfId="0" applyFont="1" applyNumberFormat="1">
      <alignment horizontal="right" vertical="center" wrapText="1"/>
    </xf>
    <xf numFmtId="0" fontId="22" fillId="0" borderId="0" xfId="0" applyFont="1" applyNumberFormat="1">
      <alignment horizontal="left" vertical="center" wrapText="1" indent="1"/>
    </xf>
    <xf numFmtId="501" fontId="22" fillId="0" borderId="23" xfId="0" applyFont="1" applyBorder="1" applyNumberFormat="1">
      <alignment horizontal="center" vertical="center" wrapText="1"/>
    </xf>
    <xf numFmtId="0" fontId="22" fillId="0" borderId="23" xfId="0" applyFont="1" applyBorder="1" applyNumberFormat="1">
      <alignment horizontal="left" vertical="center" wrapText="1" indent="1"/>
    </xf>
    <xf numFmtId="14" fontId="22" fillId="0" borderId="23" xfId="0" applyFont="1" applyBorder="1" applyNumberFormat="1">
      <alignment horizontal="left" vertical="center" wrapText="1" inden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0" borderId="14" xfId="0" applyFont="1" applyBorder="1" applyNumberFormat="1">
      <alignment horizontal="center" vertical="center" wrapText="1"/>
    </xf>
    <xf numFmtId="49" fontId="22" fillId="39" borderId="12" xfId="0" applyFont="1" applyFill="1" applyBorder="1" applyNumberFormat="1">
      <alignment horizontal="left" vertical="center" wrapText="1"/>
      <protection locked="0"/>
    </xf>
    <xf numFmtId="49" fontId="22" fillId="40" borderId="12" xfId="0" applyFont="1" applyFill="1" applyBorder="1" applyNumberFormat="1">
      <alignment horizontal="left" vertical="center" wrapText="1"/>
    </xf>
    <xf numFmtId="49" fontId="53" fillId="37" borderId="27" xfId="0" applyFont="1" applyFill="1" applyBorder="1" applyNumberFormat="1">
      <alignment horizontal="left" vertical="center" wrapText="1"/>
    </xf>
    <xf numFmtId="49" fontId="53" fillId="37" borderId="29" xfId="0" applyFont="1" applyFill="1" applyBorder="1" applyNumberFormat="1">
      <alignment horizontal="left" vertical="center" wrapText="1"/>
    </xf>
    <xf numFmtId="0" fontId="22" fillId="35" borderId="36" xfId="0" applyFont="1" applyFill="1" applyBorder="1" applyNumberFormat="1">
      <alignment vertical="center" wrapText="1"/>
    </xf>
    <xf numFmtId="0" fontId="48" fillId="0" borderId="0" xfId="0" applyFont="1" applyNumberFormat="1">
      <alignment horizontal="center" vertical="center" wrapText="1"/>
    </xf>
    <xf numFmtId="0" fontId="48" fillId="0" borderId="27" xfId="0" applyFont="1" applyBorder="1" applyNumberFormat="1">
      <alignment horizontal="center" vertical="center" wrapText="1"/>
    </xf>
    <xf numFmtId="0" fontId="48" fillId="0" borderId="0" xfId="0" applyFont="1" applyNumberFormat="1">
      <alignment horizontal="center" vertical="center" wrapText="1"/>
    </xf>
    <xf numFmtId="0" fontId="48" fillId="0" borderId="0" xfId="0" applyFont="1" applyNumberFormat="1">
      <alignment horizontal="center" vertical="center" wrapText="1"/>
    </xf>
    <xf numFmtId="0" fontId="22" fillId="35" borderId="22" xfId="0" applyFont="1" applyFill="1" applyBorder="1" applyNumberFormat="1">
      <alignment vertical="center" wrapText="1"/>
    </xf>
    <xf numFmtId="0" fontId="36" fillId="0" borderId="12" xfId="0" applyFont="1" applyBorder="1" applyNumberFormat="1">
      <alignment horizontal="center" vertical="center" wrapText="1"/>
    </xf>
    <xf numFmtId="0" fontId="22" fillId="0" borderId="15" xfId="0" applyFont="1" applyBorder="1" applyNumberFormat="1">
      <alignment horizontal="center" vertical="center" wrapText="1"/>
    </xf>
    <xf numFmtId="0" fontId="22" fillId="0" borderId="15" xfId="0" applyFont="1" applyBorder="1" applyNumberFormat="1">
      <alignment horizontal="left" vertical="center" wrapText="1"/>
    </xf>
    <xf numFmtId="0" fontId="42" fillId="0" borderId="0" xfId="0" applyFont="1" applyNumberFormat="1">
      <alignment horizontal="center" vertical="center" wrapText="1"/>
    </xf>
    <xf numFmtId="0" fontId="22" fillId="0" borderId="0" xfId="0" applyFont="1" applyNumberFormat="1">
      <alignment horizontal="center" vertical="center" wrapText="1"/>
    </xf>
    <xf numFmtId="501" fontId="45" fillId="0" borderId="19" xfId="0" applyFont="1" applyBorder="1" applyNumberFormat="1">
      <alignment horizontal="center" vertical="center" wrapText="1"/>
    </xf>
    <xf numFmtId="501" fontId="45" fillId="0" borderId="19" xfId="0" applyFont="1" applyBorder="1" applyNumberFormat="1">
      <alignment horizontal="center" vertical="center" wrapText="1"/>
    </xf>
    <xf numFmtId="501" fontId="45" fillId="0" borderId="20" xfId="0" applyFont="1" applyBorder="1" applyNumberFormat="1">
      <alignment horizontal="center" vertical="center" wrapText="1"/>
    </xf>
    <xf numFmtId="0" fontId="48" fillId="0" borderId="0" xfId="0" applyFont="1" applyNumberFormat="1">
      <alignment horizontal="center" vertical="center"/>
    </xf>
    <xf numFmtId="0" fontId="42" fillId="0" borderId="0" xfId="0" applyFont="1" applyNumberFormat="1">
      <alignment horizontal="center" vertical="center" wrapText="1"/>
    </xf>
    <xf numFmtId="501" fontId="22" fillId="0" borderId="12" xfId="0" applyFont="1" applyBorder="1" applyNumberFormat="1">
      <alignment horizontal="center" vertical="center" wrapText="1"/>
    </xf>
    <xf numFmtId="501" fontId="22" fillId="0" borderId="36" xfId="0" applyFont="1" applyBorder="1" applyNumberFormat="1">
      <alignment horizontal="center" vertical="center" wrapText="1"/>
    </xf>
    <xf numFmtId="501" fontId="22" fillId="0" borderId="12" xfId="0" applyFont="1" applyBorder="1" applyNumberFormat="1">
      <alignment horizontal="center" vertical="center" wrapText="1"/>
    </xf>
    <xf numFmtId="0" fontId="22" fillId="34" borderId="29" xfId="0" applyFont="1" applyFill="1" applyBorder="1" applyNumberFormat="1">
      <alignment horizontal="left" vertical="center" wrapText="1"/>
    </xf>
    <xf numFmtId="14" fontId="22" fillId="40" borderId="23" xfId="0" applyFont="1" applyFill="1" applyBorder="1" applyNumberFormat="1">
      <alignment horizontal="left" vertical="center" wrapText="1"/>
    </xf>
    <xf numFmtId="49" fontId="22" fillId="40" borderId="30" xfId="0" applyFont="1" applyFill="1" applyBorder="1" applyNumberFormat="1">
      <alignment horizontal="left" vertical="center" wrapText="1"/>
    </xf>
    <xf numFmtId="0" fontId="22" fillId="0" borderId="23" xfId="0" applyFont="1" applyBorder="1" applyNumberFormat="1">
      <alignment horizontal="center" vertical="center" wrapText="1"/>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22" fillId="0" borderId="12" xfId="0" applyFont="1" applyBorder="1" applyNumberFormat="1">
      <alignment horizontal="left" vertical="top" wrapText="1"/>
    </xf>
    <xf numFmtId="49" fontId="22" fillId="40" borderId="23" xfId="0" applyFont="1" applyFill="1" applyBorder="1" applyNumberFormat="1">
      <alignment horizontal="left" vertical="center" wrapText="1"/>
    </xf>
    <xf numFmtId="49" fontId="127" fillId="0" borderId="12" xfId="0" applyFont="1" applyBorder="1" applyNumberFormat="1">
      <alignment horizontal="left" vertical="top" wrapText="1"/>
    </xf>
    <xf numFmtId="49" fontId="22" fillId="0" borderId="0" xfId="0" applyFont="1" applyNumberFormat="1">
      <alignment vertical="top"/>
    </xf>
    <xf numFmtId="0" fontId="32" fillId="0" borderId="0" xfId="0" applyFont="1" applyNumberFormat="1">
      <alignment vertical="center" wrapText="1"/>
    </xf>
    <xf numFmtId="0" fontId="37" fillId="35" borderId="0" xfId="0" applyFont="1" applyFill="1" applyNumberFormat="1">
      <alignment horizontal="center" vertical="center" wrapText="1"/>
    </xf>
    <xf numFmtId="0" fontId="22" fillId="35" borderId="0" xfId="0" applyFont="1" applyFill="1" applyNumberFormat="1"/>
    <xf numFmtId="49" fontId="22" fillId="0" borderId="0" xfId="0" applyFont="1" applyNumberFormat="1">
      <alignment vertical="top"/>
    </xf>
    <xf numFmtId="49" fontId="37" fillId="0" borderId="0" xfId="0" applyFont="1" applyNumberFormat="1">
      <alignment horizontal="center" vertical="center"/>
    </xf>
    <xf numFmtId="0" fontId="43" fillId="35" borderId="0" xfId="0" applyFont="1" applyFill="1" applyNumberFormat="1">
      <alignment horizontal="center" vertical="center" wrapText="1"/>
    </xf>
    <xf numFmtId="0" fontId="32" fillId="35" borderId="0" xfId="0" applyFont="1" applyFill="1" applyNumberFormat="1"/>
    <xf numFmtId="49" fontId="32" fillId="0" borderId="0" xfId="0" applyFont="1" applyNumberFormat="1">
      <alignment vertical="top"/>
    </xf>
    <xf numFmtId="0" fontId="22" fillId="35" borderId="12" xfId="0" applyFont="1" applyFill="1" applyBorder="1" applyNumberFormat="1">
      <alignment horizontal="center" vertical="center" wrapText="1"/>
    </xf>
    <xf numFmtId="49" fontId="47" fillId="0" borderId="0" xfId="0" applyFont="1" applyNumberFormat="1">
      <alignment vertical="top"/>
    </xf>
    <xf numFmtId="49" fontId="22" fillId="0" borderId="0" xfId="0" applyFont="1" applyNumberFormat="1">
      <alignment vertical="top"/>
    </xf>
    <xf numFmtId="49" fontId="37" fillId="0" borderId="0" xfId="0" applyFont="1" applyNumberFormat="1">
      <alignment horizontal="center" vertical="center" wrapText="1"/>
    </xf>
    <xf numFmtId="49" fontId="22" fillId="0" borderId="12" xfId="0" applyFont="1" applyBorder="1" applyNumberFormat="1">
      <alignment horizontal="center" vertical="center" wrapText="1"/>
    </xf>
    <xf numFmtId="49" fontId="22" fillId="39" borderId="12" xfId="0" applyFont="1" applyFill="1" applyBorder="1" applyNumberFormat="1">
      <alignment horizontal="left" vertical="center" wrapText="1"/>
      <protection locked="0"/>
    </xf>
    <xf numFmtId="0" fontId="48" fillId="0" borderId="0" xfId="0" applyFont="1" applyNumberFormat="1">
      <alignment vertical="top"/>
    </xf>
    <xf numFmtId="49" fontId="48" fillId="0" borderId="0" xfId="0" applyFont="1" applyNumberFormat="1">
      <alignment vertical="top"/>
    </xf>
    <xf numFmtId="49" fontId="22" fillId="0" borderId="0" xfId="0" applyFont="1" applyNumberFormat="1">
      <alignment vertical="top"/>
    </xf>
    <xf numFmtId="49" fontId="40" fillId="37" borderId="15" xfId="0" applyFont="1" applyFill="1" applyBorder="1" applyNumberFormat="1">
      <alignment horizontal="left" vertical="center"/>
    </xf>
    <xf numFmtId="49" fontId="44" fillId="37" borderId="15" xfId="0" applyFont="1" applyFill="1" applyBorder="1" applyNumberFormat="1">
      <alignment horizontal="center" vertical="top"/>
    </xf>
    <xf numFmtId="49" fontId="22" fillId="0" borderId="0" xfId="0" applyFont="1" applyNumberFormat="1">
      <alignment horizontal="left" vertical="top" wrapText="1"/>
    </xf>
    <xf numFmtId="49" fontId="37" fillId="0" borderId="0" xfId="0" applyFont="1" applyNumberFormat="1">
      <alignment horizontal="center" vertical="center"/>
    </xf>
    <xf numFmtId="0" fontId="22" fillId="0" borderId="0" xfId="0" applyFont="1" applyNumberFormat="1"/>
    <xf numFmtId="0" fontId="37" fillId="35" borderId="0" xfId="0" applyFont="1" applyFill="1" applyNumberFormat="1">
      <alignment horizontal="center" vertical="center"/>
    </xf>
    <xf numFmtId="0" fontId="22" fillId="35" borderId="0" xfId="0" applyFont="1" applyFill="1" applyNumberFormat="1"/>
    <xf numFmtId="0" fontId="22" fillId="0" borderId="13" xfId="0" applyFont="1" applyBorder="1" applyNumberFormat="1">
      <alignment horizontal="left" vertical="center" wrapText="1" indent="1"/>
    </xf>
    <xf numFmtId="0" fontId="22" fillId="0" borderId="14" xfId="0" applyFont="1" applyBorder="1" applyNumberFormat="1">
      <alignment horizontal="left" vertical="center" wrapText="1" indent="1"/>
    </xf>
    <xf numFmtId="0" fontId="64" fillId="0" borderId="0" xfId="0" applyFont="1" applyNumberFormat="1"/>
    <xf numFmtId="0" fontId="22" fillId="0" borderId="12" xfId="0" applyFont="1" applyBorder="1" applyNumberFormat="1">
      <alignment horizontal="center" vertical="center" wrapText="1"/>
    </xf>
    <xf numFmtId="0" fontId="22" fillId="35" borderId="17" xfId="0" applyFont="1" applyFill="1" applyBorder="1" applyNumberFormat="1">
      <alignment horizontal="center" vertical="center"/>
    </xf>
    <xf numFmtId="49" fontId="22" fillId="0" borderId="17" xfId="0" applyFont="1" applyBorder="1" applyNumberFormat="1">
      <alignment horizontal="left" vertical="center" wrapText="1"/>
    </xf>
    <xf numFmtId="0" fontId="37" fillId="35" borderId="0" xfId="0" applyFont="1" applyFill="1" applyNumberFormat="1">
      <alignment horizontal="center" vertical="center" wrapText="1"/>
    </xf>
    <xf numFmtId="0" fontId="22" fillId="35" borderId="12" xfId="0" applyFont="1" applyFill="1" applyBorder="1" applyNumberFormat="1">
      <alignment horizontal="center" vertical="center"/>
    </xf>
    <xf numFmtId="49" fontId="22" fillId="39" borderId="12" xfId="0" applyFont="1" applyFill="1" applyBorder="1" applyNumberFormat="1">
      <alignment horizontal="left" vertical="center" wrapText="1"/>
      <protection locked="0"/>
    </xf>
    <xf numFmtId="49" fontId="50" fillId="37" borderId="14" xfId="0" applyFont="1" applyFill="1" applyBorder="1" applyNumberFormat="1">
      <alignment horizontal="center" vertical="center"/>
    </xf>
    <xf numFmtId="49" fontId="40" fillId="37" borderId="13" xfId="0" applyFont="1" applyFill="1" applyBorder="1" applyNumberFormat="1">
      <alignment horizontal="left" vertical="center"/>
    </xf>
    <xf numFmtId="49" fontId="45" fillId="0" borderId="0" xfId="0" applyFont="1" applyNumberFormat="1">
      <alignment horizontal="right" vertical="top"/>
    </xf>
    <xf numFmtId="49" fontId="22" fillId="0" borderId="0" xfId="0" applyFont="1" applyNumberFormat="1">
      <alignment horizontal="left" vertical="top" wrapText="1"/>
    </xf>
    <xf numFmtId="49" fontId="45" fillId="0" borderId="0" xfId="0" applyFont="1" applyNumberFormat="1">
      <alignment vertical="top"/>
    </xf>
    <xf numFmtId="0" fontId="37" fillId="0" borderId="0" xfId="0" applyFont="1" applyNumberFormat="1">
      <alignment horizontal="center" vertical="center"/>
    </xf>
    <xf numFmtId="0" fontId="22" fillId="0" borderId="0" xfId="0" applyFont="1" applyNumberFormat="1"/>
    <xf numFmtId="0" fontId="37" fillId="0" borderId="0" xfId="0" applyFont="1" applyNumberFormat="1">
      <alignment horizontal="center" vertical="center"/>
    </xf>
    <xf numFmtId="0" fontId="22" fillId="0" borderId="0" xfId="0" applyFont="1" applyNumberFormat="1"/>
    <xf numFmtId="49" fontId="22" fillId="0" borderId="12" xfId="0" applyFont="1" applyBorder="1" applyNumberFormat="1">
      <alignment horizontal="left" vertical="center" wrapText="1"/>
    </xf>
    <xf numFmtId="49" fontId="40" fillId="37" borderId="13" xfId="0" applyFont="1" applyFill="1" applyBorder="1" applyNumberFormat="1">
      <alignment horizontal="left" vertical="center"/>
    </xf>
    <xf numFmtId="49" fontId="0" fillId="0" borderId="0" xfId="0" applyFont="1" applyNumberFormat="1">
      <alignment vertical="top"/>
    </xf>
    <xf numFmtId="49" fontId="0" fillId="0" borderId="15" xfId="0" applyFont="1" applyBorder="1" applyNumberFormat="1">
      <alignment horizontal="left" vertical="center" indent="1"/>
    </xf>
    <xf numFmtId="49" fontId="0" fillId="0" borderId="15" xfId="0" applyFont="1" applyBorder="1" applyNumberFormat="1">
      <alignment horizontal="left" vertical="center" indent="1"/>
    </xf>
    <xf numFmtId="49" fontId="65" fillId="0" borderId="0" xfId="0" applyFont="1" applyNumberFormat="1">
      <alignment vertical="top"/>
    </xf>
    <xf numFmtId="49" fontId="0" fillId="0" borderId="25" xfId="0" applyFont="1" applyBorder="1" applyNumberFormat="1">
      <alignment horizontal="center" vertical="center"/>
    </xf>
    <xf numFmtId="49" fontId="0" fillId="0" borderId="25" xfId="0" applyFont="1" applyBorder="1" applyNumberFormat="1">
      <alignment horizontal="center" vertical="center"/>
    </xf>
    <xf numFmtId="49" fontId="0" fillId="38" borderId="0" xfId="0" applyFont="1" applyFill="1" applyNumberFormat="1">
      <alignment vertical="top"/>
    </xf>
    <xf numFmtId="49" fontId="0" fillId="38" borderId="0" xfId="0" applyFont="1" applyFill="1" applyNumberFormat="1">
      <alignment vertical="top"/>
    </xf>
    <xf numFmtId="0" fontId="37" fillId="35" borderId="0" xfId="0" applyFont="1" applyFill="1" applyNumberFormat="1">
      <alignment horizontal="center" vertical="center" wrapText="1"/>
    </xf>
    <xf numFmtId="0" fontId="37" fillId="35" borderId="0" xfId="0" applyFont="1" applyFill="1" applyNumberFormat="1">
      <alignment horizontal="center"/>
    </xf>
    <xf numFmtId="49" fontId="22" fillId="36" borderId="12" xfId="0" applyFont="1" applyFill="1" applyBorder="1" applyNumberFormat="1">
      <alignment horizontal="left" vertical="center" wrapText="1"/>
      <protection locked="0"/>
    </xf>
    <xf numFmtId="0" fontId="37" fillId="0" borderId="0" xfId="0" applyFont="1" applyNumberFormat="1">
      <alignment horizontal="center" vertical="center" wrapText="1"/>
    </xf>
    <xf numFmtId="0" fontId="22" fillId="0" borderId="12" xfId="0" applyFont="1" applyBorder="1" applyNumberFormat="1">
      <alignment horizontal="center" vertical="center" wrapText="1"/>
    </xf>
    <xf numFmtId="0" fontId="48" fillId="0" borderId="12" xfId="0" applyFont="1" applyBorder="1" applyNumberFormat="1">
      <alignment horizontal="center" vertical="center"/>
    </xf>
    <xf numFmtId="0" fontId="22" fillId="0" borderId="23" xfId="0" applyFont="1" applyBorder="1" applyNumberFormat="1">
      <alignment horizontal="center" vertical="center" wrapText="1"/>
    </xf>
    <xf numFmtId="0" fontId="47" fillId="0" borderId="23" xfId="0" applyFont="1" applyBorder="1" applyNumberFormat="1">
      <alignment horizontal="center" vertical="center" wrapText="1"/>
    </xf>
    <xf numFmtId="0" fontId="47" fillId="0" borderId="0" xfId="0" applyFont="1" applyNumberFormat="1">
      <alignment horizontal="center" vertical="center" wrapText="1"/>
    </xf>
    <xf numFmtId="0" fontId="47" fillId="0" borderId="12" xfId="0" applyFont="1" applyBorder="1" applyNumberFormat="1">
      <alignment horizontal="center" vertical="center" wrapText="1"/>
    </xf>
    <xf numFmtId="14" fontId="22" fillId="40" borderId="12" xfId="0" applyFont="1" applyFill="1" applyBorder="1" applyNumberFormat="1">
      <alignment horizontal="left" vertical="center" wrapText="1" indent="1"/>
    </xf>
    <xf numFmtId="49" fontId="22" fillId="34" borderId="12" xfId="0" applyFont="1" applyFill="1" applyBorder="1" applyNumberFormat="1">
      <alignment horizontal="center" vertical="center" wrapText="1"/>
    </xf>
    <xf numFmtId="49" fontId="52" fillId="38" borderId="0" xfId="0" applyFont="1" applyFill="1" applyNumberFormat="1">
      <alignment vertical="top"/>
    </xf>
    <xf numFmtId="49" fontId="52" fillId="0" borderId="0" xfId="0" applyFont="1" applyNumberFormat="1">
      <alignment vertical="top"/>
    </xf>
    <xf numFmtId="0" fontId="36" fillId="0" borderId="24" xfId="0" applyFont="1" applyBorder="1" applyNumberFormat="1">
      <alignment horizontal="center" vertical="center" wrapText="1"/>
    </xf>
    <xf numFmtId="14" fontId="81" fillId="0" borderId="17" xfId="0" applyFont="1" applyBorder="1" applyNumberFormat="1">
      <alignment horizontal="center" vertical="center" wrapText="1"/>
    </xf>
    <xf numFmtId="0" fontId="75" fillId="0" borderId="12" xfId="0" applyFont="1" applyBorder="1" applyNumberFormat="1">
      <alignment horizontal="left" vertical="center" wrapText="1" indent="1"/>
    </xf>
    <xf numFmtId="0" fontId="81" fillId="0" borderId="17" xfId="0" applyFont="1" applyBorder="1" applyNumberFormat="1">
      <alignment horizontal="center" vertical="center" wrapText="1"/>
    </xf>
    <xf numFmtId="49" fontId="22" fillId="0" borderId="12" xfId="0" applyFont="1" applyBorder="1" applyNumberFormat="1">
      <alignment horizontal="center" vertical="center" wrapText="1"/>
    </xf>
    <xf numFmtId="0" fontId="74" fillId="0" borderId="0" xfId="0" applyFont="1" applyNumberFormat="1">
      <alignment vertical="center"/>
    </xf>
    <xf numFmtId="14" fontId="81" fillId="0" borderId="36" xfId="0" applyFont="1" applyBorder="1" applyNumberFormat="1">
      <alignment horizontal="center" vertical="center" wrapText="1"/>
    </xf>
    <xf numFmtId="0" fontId="75" fillId="0" borderId="12" xfId="0" applyFont="1" applyBorder="1" applyNumberFormat="1">
      <alignment horizontal="left" vertical="top" indent="1"/>
    </xf>
    <xf numFmtId="49" fontId="0" fillId="0" borderId="12" xfId="0" applyFont="1" applyBorder="1" applyNumberFormat="1">
      <alignment vertical="top"/>
    </xf>
    <xf numFmtId="0" fontId="36" fillId="0" borderId="12" xfId="0" applyFont="1" applyBorder="1" applyNumberFormat="1">
      <alignment horizontal="center" vertical="center" wrapText="1"/>
    </xf>
    <xf numFmtId="0" fontId="22" fillId="40" borderId="12" xfId="0" applyFont="1" applyFill="1" applyBorder="1" applyNumberFormat="1">
      <alignment horizontal="left" vertical="center" wrapText="1" indent="1"/>
    </xf>
    <xf numFmtId="0" fontId="36" fillId="0" borderId="12" xfId="0" applyFont="1" applyBorder="1" applyNumberFormat="1">
      <alignment horizontal="center" vertical="center" wrapText="1"/>
    </xf>
    <xf numFmtId="49" fontId="22" fillId="0" borderId="13" xfId="0" applyFont="1" applyBorder="1" applyNumberFormat="1">
      <alignment horizontal="center" vertical="center" wrapText="1"/>
    </xf>
    <xf numFmtId="49" fontId="75" fillId="39" borderId="12" xfId="0" applyFont="1" applyFill="1" applyBorder="1" applyNumberFormat="1">
      <alignment horizontal="left" vertical="center" wrapText="1" indent="1"/>
      <protection locked="0"/>
    </xf>
    <xf numFmtId="49" fontId="22" fillId="35" borderId="0" xfId="0" applyFont="1" applyFill="1" applyNumberFormat="1">
      <alignment horizontal="center" vertical="center" wrapText="1"/>
    </xf>
    <xf numFmtId="0" fontId="22" fillId="35" borderId="0" xfId="0" applyFont="1" applyFill="1" applyNumberFormat="1">
      <alignment horizontal="center" vertical="top" wrapText="1"/>
    </xf>
    <xf numFmtId="49" fontId="22" fillId="40" borderId="14" xfId="0" applyFont="1" applyFill="1" applyBorder="1" applyNumberFormat="1">
      <alignment horizontal="left" vertical="center" wrapText="1"/>
    </xf>
    <xf numFmtId="49" fontId="0" fillId="0" borderId="12" xfId="0" applyFont="1" applyBorder="1" applyNumberFormat="1">
      <alignment vertical="top"/>
    </xf>
    <xf numFmtId="0" fontId="0" fillId="0" borderId="12" xfId="0" applyFont="1" applyBorder="1" applyNumberFormat="1">
      <alignment horizontal="center" vertical="center" wrapText="1"/>
    </xf>
    <xf numFmtId="49" fontId="0" fillId="39" borderId="12" xfId="0" applyFont="1" applyFill="1" applyBorder="1" applyNumberFormat="1">
      <alignment horizontal="left" vertical="center" wrapText="1"/>
      <protection locked="0"/>
    </xf>
    <xf numFmtId="49" fontId="22" fillId="0" borderId="0" xfId="0" applyFont="1" applyNumberFormat="1">
      <alignment vertical="top"/>
    </xf>
    <xf numFmtId="0" fontId="37" fillId="35" borderId="0" xfId="0" applyFont="1" applyFill="1" applyNumberFormat="1">
      <alignment vertical="top" wrapText="1"/>
    </xf>
    <xf numFmtId="0" fontId="22" fillId="35" borderId="14" xfId="0" applyFont="1" applyFill="1" applyBorder="1" applyNumberFormat="1">
      <alignment horizontal="center" vertical="center" wrapText="1"/>
    </xf>
    <xf numFmtId="0" fontId="48" fillId="35" borderId="12" xfId="0" applyFont="1" applyFill="1" applyBorder="1" applyNumberFormat="1">
      <alignment horizontal="center" vertical="center" wrapText="1"/>
    </xf>
    <xf numFmtId="14" fontId="22" fillId="40" borderId="29" xfId="0" applyFont="1" applyFill="1" applyBorder="1" applyNumberFormat="1">
      <alignment horizontal="left" vertical="center" wrapText="1"/>
    </xf>
    <xf numFmtId="49" fontId="122" fillId="39" borderId="12" xfId="0" applyFont="1" applyFill="1" applyBorder="1" applyNumberFormat="1">
      <alignment horizontal="left" vertical="center" wrapText="1"/>
      <protection locked="0"/>
    </xf>
    <xf numFmtId="49" fontId="0" fillId="0" borderId="12" xfId="0" applyFont="1" applyBorder="1" applyNumberFormat="1">
      <alignment horizontal="center" vertical="center" wrapText="1"/>
    </xf>
    <xf numFmtId="0" fontId="22" fillId="40" borderId="14" xfId="0" applyFont="1" applyFill="1" applyBorder="1" applyNumberFormat="1">
      <alignment horizontal="left" vertical="center" wrapText="1"/>
    </xf>
    <xf numFmtId="0" fontId="0" fillId="0" borderId="23" xfId="0" applyFont="1" applyBorder="1" applyNumberFormat="1">
      <alignment horizontal="center" vertical="center" wrapText="1"/>
    </xf>
    <xf numFmtId="49" fontId="37" fillId="0" borderId="0" xfId="0" applyFont="1" applyNumberFormat="1">
      <alignment horizontal="center" vertical="center" wrapText="1"/>
    </xf>
    <xf numFmtId="504"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49" fontId="0" fillId="35" borderId="12" xfId="0" applyFont="1" applyFill="1" applyBorder="1" applyNumberFormat="1">
      <alignment horizontal="center" vertical="center" wrapText="1"/>
    </xf>
    <xf numFmtId="0" fontId="0" fillId="39" borderId="14" xfId="0" applyFont="1" applyFill="1" applyBorder="1" applyNumberFormat="1">
      <alignment horizontal="left" vertical="center" wrapText="1" indent="2"/>
      <protection locked="0"/>
    </xf>
    <xf numFmtId="0" fontId="37" fillId="0" borderId="24" xfId="0" applyFont="1" applyBorder="1" applyNumberFormat="1">
      <alignment horizontal="center" vertical="center" wrapText="1"/>
    </xf>
    <xf numFmtId="49" fontId="22" fillId="0" borderId="12" xfId="0" applyFont="1" applyBorder="1" applyNumberFormat="1">
      <alignment horizontal="center" vertical="top" wrapText="1"/>
    </xf>
    <xf numFmtId="0" fontId="0" fillId="34" borderId="12" xfId="0" applyFont="1" applyFill="1" applyBorder="1" applyNumberFormat="1">
      <alignment horizontal="left" vertical="top" wrapText="1" indent="1"/>
    </xf>
    <xf numFmtId="49" fontId="22" fillId="40" borderId="17" xfId="0" applyFont="1" applyFill="1" applyBorder="1" applyNumberFormat="1">
      <alignment horizontal="center" vertical="top" wrapText="1"/>
    </xf>
    <xf numFmtId="504" fontId="0" fillId="39" borderId="12" xfId="0" applyFont="1" applyFill="1" applyBorder="1" applyNumberFormat="1">
      <alignment horizontal="center" vertical="top" wrapText="1"/>
      <protection locked="0"/>
    </xf>
    <xf numFmtId="504" fontId="0" fillId="36"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22" fillId="39" borderId="12" xfId="0" applyFont="1" applyFill="1" applyBorder="1" applyNumberFormat="1">
      <alignment horizontal="left" vertical="top" wrapText="1"/>
      <protection locked="0"/>
    </xf>
    <xf numFmtId="49" fontId="0" fillId="34" borderId="12" xfId="0" applyFont="1" applyFill="1" applyBorder="1" applyNumberFormat="1">
      <alignment horizontal="center" vertical="top" wrapText="1"/>
    </xf>
    <xf numFmtId="0" fontId="22" fillId="34" borderId="12" xfId="0" applyFont="1" applyFill="1" applyBorder="1" applyNumberFormat="1">
      <alignment horizontal="center" vertical="top" wrapText="1"/>
    </xf>
    <xf numFmtId="0" fontId="22" fillId="36" borderId="12" xfId="0" applyFont="1" applyFill="1" applyBorder="1" applyNumberFormat="1">
      <alignment horizontal="left" vertical="top" wrapText="1"/>
      <protection locked="0"/>
    </xf>
    <xf numFmtId="49" fontId="22" fillId="40" borderId="12" xfId="0" applyFont="1" applyFill="1" applyBorder="1" applyNumberFormat="1">
      <alignment horizontal="center" vertical="top" wrapText="1"/>
    </xf>
    <xf numFmtId="0" fontId="22" fillId="0" borderId="36" xfId="0" applyFont="1" applyBorder="1" applyNumberFormat="1">
      <alignment horizontal="center" vertical="center" wrapText="1"/>
    </xf>
    <xf numFmtId="0" fontId="22" fillId="0" borderId="12" xfId="0" applyFont="1" applyBorder="1" applyNumberFormat="1">
      <alignment horizontal="center" vertical="center" wrapText="1"/>
    </xf>
    <xf numFmtId="49" fontId="22" fillId="39" borderId="17" xfId="0" applyFont="1" applyFill="1" applyBorder="1" applyNumberFormat="1">
      <alignment horizontal="left" vertical="center" wrapText="1" indent="1"/>
      <protection locked="0"/>
    </xf>
    <xf numFmtId="0" fontId="22" fillId="0" borderId="24" xfId="0" applyFont="1" applyBorder="1" applyNumberFormat="1">
      <alignment vertical="top" wrapText="1"/>
    </xf>
    <xf numFmtId="49" fontId="22" fillId="40" borderId="23" xfId="0" applyFont="1" applyFill="1" applyBorder="1" applyNumberFormat="1">
      <alignment horizontal="center" vertical="top" wrapText="1"/>
    </xf>
    <xf numFmtId="49" fontId="0" fillId="39"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40" borderId="14" xfId="0" applyFont="1" applyFill="1" applyBorder="1" applyNumberFormat="1">
      <alignment horizontal="center" vertical="top" wrapText="1"/>
    </xf>
    <xf numFmtId="49" fontId="22" fillId="0" borderId="36" xfId="0" applyFont="1" applyBorder="1" applyNumberFormat="1">
      <alignment horizontal="center" vertical="top" wrapText="1"/>
    </xf>
    <xf numFmtId="0" fontId="0" fillId="34" borderId="36" xfId="0" applyFont="1" applyFill="1" applyBorder="1" applyNumberFormat="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pplyNumberFormat="1">
      <alignment horizontal="center" vertical="top" wrapText="1"/>
    </xf>
    <xf numFmtId="0" fontId="22" fillId="36" borderId="36" xfId="0" applyFont="1" applyFill="1" applyBorder="1" applyNumberFormat="1">
      <alignment horizontal="left" vertical="top" wrapText="1"/>
      <protection locked="0"/>
    </xf>
    <xf numFmtId="0" fontId="103" fillId="0" borderId="48" xfId="0" applyFont="1" applyBorder="1" applyNumberFormat="1">
      <alignment horizontal="left" vertical="center" indent="1"/>
    </xf>
    <xf numFmtId="0" fontId="103" fillId="0" borderId="49" xfId="0" applyFont="1" applyBorder="1" applyNumberFormat="1">
      <alignment horizontal="left" vertical="center" indent="1"/>
    </xf>
    <xf numFmtId="0" fontId="0" fillId="0" borderId="49" xfId="0" applyFont="1" applyBorder="1" applyNumberFormat="1">
      <alignment horizontal="left" vertical="center" wrapText="1"/>
    </xf>
    <xf numFmtId="0" fontId="22" fillId="0" borderId="49" xfId="0" applyFont="1" applyBorder="1" applyNumberFormat="1">
      <alignment vertical="center" wrapText="1"/>
    </xf>
    <xf numFmtId="0" fontId="22" fillId="0" borderId="53" xfId="0" applyFont="1" applyBorder="1" applyNumberFormat="1">
      <alignment vertical="center" wrapText="1"/>
    </xf>
    <xf numFmtId="0" fontId="22" fillId="0" borderId="54" xfId="0" applyFont="1" applyBorder="1" applyNumberFormat="1">
      <alignment vertical="center" wrapText="1"/>
    </xf>
    <xf numFmtId="0" fontId="22" fillId="0" borderId="22" xfId="0" applyFont="1" applyBorder="1" applyNumberFormat="1">
      <alignment vertical="center" wrapText="1"/>
    </xf>
    <xf numFmtId="49" fontId="22" fillId="34" borderId="12" xfId="0" applyFont="1" applyFill="1" applyBorder="1" applyNumberFormat="1">
      <alignment horizontal="center" vertical="center" wrapText="1"/>
    </xf>
    <xf numFmtId="49" fontId="22" fillId="0" borderId="13" xfId="0" applyFont="1" applyBorder="1" applyNumberFormat="1">
      <alignment horizontal="center" vertical="center" wrapText="1"/>
    </xf>
    <xf numFmtId="49" fontId="47" fillId="0" borderId="13" xfId="0" applyFont="1" applyBorder="1" applyNumberFormat="1">
      <alignment horizontal="center" vertical="center" wrapText="1"/>
    </xf>
    <xf numFmtId="49" fontId="47" fillId="0" borderId="13" xfId="0" applyFont="1" applyBorder="1" applyNumberFormat="1">
      <alignment horizontal="left" vertical="center" wrapText="1"/>
    </xf>
    <xf numFmtId="49" fontId="47" fillId="0" borderId="12" xfId="0" applyFont="1" applyBorder="1" applyNumberFormat="1">
      <alignment horizontal="left" vertical="center" wrapText="1"/>
    </xf>
    <xf numFmtId="49" fontId="47" fillId="0" borderId="14" xfId="0" applyFont="1" applyBorder="1" applyNumberFormat="1">
      <alignment horizontal="center" vertical="center" wrapText="1"/>
    </xf>
    <xf numFmtId="49" fontId="94" fillId="0" borderId="43" xfId="0" applyFont="1" applyBorder="1" applyNumberFormat="1">
      <alignment horizontal="left" vertical="center" indent="1"/>
    </xf>
    <xf numFmtId="49" fontId="94" fillId="0" borderId="43" xfId="0" applyFont="1" applyBorder="1" applyNumberFormat="1">
      <alignment horizontal="center" vertical="center"/>
    </xf>
    <xf numFmtId="3" fontId="47" fillId="0" borderId="12" xfId="0" applyFont="1" applyBorder="1" applyNumberFormat="1">
      <alignment horizontal="center" vertical="center" wrapText="1"/>
    </xf>
    <xf numFmtId="49" fontId="125" fillId="0" borderId="13" xfId="0" applyFont="1" applyBorder="1" applyNumberFormat="1">
      <alignment horizontal="center" vertical="center" wrapText="1"/>
    </xf>
    <xf numFmtId="0" fontId="94" fillId="0" borderId="12" xfId="0" applyFont="1" applyBorder="1" applyNumberFormat="1">
      <alignment horizontal="center" vertical="center"/>
    </xf>
    <xf numFmtId="49" fontId="47" fillId="0" borderId="17" xfId="0" applyFont="1" applyBorder="1" applyNumberFormat="1">
      <alignment horizontal="left" vertical="center" wrapText="1" indent="1"/>
    </xf>
    <xf numFmtId="49" fontId="47" fillId="0" borderId="12" xfId="0" applyFont="1" applyBorder="1" applyNumberFormat="1">
      <alignment horizontal="left" vertical="center" wrapTex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47" fillId="0" borderId="36" xfId="0" applyFont="1" applyBorder="1" applyNumberFormat="1">
      <alignment horizontal="left" vertical="center" wrapText="1" indent="1"/>
    </xf>
    <xf numFmtId="49" fontId="125" fillId="0" borderId="0" xfId="0" applyFont="1" applyNumberFormat="1">
      <alignment horizontal="center" vertical="top" wrapText="1"/>
    </xf>
    <xf numFmtId="0" fontId="94" fillId="0" borderId="12" xfId="0" applyFont="1" applyBorder="1" applyNumberFormat="1">
      <alignment horizontal="center" vertical="center"/>
    </xf>
    <xf numFmtId="0" fontId="94" fillId="0" borderId="12" xfId="0" applyFont="1" applyBorder="1" applyNumberFormat="1">
      <alignment horizontal="left" vertical="center" wrapText="1" indent="1"/>
    </xf>
    <xf numFmtId="4" fontId="47" fillId="0" borderId="31" xfId="0" applyFont="1" applyBorder="1" applyNumberFormat="1">
      <alignment horizontal="right" vertical="center" wrapText="1"/>
    </xf>
    <xf numFmtId="49" fontId="47" fillId="0" borderId="23" xfId="0" applyFont="1" applyBorder="1" applyNumberFormat="1">
      <alignment horizontal="left" vertical="center" wrapText="1" indent="1"/>
    </xf>
    <xf numFmtId="49" fontId="47"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22" fillId="34" borderId="74" xfId="0" applyFont="1" applyFill="1" applyBorder="1" applyNumberFormat="1">
      <alignment horizontal="center" vertical="center" wrapText="1"/>
    </xf>
    <xf numFmtId="0" fontId="0" fillId="37" borderId="50" xfId="0" applyFont="1" applyFill="1" applyBorder="1" applyNumberFormat="1">
      <alignment horizontal="left" vertical="center"/>
    </xf>
    <xf numFmtId="49" fontId="40" fillId="37" borderId="51" xfId="0" applyFont="1" applyFill="1" applyBorder="1" applyNumberFormat="1">
      <alignment horizontal="left" vertical="center" indent="1"/>
    </xf>
    <xf numFmtId="0" fontId="22" fillId="37" borderId="50" xfId="0" applyFont="1" applyFill="1" applyBorder="1" applyNumberFormat="1">
      <alignment vertical="center" wrapText="1"/>
    </xf>
    <xf numFmtId="0" fontId="22" fillId="37" borderId="51" xfId="0" applyFont="1" applyFill="1" applyBorder="1" applyNumberFormat="1">
      <alignment vertical="center" wrapText="1"/>
    </xf>
    <xf numFmtId="49" fontId="0" fillId="34" borderId="36" xfId="0" applyFont="1" applyFill="1" applyBorder="1" applyNumberFormat="1">
      <alignment vertical="top"/>
    </xf>
    <xf numFmtId="49" fontId="0" fillId="0" borderId="36" xfId="0" applyFont="1" applyBorder="1" applyNumberFormat="1">
      <alignment vertical="top"/>
    </xf>
    <xf numFmtId="49" fontId="22" fillId="40" borderId="17" xfId="0" applyFont="1" applyFill="1" applyBorder="1" applyNumberFormat="1">
      <alignment vertical="center" wrapText="1"/>
    </xf>
    <xf numFmtId="49" fontId="0" fillId="39" borderId="36" xfId="0" applyFont="1" applyFill="1" applyBorder="1" applyNumberFormat="1">
      <alignment vertical="top"/>
      <protection locked="0"/>
    </xf>
    <xf numFmtId="49" fontId="123" fillId="0" borderId="12" xfId="0" applyFont="1" applyBorder="1" applyNumberFormat="1">
      <alignment horizontal="center" vertical="center" wrapText="1"/>
    </xf>
    <xf numFmtId="0" fontId="45" fillId="0" borderId="12" xfId="0" applyFont="1" applyBorder="1" applyNumberFormat="1">
      <alignment horizontal="center" vertical="center"/>
    </xf>
    <xf numFmtId="49" fontId="22" fillId="40" borderId="17"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45" fillId="37" borderId="15" xfId="0" applyFont="1" applyFill="1" applyBorder="1" applyNumberFormat="1">
      <alignment vertical="top" wrapText="1"/>
    </xf>
    <xf numFmtId="49" fontId="0" fillId="39" borderId="17" xfId="0" applyFont="1" applyFill="1" applyBorder="1" applyNumberFormat="1">
      <alignment vertical="top"/>
      <protection locked="0"/>
    </xf>
    <xf numFmtId="14" fontId="22" fillId="40" borderId="36" xfId="0" applyFont="1" applyFill="1" applyBorder="1" applyNumberFormat="1">
      <alignment horizontal="left" vertical="center" wrapText="1" indent="1"/>
    </xf>
    <xf numFmtId="14" fontId="22" fillId="40" borderId="22" xfId="0" applyFont="1" applyFill="1" applyBorder="1" applyNumberFormat="1">
      <alignment horizontal="left" vertical="center" wrapText="1" indent="1"/>
    </xf>
    <xf numFmtId="49" fontId="22" fillId="40" borderId="36" xfId="0" applyFont="1" applyFill="1" applyBorder="1" applyNumberFormat="1">
      <alignment vertical="center" wrapText="1"/>
    </xf>
    <xf numFmtId="49" fontId="22" fillId="40" borderId="36" xfId="0" applyFont="1" applyFill="1" applyBorder="1" applyNumberFormat="1">
      <alignment horizontal="left" vertical="center" wrapText="1" indent="1"/>
    </xf>
    <xf numFmtId="49" fontId="22" fillId="34" borderId="12" xfId="0" applyFont="1" applyFill="1" applyBorder="1" applyNumberFormat="1">
      <alignment horizontal="left" vertical="center" wrapText="1"/>
    </xf>
    <xf numFmtId="49" fontId="123" fillId="0" borderId="0" xfId="0" applyFont="1" applyNumberFormat="1">
      <alignment horizontal="center" vertical="top" wrapText="1"/>
    </xf>
    <xf numFmtId="0" fontId="45" fillId="0" borderId="12" xfId="0" applyFont="1" applyBorder="1" applyNumberFormat="1">
      <alignment horizontal="center" vertical="center"/>
    </xf>
    <xf numFmtId="0" fontId="45" fillId="40" borderId="12" xfId="0" applyFont="1" applyFill="1" applyBorder="1" applyNumberFormat="1">
      <alignment horizontal="left" vertical="center" wrapText="1" indent="1"/>
    </xf>
    <xf numFmtId="4" fontId="22" fillId="39" borderId="31" xfId="0" applyFont="1" applyFill="1" applyBorder="1" applyNumberFormat="1">
      <alignment horizontal="right" vertical="center" wrapText="1"/>
      <protection locked="0"/>
    </xf>
    <xf numFmtId="49" fontId="22" fillId="40" borderId="23" xfId="0" applyFont="1" applyFill="1" applyBorder="1" applyNumberFormat="1">
      <alignment vertical="center" wrapText="1"/>
    </xf>
    <xf numFmtId="49" fontId="22" fillId="40" borderId="23" xfId="0" applyFont="1" applyFill="1" applyBorder="1" applyNumberFormat="1">
      <alignment horizontal="left" vertical="center" wrapText="1" indent="1"/>
    </xf>
    <xf numFmtId="49" fontId="40" fillId="37" borderId="15" xfId="0" applyFont="1" applyFill="1" applyBorder="1" applyNumberFormat="1">
      <alignment horizontal="left" vertical="center" indent="1"/>
    </xf>
    <xf numFmtId="49" fontId="0" fillId="39" borderId="23" xfId="0" applyFont="1" applyFill="1" applyBorder="1" applyNumberFormat="1">
      <alignment vertical="top"/>
      <protection locked="0"/>
    </xf>
    <xf numFmtId="49" fontId="123" fillId="0" borderId="36" xfId="0" applyFont="1" applyBorder="1" applyNumberFormat="1">
      <alignment horizontal="center" vertical="top" wrapText="1"/>
    </xf>
    <xf numFmtId="0" fontId="45" fillId="0" borderId="13" xfId="0" applyFont="1" applyBorder="1" applyNumberFormat="1">
      <alignment horizontal="center" vertical="center"/>
    </xf>
    <xf numFmtId="49" fontId="22" fillId="40" borderId="13" xfId="0" applyFont="1" applyFill="1" applyBorder="1" applyNumberFormat="1">
      <alignment horizontal="left" vertical="center" wrapText="1"/>
    </xf>
    <xf numFmtId="49" fontId="22" fillId="39" borderId="12" xfId="0" applyFont="1" applyFill="1" applyBorder="1" applyNumberFormat="1">
      <alignment horizontal="left" vertical="center" wrapText="1"/>
      <protection locked="0"/>
    </xf>
    <xf numFmtId="49" fontId="105" fillId="37" borderId="42"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3"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0" fontId="45" fillId="0" borderId="13" xfId="0" applyFont="1" applyBorder="1" applyNumberFormat="1">
      <alignment horizontal="center" vertical="center"/>
    </xf>
    <xf numFmtId="49" fontId="45" fillId="37" borderId="13" xfId="0" applyFont="1" applyFill="1" applyBorder="1" applyNumberFormat="1">
      <alignment vertical="top" wrapText="1"/>
    </xf>
    <xf numFmtId="49" fontId="45"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0" fontId="103" fillId="0" borderId="47" xfId="0" applyFont="1" applyBorder="1" applyNumberFormat="1">
      <alignment horizontal="left" vertical="center" indent="1"/>
    </xf>
    <xf numFmtId="49" fontId="22" fillId="0" borderId="55" xfId="0" applyFont="1" applyBorder="1" applyNumberFormat="1">
      <alignment horizontal="center" vertical="center"/>
    </xf>
    <xf numFmtId="0" fontId="22" fillId="0" borderId="55" xfId="0" applyFont="1" applyBorder="1" applyNumberFormat="1">
      <alignment horizontal="right" vertical="center"/>
    </xf>
    <xf numFmtId="0" fontId="22" fillId="0" borderId="55" xfId="0" applyFont="1" applyBorder="1" applyNumberFormat="1">
      <alignment horizontal="center" vertical="center"/>
    </xf>
    <xf numFmtId="0" fontId="22" fillId="0" borderId="15" xfId="0" applyFont="1" applyBorder="1" applyNumberFormat="1">
      <alignment horizontal="right" vertical="center"/>
    </xf>
    <xf numFmtId="0" fontId="22" fillId="0" borderId="13" xfId="0" applyFont="1" applyBorder="1" applyNumberFormat="1">
      <alignment horizontal="right" vertical="center"/>
    </xf>
    <xf numFmtId="49" fontId="0" fillId="0" borderId="0" xfId="0" applyFont="1" applyNumberFormat="1">
      <alignment vertical="top"/>
    </xf>
    <xf numFmtId="0" fontId="22" fillId="35" borderId="12" xfId="0" applyFont="1" applyFill="1" applyBorder="1" applyNumberFormat="1">
      <alignment horizontal="center" vertical="center"/>
    </xf>
    <xf numFmtId="0" fontId="22" fillId="40" borderId="12" xfId="0" applyFont="1" applyFill="1" applyBorder="1" applyNumberFormat="1">
      <alignment horizontal="left" vertical="center" wrapText="1" indent="1"/>
    </xf>
    <xf numFmtId="0" fontId="22" fillId="39" borderId="12" xfId="0" applyFont="1" applyFill="1" applyBorder="1" applyNumberFormat="1">
      <alignment horizontal="left" vertical="center" wrapText="1" indent="1"/>
      <protection locked="0"/>
    </xf>
    <xf numFmtId="49" fontId="22" fillId="36" borderId="12" xfId="0" applyFont="1" applyFill="1" applyBorder="1" applyNumberFormat="1">
      <alignment horizontal="left" vertical="center" indent="1"/>
      <protection locked="0"/>
    </xf>
    <xf numFmtId="0" fontId="22" fillId="41" borderId="12" xfId="0" applyFont="1" applyFill="1" applyBorder="1" applyNumberFormat="1">
      <alignment horizontal="right" vertical="center"/>
    </xf>
    <xf numFmtId="4" fontId="22" fillId="36" borderId="12" xfId="0" applyFont="1" applyFill="1" applyBorder="1" applyNumberFormat="1">
      <alignment horizontal="right" vertical="center"/>
      <protection locked="0"/>
    </xf>
    <xf numFmtId="49" fontId="40" fillId="37" borderId="56"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52" borderId="13" xfId="0" applyFont="1" applyFill="1" applyBorder="1" applyNumberFormat="1">
      <alignment horizontal="left" vertical="center" indent="1"/>
    </xf>
    <xf numFmtId="49" fontId="22" fillId="0" borderId="0" xfId="0" applyFont="1" applyNumberFormat="1">
      <alignment vertical="top"/>
    </xf>
    <xf numFmtId="49" fontId="22" fillId="0" borderId="17" xfId="0" applyFont="1" applyBorder="1" applyNumberFormat="1">
      <alignment horizontal="center" vertical="center" wrapText="1"/>
    </xf>
    <xf numFmtId="49" fontId="22" fillId="0" borderId="36" xfId="0" applyFont="1" applyBorder="1" applyNumberFormat="1">
      <alignment horizontal="center" vertical="center" wrapText="1"/>
    </xf>
    <xf numFmtId="0" fontId="47" fillId="0" borderId="0" xfId="0" applyFont="1" applyNumberFormat="1">
      <alignment horizontal="center" vertical="center" wrapText="1"/>
    </xf>
    <xf numFmtId="0" fontId="22" fillId="0" borderId="12" xfId="0" applyFont="1" applyBorder="1" applyNumberFormat="1">
      <alignment horizontal="left" vertical="center" wrapText="1"/>
    </xf>
    <xf numFmtId="0" fontId="48" fillId="0" borderId="0" xfId="0" applyFont="1" applyNumberFormat="1">
      <alignment horizontal="center" vertical="center" wrapText="1"/>
    </xf>
    <xf numFmtId="0" fontId="40" fillId="0" borderId="12" xfId="0" applyFont="1" applyBorder="1" applyNumberFormat="1">
      <alignment horizontal="left" vertical="center" indent="1"/>
    </xf>
    <xf numFmtId="0" fontId="47" fillId="0" borderId="0" xfId="0" applyFont="1" applyNumberFormat="1">
      <alignment horizontal="center" vertical="top"/>
    </xf>
    <xf numFmtId="49" fontId="22" fillId="0" borderId="23" xfId="0" applyFont="1" applyBorder="1" applyNumberFormat="1">
      <alignment horizontal="center" vertical="center" wrapText="1"/>
    </xf>
    <xf numFmtId="0" fontId="48" fillId="0" borderId="23" xfId="0" applyFont="1" applyBorder="1" applyNumberFormat="1">
      <alignment vertical="center" wrapText="1"/>
    </xf>
    <xf numFmtId="4" fontId="48" fillId="0" borderId="12" xfId="0" applyFont="1" applyBorder="1" applyNumberFormat="1">
      <alignment horizontal="right" vertical="center" wrapText="1"/>
    </xf>
    <xf numFmtId="2" fontId="48" fillId="0" borderId="23" xfId="0" applyFont="1" applyBorder="1" applyNumberFormat="1">
      <alignment horizontal="center" vertical="center" wrapText="1"/>
    </xf>
    <xf numFmtId="0" fontId="48" fillId="0" borderId="0" xfId="0" applyFont="1" applyNumberFormat="1">
      <alignment horizontal="center" vertical="top"/>
    </xf>
    <xf numFmtId="49" fontId="48" fillId="0" borderId="0" xfId="0" applyFont="1" applyNumberFormat="1">
      <alignment vertical="top"/>
    </xf>
    <xf numFmtId="49" fontId="48" fillId="0" borderId="14" xfId="0" applyFont="1" applyBorder="1" applyNumberFormat="1">
      <alignment horizontal="left" vertical="center"/>
    </xf>
    <xf numFmtId="49" fontId="48" fillId="0" borderId="15" xfId="0" applyFont="1" applyBorder="1" applyNumberFormat="1">
      <alignment horizontal="left" vertical="center" indent="1"/>
    </xf>
    <xf numFmtId="49" fontId="48" fillId="0" borderId="15" xfId="0" applyFont="1" applyBorder="1" applyNumberFormat="1">
      <alignment horizontal="left" vertical="center"/>
    </xf>
    <xf numFmtId="49" fontId="48" fillId="0" borderId="13" xfId="0" applyFont="1" applyBorder="1" applyNumberFormat="1">
      <alignment horizontal="left" vertical="center" indent="1"/>
    </xf>
    <xf numFmtId="0" fontId="48" fillId="0" borderId="12" xfId="0" applyFont="1" applyBorder="1" applyNumberFormat="1">
      <alignment horizontal="left" vertical="center" indent="1"/>
    </xf>
    <xf numFmtId="49" fontId="0" fillId="0" borderId="19" xfId="0" applyFont="1" applyBorder="1" applyNumberFormat="1">
      <alignment vertical="top"/>
    </xf>
    <xf numFmtId="49" fontId="37" fillId="0" borderId="17"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0" fillId="0" borderId="13" xfId="0" applyFont="1" applyBorder="1" applyNumberFormat="1">
      <alignment horizontal="center" vertical="center" wrapText="1"/>
    </xf>
    <xf numFmtId="0" fontId="0" fillId="0" borderId="12" xfId="0" applyFont="1" applyBorder="1" applyNumberFormat="1">
      <alignment horizontal="left" vertical="center" wrapText="1"/>
    </xf>
    <xf numFmtId="49" fontId="0" fillId="0" borderId="12" xfId="0" applyFont="1" applyBorder="1" applyNumberFormat="1">
      <alignment horizontal="center" vertical="center"/>
    </xf>
    <xf numFmtId="0" fontId="0" fillId="0" borderId="12" xfId="0" applyFont="1" applyBorder="1" applyNumberFormat="1">
      <alignment horizontal="center" vertical="center" wrapText="1"/>
    </xf>
    <xf numFmtId="4" fontId="0" fillId="34" borderId="12" xfId="0" applyFont="1" applyFill="1" applyBorder="1" applyNumberFormat="1">
      <alignment horizontal="right" vertical="center" wrapText="1"/>
    </xf>
    <xf numFmtId="49" fontId="22" fillId="0" borderId="36" xfId="0" applyFont="1" applyBorder="1" applyNumberFormat="1">
      <alignment horizontal="center" vertical="top" wrapText="1"/>
    </xf>
    <xf numFmtId="0" fontId="0" fillId="39" borderId="12" xfId="0" applyFont="1" applyFill="1" applyBorder="1" applyNumberFormat="1">
      <alignment horizontal="left" vertical="center" wrapText="1"/>
      <protection locked="0"/>
    </xf>
    <xf numFmtId="49" fontId="0" fillId="39" borderId="14" xfId="0" applyFont="1" applyFill="1" applyBorder="1" applyNumberFormat="1">
      <alignment horizontal="left" vertical="center" wrapText="1"/>
      <protection locked="0"/>
    </xf>
    <xf numFmtId="0" fontId="0" fillId="0" borderId="12" xfId="0" applyFont="1" applyBorder="1" applyNumberFormat="1">
      <alignment vertical="center" wrapText="1"/>
    </xf>
    <xf numFmtId="49" fontId="0" fillId="0" borderId="29" xfId="0" applyFont="1" applyBorder="1" applyNumberFormat="1">
      <alignment horizontal="center" vertical="center" wrapText="1"/>
    </xf>
    <xf numFmtId="49" fontId="0" fillId="39"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7" fillId="0" borderId="12" xfId="0" applyFont="1" applyBorder="1" applyNumberFormat="1">
      <alignment horizontal="right" vertical="center" wrapText="1"/>
    </xf>
    <xf numFmtId="49" fontId="0" fillId="39" borderId="12" xfId="0" applyFont="1" applyFill="1" applyBorder="1" applyNumberFormat="1">
      <alignment horizontal="left" vertical="center" wrapText="1"/>
      <protection locked="0"/>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40" fillId="37" borderId="15" xfId="0" applyFont="1" applyFill="1" applyBorder="1" applyNumberFormat="1">
      <alignment horizontal="left" vertical="center"/>
    </xf>
    <xf numFmtId="49" fontId="40" fillId="37" borderId="13" xfId="0" applyFont="1" applyFill="1" applyBorder="1" applyNumberFormat="1">
      <alignment horizontal="left" vertical="center" indent="1"/>
    </xf>
    <xf numFmtId="49" fontId="22" fillId="0" borderId="23" xfId="0" applyFont="1" applyBorder="1" applyNumberFormat="1">
      <alignment horizontal="center" vertical="top" wrapText="1"/>
    </xf>
    <xf numFmtId="49" fontId="22" fillId="39" borderId="12" xfId="0" applyFont="1" applyFill="1" applyBorder="1" applyNumberFormat="1">
      <alignment horizontal="left" vertical="center" wrapText="1" indent="1"/>
      <protection locked="0"/>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37" fillId="0" borderId="0" xfId="0" applyFont="1" applyNumberFormat="1">
      <alignment horizontal="center" vertical="center" wrapText="1"/>
    </xf>
    <xf numFmtId="0" fontId="0" fillId="0" borderId="12" xfId="0" applyFont="1" applyBorder="1" applyNumberFormat="1">
      <alignment horizontal="center" vertical="center"/>
    </xf>
    <xf numFmtId="0" fontId="22" fillId="40" borderId="12" xfId="0" applyFont="1" applyFill="1" applyBorder="1" applyNumberFormat="1">
      <alignment horizontal="left" vertical="top" wrapText="1"/>
    </xf>
    <xf numFmtId="49" fontId="22" fillId="36" borderId="12" xfId="0" applyFont="1" applyFill="1" applyBorder="1" applyNumberFormat="1">
      <alignment horizontal="left" vertical="center" wrapText="1"/>
      <protection locked="0"/>
    </xf>
    <xf numFmtId="0" fontId="0" fillId="40" borderId="12" xfId="0" applyFont="1" applyFill="1" applyBorder="1" applyNumberFormat="1">
      <alignment horizontal="left" vertical="center" wrapText="1"/>
    </xf>
    <xf numFmtId="49" fontId="0" fillId="39" borderId="12" xfId="0" applyFont="1" applyFill="1" applyBorder="1" applyNumberFormat="1">
      <alignment horizontal="left" vertical="center" wrapText="1"/>
      <protection locked="0"/>
    </xf>
    <xf numFmtId="49" fontId="22" fillId="0" borderId="12" xfId="0" applyFont="1" applyBorder="1" applyNumberFormat="1">
      <alignment horizontal="center" vertical="center" wrapText="1"/>
    </xf>
    <xf numFmtId="49" fontId="0" fillId="39"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0" fontId="0" fillId="0" borderId="0" xfId="0" applyFont="1" applyNumberFormat="1">
      <alignment horizontal="left" vertical="center" indent="1"/>
    </xf>
    <xf numFmtId="0" fontId="0" fillId="0" borderId="0" xfId="0" applyFont="1" applyNumberFormat="1">
      <alignment vertical="center"/>
    </xf>
    <xf numFmtId="0" fontId="40" fillId="37" borderId="14"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3" xfId="0" applyFont="1" applyFill="1" applyBorder="1" applyNumberFormat="1">
      <alignment horizontal="left" vertical="center"/>
    </xf>
    <xf numFmtId="49" fontId="0" fillId="0" borderId="12" xfId="0" applyFont="1" applyBorder="1" applyNumberFormat="1">
      <alignment vertical="top"/>
    </xf>
    <xf numFmtId="49" fontId="0" fillId="0" borderId="12" xfId="0" applyFont="1" applyBorder="1" applyNumberFormat="1">
      <alignment horizontal="left" vertical="top"/>
    </xf>
    <xf numFmtId="49" fontId="0" fillId="40" borderId="12" xfId="0" applyFont="1" applyFill="1" applyBorder="1" applyNumberFormat="1">
      <alignment horizontal="left" vertical="top"/>
    </xf>
    <xf numFmtId="49" fontId="0" fillId="36" borderId="12" xfId="0" applyFont="1" applyFill="1" applyBorder="1" applyNumberFormat="1">
      <alignment horizontal="left" vertical="top"/>
      <protection locked="0"/>
    </xf>
    <xf numFmtId="49" fontId="0" fillId="40" borderId="12" xfId="0" applyFont="1" applyFill="1" applyBorder="1" applyNumberFormat="1">
      <alignment horizontal="left" vertical="center" wrapText="1"/>
    </xf>
    <xf numFmtId="0" fontId="0" fillId="37" borderId="15" xfId="0" applyFont="1" applyFill="1" applyBorder="1" applyNumberFormat="1">
      <alignment vertical="center"/>
    </xf>
    <xf numFmtId="49" fontId="0" fillId="0" borderId="36" xfId="0" applyFont="1" applyBorder="1" applyNumberFormat="1">
      <alignment horizontal="left" vertical="top"/>
    </xf>
    <xf numFmtId="0" fontId="22" fillId="40" borderId="36" xfId="0" applyFont="1" applyFill="1" applyBorder="1" applyNumberFormat="1">
      <alignment horizontal="center" vertical="top" wrapText="1"/>
    </xf>
    <xf numFmtId="49" fontId="0" fillId="40" borderId="36" xfId="0" applyFont="1" applyFill="1" applyBorder="1" applyNumberFormat="1">
      <alignment horizontal="left" vertical="top"/>
    </xf>
    <xf numFmtId="49" fontId="0" fillId="36" borderId="36" xfId="0" applyFont="1" applyFill="1" applyBorder="1" applyNumberFormat="1">
      <alignment horizontal="left" vertical="top"/>
      <protection locked="0"/>
    </xf>
    <xf numFmtId="49" fontId="22" fillId="40" borderId="0" xfId="0" applyFont="1" applyFill="1" applyNumberFormat="1">
      <alignment horizontal="center" vertical="center" wrapText="1"/>
    </xf>
    <xf numFmtId="0" fontId="40" fillId="0" borderId="36" xfId="0" applyFont="1" applyBorder="1" applyNumberFormat="1">
      <alignment horizontal="left" vertical="center"/>
    </xf>
    <xf numFmtId="49" fontId="0" fillId="40" borderId="36" xfId="0" applyFont="1" applyFill="1" applyBorder="1" applyNumberFormat="1">
      <alignment horizontal="left" vertical="center" wrapText="1"/>
    </xf>
    <xf numFmtId="49" fontId="22" fillId="40" borderId="36" xfId="0" applyFont="1" applyFill="1" applyBorder="1" applyNumberFormat="1">
      <alignment horizontal="center" vertical="center" wrapText="1"/>
    </xf>
    <xf numFmtId="0" fontId="40" fillId="36" borderId="36" xfId="0" applyFont="1" applyFill="1" applyBorder="1" applyNumberFormat="1">
      <alignment horizontal="left" vertical="center"/>
      <protection locked="0"/>
    </xf>
    <xf numFmtId="0" fontId="40" fillId="39" borderId="36" xfId="0" applyFont="1" applyFill="1" applyBorder="1" applyNumberFormat="1">
      <alignment horizontal="left" vertical="center"/>
      <protection locked="0"/>
    </xf>
    <xf numFmtId="49" fontId="48" fillId="0" borderId="12" xfId="0" applyFont="1" applyBorder="1" applyNumberFormat="1">
      <alignment horizontal="center" vertical="center" wrapText="1"/>
    </xf>
    <xf numFmtId="49" fontId="48" fillId="0" borderId="14" xfId="0" applyFont="1" applyBorder="1" applyNumberFormat="1">
      <alignment horizontal="left" vertical="center" wrapText="1"/>
    </xf>
    <xf numFmtId="0" fontId="48" fillId="0" borderId="14" xfId="0" applyFont="1" applyBorder="1" applyNumberFormat="1">
      <alignment horizontal="left" vertical="center"/>
    </xf>
    <xf numFmtId="0" fontId="48" fillId="0" borderId="15" xfId="0" applyFont="1" applyBorder="1" applyNumberFormat="1">
      <alignment horizontal="left" vertical="center"/>
    </xf>
    <xf numFmtId="0" fontId="40" fillId="37" borderId="29" xfId="0" applyFont="1" applyFill="1" applyBorder="1" applyNumberFormat="1">
      <alignment horizontal="left" vertical="center"/>
    </xf>
    <xf numFmtId="49" fontId="0" fillId="0" borderId="0" xfId="0" applyFont="1" applyNumberFormat="1">
      <alignment vertical="top"/>
    </xf>
    <xf numFmtId="49" fontId="0" fillId="36" borderId="36" xfId="0" applyFont="1" applyFill="1" applyBorder="1" applyNumberFormat="1">
      <alignment vertical="top"/>
      <protection locked="0"/>
    </xf>
    <xf numFmtId="0" fontId="0" fillId="0" borderId="0" xfId="0" applyFont="1" applyNumberFormat="1">
      <alignment vertical="center"/>
    </xf>
    <xf numFmtId="0" fontId="0" fillId="0" borderId="12" xfId="0" applyFont="1" applyBorder="1" applyNumberFormat="1">
      <alignment horizontal="center" vertical="center"/>
    </xf>
    <xf numFmtId="0" fontId="0" fillId="0" borderId="37" xfId="0" applyFont="1" applyBorder="1" applyNumberFormat="1">
      <alignment horizontal="center" vertical="center"/>
    </xf>
    <xf numFmtId="0" fontId="0" fillId="0" borderId="19" xfId="0" applyFont="1" applyBorder="1" applyNumberFormat="1">
      <alignment horizontal="center" vertical="center"/>
    </xf>
    <xf numFmtId="0" fontId="0" fillId="0" borderId="19" xfId="0" applyFont="1" applyBorder="1" applyNumberFormat="1">
      <alignment horizontal="left"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0" fillId="0" borderId="22" xfId="0" applyFont="1" applyBorder="1" applyNumberFormat="1">
      <alignment horizontal="center" vertical="center"/>
    </xf>
    <xf numFmtId="0" fontId="0" fillId="0" borderId="0" xfId="0" applyFont="1" applyNumberFormat="1">
      <alignment horizontal="center" vertical="center"/>
    </xf>
    <xf numFmtId="0" fontId="0" fillId="0" borderId="0" xfId="0" applyFont="1" applyNumberFormat="1">
      <alignment horizontal="left" vertical="center" wrapText="1"/>
    </xf>
    <xf numFmtId="49" fontId="0" fillId="0" borderId="0" xfId="0" applyFont="1" applyNumberFormat="1">
      <alignment horizontal="left" vertical="center" wrapText="1"/>
    </xf>
    <xf numFmtId="49" fontId="0" fillId="0" borderId="0" xfId="0" applyFont="1" applyNumberFormat="1">
      <alignment horizontal="left" vertical="top"/>
    </xf>
    <xf numFmtId="49" fontId="22" fillId="0" borderId="0" xfId="0" applyFont="1" applyNumberFormat="1">
      <alignment horizontal="center" vertical="center" wrapText="1"/>
    </xf>
    <xf numFmtId="0" fontId="0" fillId="0" borderId="0" xfId="0" applyFont="1" applyNumberFormat="1">
      <alignment vertical="center"/>
    </xf>
    <xf numFmtId="0" fontId="0" fillId="0" borderId="27" xfId="0" applyFont="1" applyBorder="1" applyNumberFormat="1">
      <alignment vertical="center"/>
    </xf>
    <xf numFmtId="49" fontId="22" fillId="0" borderId="36" xfId="0" applyFont="1" applyBorder="1" applyNumberFormat="1">
      <alignment horizontal="center" vertical="center"/>
    </xf>
    <xf numFmtId="49" fontId="22" fillId="0" borderId="36" xfId="0" applyFont="1" applyBorder="1" applyNumberFormat="1">
      <alignment vertical="center" wrapText="1"/>
    </xf>
    <xf numFmtId="0" fontId="22" fillId="0" borderId="24" xfId="0" applyFont="1" applyBorder="1" applyNumberFormat="1">
      <alignment horizontal="center" vertical="center"/>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37" fillId="0" borderId="36" xfId="0" applyFont="1" applyBorder="1" applyNumberFormat="1">
      <alignment vertical="center" wrapText="1"/>
    </xf>
    <xf numFmtId="0" fontId="22" fillId="40" borderId="17" xfId="0" applyFont="1" applyFill="1" applyBorder="1" applyNumberFormat="1">
      <alignment horizontal="left" vertical="center" wrapText="1"/>
    </xf>
    <xf numFmtId="49" fontId="22" fillId="0" borderId="17" xfId="0" applyFont="1" applyBorder="1" applyNumberFormat="1">
      <alignment horizontal="center" vertical="center" wrapText="1"/>
    </xf>
    <xf numFmtId="49" fontId="22" fillId="40" borderId="17" xfId="0" applyFont="1" applyFill="1" applyBorder="1" applyNumberFormat="1">
      <alignment horizontal="left" vertical="center" wrapText="1"/>
    </xf>
    <xf numFmtId="0" fontId="22" fillId="0" borderId="17" xfId="0" applyFont="1" applyBorder="1" applyNumberFormat="1">
      <alignment horizontal="left" vertical="center" wrapText="1"/>
    </xf>
    <xf numFmtId="49" fontId="22" fillId="0" borderId="17" xfId="0" applyFont="1" applyBorder="1" applyNumberFormat="1">
      <alignment horizontal="center" vertical="center" wrapText="1"/>
    </xf>
    <xf numFmtId="49" fontId="22" fillId="40" borderId="17" xfId="0" applyFont="1" applyFill="1" applyBorder="1" applyNumberFormat="1">
      <alignment vertical="center" wrapText="1"/>
    </xf>
    <xf numFmtId="0" fontId="22" fillId="0" borderId="36" xfId="0" applyFont="1" applyBorder="1" applyNumberFormat="1">
      <alignment horizontal="left" vertical="center" wrapText="1"/>
    </xf>
    <xf numFmtId="49" fontId="22" fillId="0" borderId="36" xfId="0" applyFont="1" applyBorder="1" applyNumberFormat="1">
      <alignment horizontal="left" vertical="center" wrapText="1"/>
    </xf>
    <xf numFmtId="0" fontId="22" fillId="40" borderId="36" xfId="0" applyFont="1" applyFill="1" applyBorder="1" applyNumberFormat="1">
      <alignment horizontal="left" vertical="center" wrapText="1"/>
    </xf>
    <xf numFmtId="49" fontId="22" fillId="0" borderId="36" xfId="0" applyFont="1" applyBorder="1" applyNumberFormat="1">
      <alignment horizontal="center" vertical="center" wrapText="1"/>
    </xf>
    <xf numFmtId="0" fontId="22" fillId="0" borderId="23" xfId="0" applyFont="1" applyBorder="1" applyNumberFormat="1">
      <alignment horizontal="left" vertical="center" wrapText="1"/>
    </xf>
    <xf numFmtId="0" fontId="40" fillId="0" borderId="23" xfId="0" applyFont="1" applyBorder="1" applyNumberFormat="1">
      <alignment horizontal="left" vertical="center"/>
    </xf>
    <xf numFmtId="0" fontId="40" fillId="37" borderId="14"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3" xfId="0" applyFont="1" applyFill="1" applyBorder="1" applyNumberFormat="1">
      <alignment horizontal="left" vertical="center"/>
    </xf>
    <xf numFmtId="49" fontId="22" fillId="0" borderId="36" xfId="0" applyFont="1" applyBorder="1" applyNumberFormat="1">
      <alignment horizontal="center" vertical="center" wrapText="1"/>
    </xf>
    <xf numFmtId="0" fontId="40" fillId="37" borderId="37" xfId="0" applyFont="1" applyFill="1" applyBorder="1" applyNumberFormat="1">
      <alignment horizontal="left" vertical="center"/>
    </xf>
    <xf numFmtId="0" fontId="40" fillId="37" borderId="19" xfId="0" applyFont="1" applyFill="1" applyBorder="1" applyNumberFormat="1">
      <alignment horizontal="left" vertical="center"/>
    </xf>
    <xf numFmtId="0" fontId="40" fillId="37" borderId="20" xfId="0" applyFont="1" applyFill="1" applyBorder="1" applyNumberFormat="1">
      <alignment horizontal="left" vertical="center"/>
    </xf>
    <xf numFmtId="49" fontId="22" fillId="39" borderId="17" xfId="0" applyFont="1" applyFill="1" applyBorder="1" applyNumberFormat="1">
      <alignment horizontal="left" vertical="center" wrapText="1"/>
      <protection locked="0"/>
    </xf>
    <xf numFmtId="49" fontId="37" fillId="0" borderId="36" xfId="0" applyFont="1" applyBorder="1" applyNumberFormat="1">
      <alignment horizontal="center" vertical="center" wrapText="1"/>
    </xf>
    <xf numFmtId="0" fontId="40" fillId="37" borderId="37" xfId="0" applyFont="1" applyFill="1" applyBorder="1" applyNumberFormat="1">
      <alignment vertical="center"/>
    </xf>
    <xf numFmtId="0" fontId="40" fillId="0" borderId="36" xfId="0" applyFont="1" applyBorder="1" applyNumberFormat="1">
      <alignment horizontal="left" vertical="center"/>
    </xf>
    <xf numFmtId="49" fontId="22" fillId="36" borderId="17" xfId="0" applyFont="1" applyFill="1" applyBorder="1" applyNumberFormat="1">
      <alignment horizontal="left" vertical="center" wrapText="1"/>
      <protection locked="0"/>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0" borderId="19" xfId="0" applyFont="1" applyBorder="1" applyNumberFormat="1">
      <alignment horizontal="left" vertical="center" wrapText="1"/>
    </xf>
    <xf numFmtId="49" fontId="22" fillId="0" borderId="19" xfId="0" applyFont="1" applyBorder="1" applyNumberFormat="1">
      <alignment horizontal="left" vertical="center" wrapText="1"/>
    </xf>
    <xf numFmtId="49" fontId="37" fillId="0" borderId="19" xfId="0" applyFont="1" applyBorder="1" applyNumberFormat="1">
      <alignment vertical="center" wrapText="1"/>
    </xf>
    <xf numFmtId="49" fontId="22" fillId="0" borderId="0" xfId="0" applyFont="1" applyNumberFormat="1">
      <alignment horizontal="left" vertical="center" wrapText="1"/>
    </xf>
    <xf numFmtId="49" fontId="37" fillId="0" borderId="0" xfId="0" applyFont="1" applyNumberFormat="1">
      <alignment vertical="center" wrapText="1"/>
    </xf>
    <xf numFmtId="0" fontId="40" fillId="0" borderId="0" xfId="0" applyFont="1" applyNumberFormat="1">
      <alignment horizontal="left" vertical="center"/>
    </xf>
    <xf numFmtId="49" fontId="37" fillId="0" borderId="0" xfId="0" applyFont="1" applyNumberFormat="1">
      <alignment horizontal="center" vertical="center" wrapText="1"/>
    </xf>
    <xf numFmtId="49" fontId="95" fillId="0" borderId="12" xfId="0" applyFont="1" applyBorder="1" applyNumberFormat="1">
      <alignment vertical="top" wrapText="1"/>
    </xf>
    <xf numFmtId="49" fontId="91" fillId="0" borderId="12" xfId="0" applyFont="1" applyBorder="1" applyNumberFormat="1">
      <alignment horizontal="center" vertical="top" wrapText="1"/>
    </xf>
    <xf numFmtId="49" fontId="91" fillId="41" borderId="12" xfId="0" applyFont="1" applyFill="1" applyBorder="1" applyNumberFormat="1">
      <alignment horizontal="center" vertical="top"/>
    </xf>
    <xf numFmtId="49" fontId="91" fillId="0" borderId="12" xfId="0" applyFont="1" applyBorder="1" applyNumberFormat="1">
      <alignment vertical="top" wrapText="1"/>
    </xf>
    <xf numFmtId="0" fontId="91" fillId="0" borderId="12" xfId="0" applyFont="1" applyBorder="1" applyNumberFormat="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0" fontId="95" fillId="0" borderId="12" xfId="0" applyFont="1" applyBorder="1" applyNumberFormat="1">
      <alignment vertical="top" wrapText="1"/>
    </xf>
    <xf numFmtId="49" fontId="95" fillId="0" borderId="0" xfId="0" applyFont="1" applyNumberFormat="1">
      <alignment vertical="top" wrapText="1"/>
    </xf>
    <xf numFmtId="49" fontId="95" fillId="0" borderId="0" xfId="0" applyFont="1" applyNumberFormat="1">
      <alignment vertical="top"/>
    </xf>
    <xf numFmtId="49" fontId="95" fillId="0" borderId="0" xfId="0" applyFont="1" applyNumberFormat="1">
      <alignment horizontal="center" vertical="top" wrapText="1"/>
    </xf>
    <xf numFmtId="49" fontId="95" fillId="0" borderId="12" xfId="0" applyFont="1" applyBorder="1" applyNumberFormat="1">
      <alignment horizontal="center" vertical="top" wrapText="1"/>
    </xf>
    <xf numFmtId="49" fontId="95" fillId="0" borderId="12" xfId="0" applyFont="1" applyBorder="1" applyNumberFormat="1">
      <alignment horizontal="center" vertical="top" wrapText="1"/>
    </xf>
    <xf numFmtId="49" fontId="95" fillId="41" borderId="12" xfId="0" applyFont="1" applyFill="1" applyBorder="1" applyNumberFormat="1">
      <alignment horizontal="center" vertical="top" wrapText="1"/>
    </xf>
    <xf numFmtId="49" fontId="91" fillId="41" borderId="12" xfId="0" applyFont="1" applyFill="1" applyBorder="1" applyNumberFormat="1">
      <alignment horizontal="center" vertical="top" wrapText="1"/>
    </xf>
    <xf numFmtId="49" fontId="95" fillId="0" borderId="12" xfId="0" applyFont="1" applyBorder="1" applyNumberFormat="1">
      <alignment horizontal="left" vertical="top" wrapText="1"/>
    </xf>
    <xf numFmtId="0" fontId="91" fillId="41" borderId="12" xfId="0" applyFont="1" applyFill="1" applyBorder="1" applyNumberFormat="1">
      <alignment horizontal="center" vertical="top" wrapText="1"/>
    </xf>
    <xf numFmtId="0" fontId="95" fillId="41" borderId="12" xfId="0" applyFont="1" applyFill="1" applyBorder="1" applyNumberFormat="1">
      <alignment horizontal="right" vertical="center"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0" fontId="95" fillId="0" borderId="12" xfId="0" applyFont="1" applyBorder="1" applyNumberFormat="1">
      <alignment horizontal="left" vertical="top" wrapText="1"/>
    </xf>
    <xf numFmtId="49" fontId="95" fillId="41" borderId="12" xfId="0" applyFont="1" applyFill="1" applyBorder="1" applyNumberFormat="1">
      <alignment horizontal="left" vertical="top" wrapText="1"/>
    </xf>
    <xf numFmtId="0" fontId="95" fillId="41" borderId="12" xfId="0" applyFont="1" applyFill="1" applyBorder="1" applyNumberFormat="1">
      <alignment horizontal="center" vertical="center" wrapText="1"/>
    </xf>
    <xf numFmtId="0" fontId="95" fillId="41" borderId="12" xfId="0" applyFont="1" applyFill="1" applyBorder="1" applyNumberFormat="1">
      <alignment horizontal="center" vertical="center"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17" xfId="0" applyFont="1" applyBorder="1" applyNumberFormat="1">
      <alignment horizontal="center" vertical="top" wrapText="1"/>
    </xf>
    <xf numFmtId="0" fontId="95" fillId="0" borderId="17" xfId="0" applyFont="1" applyBorder="1" applyNumberFormat="1">
      <alignment horizontal="left" vertical="top" wrapText="1"/>
    </xf>
    <xf numFmtId="49" fontId="95" fillId="0" borderId="37" xfId="0" applyFont="1" applyBorder="1" applyNumberFormat="1">
      <alignment horizontal="center" vertical="top" wrapText="1"/>
    </xf>
    <xf numFmtId="49" fontId="95" fillId="0" borderId="37" xfId="0" applyFont="1" applyBorder="1" applyNumberFormat="1">
      <alignment horizontal="center" vertical="top" wrapText="1"/>
    </xf>
    <xf numFmtId="0" fontId="95" fillId="0" borderId="13" xfId="0" applyFont="1" applyBorder="1" applyNumberFormat="1">
      <alignment horizontal="left" vertical="top" wrapText="1"/>
    </xf>
    <xf numFmtId="49" fontId="95" fillId="0" borderId="23"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22" xfId="0" applyFont="1" applyBorder="1" applyNumberFormat="1">
      <alignment horizontal="center" vertical="top" wrapText="1"/>
    </xf>
    <xf numFmtId="0" fontId="95" fillId="0" borderId="17" xfId="0" applyFont="1" applyBorder="1" applyNumberFormat="1">
      <alignment vertical="top" wrapText="1"/>
    </xf>
    <xf numFmtId="49" fontId="91" fillId="0" borderId="12" xfId="0" applyFont="1" applyBorder="1" applyNumberFormat="1">
      <alignment horizontal="left" vertical="top" wrapText="1"/>
    </xf>
    <xf numFmtId="0" fontId="91" fillId="0" borderId="14" xfId="0" applyFont="1" applyBorder="1" applyNumberFormat="1">
      <alignment horizontal="center" vertical="center" wrapText="1"/>
    </xf>
    <xf numFmtId="0" fontId="91" fillId="0" borderId="14" xfId="0" applyFont="1" applyBorder="1" applyNumberFormat="1">
      <alignment horizontal="center" vertical="center"/>
    </xf>
    <xf numFmtId="49" fontId="91" fillId="0" borderId="12" xfId="0" applyFont="1" applyBorder="1" applyNumberFormat="1">
      <alignment horizontal="center" vertical="center" wrapText="1"/>
    </xf>
    <xf numFmtId="0" fontId="91" fillId="0" borderId="12" xfId="0" applyFont="1" applyBorder="1" applyNumberFormat="1">
      <alignment vertical="center" wrapText="1"/>
    </xf>
    <xf numFmtId="49" fontId="95" fillId="0" borderId="14" xfId="0" applyFont="1" applyBorder="1" applyNumberFormat="1">
      <alignment horizontal="left" vertical="top" wrapText="1"/>
    </xf>
    <xf numFmtId="0" fontId="91" fillId="0" borderId="12" xfId="0" applyFont="1" applyBorder="1" applyNumberFormat="1">
      <alignment horizontal="center" vertical="center" wrapText="1"/>
    </xf>
    <xf numFmtId="0" fontId="91" fillId="0" borderId="17" xfId="0" applyFont="1" applyBorder="1" applyNumberFormat="1">
      <alignment vertical="center" wrapText="1"/>
    </xf>
    <xf numFmtId="0" fontId="91" fillId="0" borderId="23" xfId="0" applyFont="1" applyBorder="1" applyNumberFormat="1">
      <alignment vertical="center" wrapText="1"/>
    </xf>
    <xf numFmtId="49" fontId="95" fillId="0" borderId="30" xfId="0" applyFont="1" applyBorder="1" applyNumberFormat="1">
      <alignment horizontal="left" vertical="top" wrapText="1"/>
    </xf>
    <xf numFmtId="49" fontId="95" fillId="0" borderId="13" xfId="0" applyFont="1" applyBorder="1" applyNumberFormat="1">
      <alignment horizontal="left" vertical="top"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pplyNumberFormat="1">
      <alignment horizontal="center" vertical="center" wrapText="1"/>
    </xf>
    <xf numFmtId="49" fontId="95" fillId="0" borderId="36" xfId="0" applyFont="1" applyBorder="1" applyNumberFormat="1">
      <alignment horizontal="left" vertical="top" wrapText="1"/>
    </xf>
    <xf numFmtId="0" fontId="95" fillId="0" borderId="36" xfId="0" applyFont="1" applyBorder="1" applyNumberFormat="1">
      <alignment horizontal="left" vertical="top" wrapText="1"/>
    </xf>
    <xf numFmtId="49" fontId="95" fillId="0" borderId="0" xfId="0" applyFont="1" applyNumberFormat="1">
      <alignment horizontal="left" vertical="top" wrapText="1"/>
    </xf>
    <xf numFmtId="49" fontId="95" fillId="41" borderId="0" xfId="0" applyFont="1" applyFill="1" applyNumberFormat="1">
      <alignment horizontal="left" vertical="top" wrapText="1"/>
    </xf>
    <xf numFmtId="0" fontId="95" fillId="0" borderId="0" xfId="0" applyFont="1" applyNumberFormat="1">
      <alignment vertical="top" wrapText="1"/>
    </xf>
    <xf numFmtId="0" fontId="46" fillId="0" borderId="19" xfId="0" applyFont="1" applyBorder="1" applyNumberFormat="1">
      <alignment horizontal="left" vertical="center" wrapText="1" indent="1"/>
    </xf>
    <xf numFmtId="0" fontId="46" fillId="0" borderId="27" xfId="0" applyFont="1" applyBorder="1" applyNumberFormat="1">
      <alignment horizontal="left" vertical="center" wrapText="1" indent="1"/>
    </xf>
    <xf numFmtId="0" fontId="0" fillId="0" borderId="0" xfId="0" applyFont="1" applyNumberFormat="1">
      <alignment horizontal="left" vertical="center"/>
    </xf>
    <xf numFmtId="0" fontId="0" fillId="35" borderId="12" xfId="0" applyFont="1" applyFill="1" applyBorder="1" applyNumberFormat="1">
      <alignment horizontal="right" vertical="center" wrapText="1" indent="1"/>
    </xf>
    <xf numFmtId="0" fontId="0" fillId="0" borderId="14" xfId="0" applyFont="1" applyBorder="1" applyNumberFormat="1">
      <alignment vertical="center"/>
    </xf>
    <xf numFmtId="0" fontId="22" fillId="0" borderId="0" xfId="0" applyFont="1" applyNumberFormat="1">
      <alignment horizontal="left" vertical="center" wrapText="1"/>
    </xf>
    <xf numFmtId="0" fontId="22" fillId="0" borderId="0" xfId="0" applyFont="1" applyNumberFormat="1">
      <alignment horizontal="right" vertical="center" wrapText="1"/>
    </xf>
    <xf numFmtId="0" fontId="22" fillId="0" borderId="0" xfId="0" applyFont="1" applyNumberFormat="1">
      <alignment horizontal="right" vertical="center" wrapText="1"/>
    </xf>
    <xf numFmtId="0" fontId="0" fillId="0" borderId="12" xfId="0" applyFont="1" applyBorder="1" applyNumberFormat="1">
      <alignment horizontal="center" vertical="center" wrapText="1"/>
    </xf>
    <xf numFmtId="0" fontId="80" fillId="35" borderId="19" xfId="0" applyFont="1" applyFill="1" applyBorder="1" applyNumberFormat="1">
      <alignment horizontal="center" vertical="center" wrapText="1"/>
    </xf>
    <xf numFmtId="0" fontId="22" fillId="35" borderId="12" xfId="0" applyFont="1" applyFill="1" applyBorder="1" applyNumberFormat="1">
      <alignment horizontal="left" vertical="center" wrapText="1"/>
    </xf>
    <xf numFmtId="4" fontId="22" fillId="34" borderId="12" xfId="0" applyFont="1" applyFill="1" applyBorder="1" applyNumberFormat="1">
      <alignment horizontal="left" vertical="center" wrapText="1"/>
    </xf>
    <xf numFmtId="0" fontId="22" fillId="0" borderId="0" xfId="0" applyFont="1" applyNumberFormat="1">
      <alignment horizontal="center" vertical="center" wrapText="1"/>
    </xf>
    <xf numFmtId="0" fontId="47" fillId="0" borderId="0" xfId="0" applyFont="1" applyNumberFormat="1">
      <alignment horizontal="center" vertical="center" wrapText="1"/>
    </xf>
    <xf numFmtId="0" fontId="48" fillId="0" borderId="0" xfId="0" applyFont="1" applyNumberFormat="1">
      <alignment horizontal="center" vertical="center" wrapText="1"/>
    </xf>
    <xf numFmtId="504" fontId="0" fillId="39" borderId="12" xfId="0" applyFont="1" applyFill="1" applyBorder="1" applyNumberFormat="1">
      <alignment horizontal="center" vertical="center" wrapText="1"/>
      <protection locked="0"/>
    </xf>
    <xf numFmtId="49" fontId="22" fillId="0" borderId="12" xfId="0" applyFont="1" applyBorder="1" applyNumberFormat="1">
      <alignment horizontal="left" vertical="center" wrapText="1"/>
    </xf>
    <xf numFmtId="49" fontId="101" fillId="37" borderId="14" xfId="0" applyFont="1" applyFill="1" applyBorder="1" applyNumberFormat="1">
      <alignment horizontal="left" vertical="center"/>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47" fillId="0" borderId="0" xfId="0" applyFont="1" applyNumberFormat="1">
      <alignment horizontal="left" vertical="center"/>
    </xf>
    <xf numFmtId="49" fontId="32" fillId="0" borderId="0" xfId="0" applyFont="1" applyNumberFormat="1">
      <alignment vertical="top"/>
    </xf>
    <xf numFmtId="49" fontId="0" fillId="0" borderId="24" xfId="0" applyFont="1" applyBorder="1" applyNumberFormat="1">
      <alignment vertical="top"/>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47" fillId="0" borderId="0" xfId="0" applyFont="1" applyNumberFormat="1">
      <alignment horizontal="left" vertical="center"/>
    </xf>
    <xf numFmtId="49" fontId="47" fillId="0" borderId="0" xfId="0" applyFont="1" applyNumberFormat="1">
      <alignment horizontal="left" vertical="top"/>
    </xf>
    <xf numFmtId="49" fontId="67" fillId="37" borderId="14" xfId="0" applyFont="1" applyFill="1" applyBorder="1" applyNumberFormat="1">
      <alignment horizontal="left" vertical="top"/>
    </xf>
    <xf numFmtId="49" fontId="109" fillId="37" borderId="15" xfId="0" applyFont="1" applyFill="1" applyBorder="1" applyNumberFormat="1">
      <alignment horizontal="left" vertical="center"/>
    </xf>
    <xf numFmtId="49" fontId="48" fillId="0" borderId="0" xfId="0" applyFont="1" applyNumberFormat="1">
      <alignment vertical="top"/>
    </xf>
    <xf numFmtId="0" fontId="22" fillId="0" borderId="0" xfId="0" applyFont="1" applyNumberFormat="1">
      <alignment horizontal="left" vertical="top" wrapText="1"/>
    </xf>
    <xf numFmtId="49" fontId="22" fillId="0" borderId="0" xfId="0" applyFont="1" applyNumberFormat="1">
      <alignment vertical="center" wrapText="1"/>
    </xf>
    <xf numFmtId="49" fontId="0" fillId="0" borderId="0" xfId="0" applyFont="1" applyNumberFormat="1">
      <alignment vertical="top"/>
    </xf>
    <xf numFmtId="49" fontId="0" fillId="0" borderId="12" xfId="0" applyFont="1" applyBorder="1" applyNumberFormat="1">
      <alignment vertical="top"/>
    </xf>
    <xf numFmtId="49" fontId="0" fillId="0" borderId="14" xfId="0" applyFont="1" applyBorder="1" applyNumberFormat="1">
      <alignment vertical="top"/>
    </xf>
    <xf numFmtId="49" fontId="0" fillId="0" borderId="12" xfId="0" applyFont="1" applyBorder="1" applyNumberFormat="1">
      <alignment horizontal="center" vertical="top"/>
    </xf>
    <xf numFmtId="49" fontId="0" fillId="0" borderId="14" xfId="0" applyFont="1" applyBorder="1" applyNumberFormat="1">
      <alignment horizontal="center" vertical="top"/>
    </xf>
    <xf numFmtId="49" fontId="0" fillId="0" borderId="12" xfId="0" applyFont="1" applyBorder="1" applyNumberFormat="1">
      <alignment vertical="top"/>
    </xf>
    <xf numFmtId="49" fontId="0" fillId="43" borderId="17" xfId="0" applyFont="1" applyFill="1" applyBorder="1" applyNumberFormat="1">
      <alignment vertical="top"/>
    </xf>
    <xf numFmtId="49" fontId="0" fillId="0" borderId="14" xfId="0" applyFont="1" applyBorder="1" applyNumberFormat="1">
      <alignment horizontal="center" vertical="top"/>
    </xf>
    <xf numFmtId="49" fontId="0" fillId="0" borderId="12" xfId="0" applyFont="1" applyBorder="1" applyNumberFormat="1">
      <alignment vertical="top"/>
    </xf>
    <xf numFmtId="49" fontId="0" fillId="0" borderId="14" xfId="0" applyFont="1" applyBorder="1" applyNumberFormat="1">
      <alignment vertical="top"/>
    </xf>
    <xf numFmtId="49" fontId="0" fillId="44" borderId="12" xfId="0" applyFont="1" applyFill="1" applyBorder="1" applyNumberFormat="1">
      <alignment vertical="top"/>
    </xf>
    <xf numFmtId="49" fontId="0" fillId="0" borderId="15" xfId="0" applyFont="1" applyBorder="1" applyNumberFormat="1">
      <alignment horizontal="center" vertical="top"/>
    </xf>
    <xf numFmtId="49" fontId="0" fillId="3" borderId="12" xfId="0" applyFont="1" applyFill="1" applyBorder="1" applyNumberFormat="1">
      <alignment vertical="top"/>
    </xf>
    <xf numFmtId="49" fontId="0" fillId="0" borderId="15" xfId="0" applyFont="1" applyBorder="1" applyNumberFormat="1">
      <alignment horizontal="center" vertical="top"/>
    </xf>
    <xf numFmtId="49" fontId="0" fillId="45" borderId="12" xfId="0" applyFont="1" applyFill="1" applyBorder="1" applyNumberFormat="1">
      <alignment vertical="top"/>
    </xf>
    <xf numFmtId="49" fontId="0" fillId="16" borderId="17" xfId="0" applyFont="1" applyFill="1" applyBorder="1" applyNumberFormat="1">
      <alignment vertical="top"/>
    </xf>
    <xf numFmtId="49" fontId="0" fillId="5" borderId="14" xfId="0" applyFont="1" applyFill="1" applyBorder="1" applyNumberFormat="1">
      <alignment vertical="top"/>
    </xf>
    <xf numFmtId="49" fontId="0" fillId="5" borderId="12" xfId="0" applyFont="1" applyFill="1" applyBorder="1" applyNumberFormat="1">
      <alignment vertical="top"/>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35" borderId="0" xfId="0" applyFont="1" applyFill="1" applyNumberFormat="1">
      <alignment vertical="top"/>
    </xf>
    <xf numFmtId="49" fontId="0" fillId="35" borderId="0" xfId="0" applyFont="1" applyFill="1" applyNumberFormat="1">
      <alignment vertical="top"/>
    </xf>
    <xf numFmtId="49" fontId="0" fillId="35" borderId="0" xfId="0" applyFont="1" applyFill="1" applyNumberFormat="1">
      <alignment vertical="top"/>
    </xf>
    <xf numFmtId="0" fontId="0" fillId="0" borderId="0" xfId="0" applyFont="1" applyNumberFormat="1">
      <alignment vertical="top"/>
    </xf>
    <xf numFmtId="0" fontId="0" fillId="0" borderId="0" xfId="0" applyFont="1" applyNumberFormat="1">
      <alignment vertical="top"/>
    </xf>
    <xf numFmtId="0" fontId="0" fillId="0" borderId="0" xfId="0" applyFont="1" applyNumberFormat="1"/>
    <xf numFmtId="0" fontId="1" fillId="0" borderId="0" xfId="0" applyFont="1" applyNumberFormat="1"/>
    <xf numFmtId="0" fontId="29" fillId="0" borderId="0" xfId="0" applyFont="1" applyNumberFormat="1"/>
    <xf numFmtId="49" fontId="22" fillId="34" borderId="10" xfId="0" applyFont="1" applyFill="1" applyBorder="1" applyNumberFormat="1">
      <alignment horizontal="center" vertical="top"/>
    </xf>
    <xf numFmtId="49" fontId="38" fillId="0" borderId="11" xfId="0" applyFont="1" applyBorder="1" applyNumberFormat="1">
      <alignment vertical="top" wrapText="1"/>
    </xf>
    <xf numFmtId="0" fontId="0" fillId="0" borderId="11" xfId="0" applyFont="1" applyBorder="1" applyNumberFormat="1">
      <alignment vertical="top" wrapText="1"/>
    </xf>
    <xf numFmtId="0" fontId="46" fillId="0" borderId="18" xfId="0" applyFont="1" applyBorder="1" applyNumberFormat="1">
      <alignment vertical="top" wrapText="1"/>
    </xf>
    <xf numFmtId="0" fontId="0" fillId="0" borderId="0" xfId="0" applyFont="1" applyNumberFormat="1">
      <alignment vertical="top"/>
    </xf>
    <xf numFmtId="0" fontId="0" fillId="0" borderId="12" xfId="0" applyFont="1" applyBorder="1" applyNumberFormat="1">
      <alignment vertical="top" wrapText="1"/>
    </xf>
    <xf numFmtId="49" fontId="0" fillId="0" borderId="12" xfId="0" applyFont="1" applyBorder="1" applyNumberFormat="1">
      <alignment vertical="top" wrapText="1"/>
    </xf>
    <xf numFmtId="49" fontId="0" fillId="0" borderId="17" xfId="0" applyFont="1" applyBorder="1" applyNumberFormat="1">
      <alignment vertical="top"/>
    </xf>
    <xf numFmtId="49" fontId="0" fillId="0" borderId="0" xfId="0" applyFont="1" applyNumberFormat="1">
      <alignment vertical="top"/>
    </xf>
    <xf numFmtId="0" fontId="50" fillId="0" borderId="11" xfId="0" applyFont="1" applyBorder="1" applyNumberFormat="1">
      <alignment vertical="center" wrapText="1"/>
    </xf>
    <xf numFmtId="0" fontId="46" fillId="0" borderId="0" xfId="0" applyFont="1" applyNumberFormat="1">
      <alignment vertical="top" wrapText="1"/>
    </xf>
    <xf numFmtId="0" fontId="22" fillId="0" borderId="11" xfId="0" applyFont="1" applyBorder="1" applyNumberFormat="1">
      <alignment vertical="center" wrapText="1"/>
    </xf>
    <xf numFmtId="0" fontId="115" fillId="0" borderId="0" xfId="0" applyFont="1" applyNumberForma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102" fillId="0" borderId="0" xfId="0" applyFont="1" applyNumberFormat="1">
      <alignment vertical="center" wrapText="1"/>
    </xf>
    <xf numFmtId="0" fontId="102" fillId="0" borderId="0" xfId="0" applyFont="1" applyNumberFormat="1">
      <alignment horizontal="left" vertical="center" wrapText="1"/>
    </xf>
    <xf numFmtId="49" fontId="117" fillId="0" borderId="0" xfId="0" applyFont="1" applyNumberFormat="1">
      <alignment wrapText="1"/>
    </xf>
    <xf numFmtId="0" fontId="102" fillId="0" borderId="0" xfId="0" applyFont="1" applyNumberFormat="1">
      <alignment vertical="center"/>
    </xf>
    <xf numFmtId="0" fontId="46" fillId="0" borderId="0" xfId="0" applyFont="1" applyNumberFormat="1">
      <alignment horizontal="left" vertical="top" wrapText="1"/>
    </xf>
    <xf numFmtId="49" fontId="22" fillId="0" borderId="0" xfId="0" applyFont="1" applyNumberFormat="1">
      <alignment vertical="top" wrapText="1"/>
    </xf>
    <xf numFmtId="0" fontId="46" fillId="56" borderId="63" xfId="0" applyFont="1" applyFill="1" applyBorder="1" applyNumberFormat="1">
      <alignment horizontal="center" vertical="center" wrapText="1"/>
    </xf>
    <xf numFmtId="0" fontId="46" fillId="56" borderId="64" xfId="0" applyFont="1" applyFill="1" applyBorder="1" applyNumberFormat="1">
      <alignment horizontal="center" vertical="center" wrapText="1"/>
    </xf>
    <xf numFmtId="0" fontId="46" fillId="56" borderId="65" xfId="0" applyFont="1" applyFill="1" applyBorder="1" applyNumberFormat="1">
      <alignment horizontal="center" vertical="center" wrapText="1"/>
    </xf>
    <xf numFmtId="0" fontId="66" fillId="0" borderId="0" xfId="0" applyFont="1" applyNumberFormat="1">
      <alignment wrapText="1"/>
    </xf>
    <xf numFmtId="0" fontId="46" fillId="46" borderId="38" xfId="0" applyFont="1" applyFill="1" applyBorder="1" applyNumberFormat="1">
      <alignment horizontal="right" vertical="center" wrapText="1" indent="1"/>
    </xf>
    <xf numFmtId="0" fontId="46" fillId="46" borderId="66" xfId="0" applyFont="1" applyFill="1" applyBorder="1" applyNumberFormat="1">
      <alignment horizontal="right" vertical="center" wrapText="1" indent="1"/>
    </xf>
    <xf numFmtId="0" fontId="118" fillId="0" borderId="0" xfId="0" applyFont="1" applyNumberFormat="1">
      <alignment horizontal="left" vertical="center" wrapText="1"/>
    </xf>
    <xf numFmtId="0" fontId="119" fillId="0" borderId="0" xfId="0" applyFont="1" applyNumberFormat="1">
      <alignment vertical="center" wrapText="1"/>
    </xf>
    <xf numFmtId="0" fontId="66" fillId="0" borderId="38" xfId="0" applyFont="1" applyBorder="1" applyNumberFormat="1">
      <alignment wrapText="1"/>
    </xf>
    <xf numFmtId="0" fontId="66" fillId="0" borderId="0" xfId="0" applyFont="1" applyNumberFormat="1"/>
    <xf numFmtId="0" fontId="118" fillId="0" borderId="0" xfId="0" applyFont="1" applyNumberFormat="1"/>
    <xf numFmtId="0" fontId="120" fillId="0" borderId="0" xfId="0" applyFont="1" applyNumberFormat="1">
      <alignment wrapText="1"/>
    </xf>
    <xf numFmtId="0" fontId="0" fillId="36" borderId="60" xfId="0" applyFont="1" applyFill="1" applyBorder="1" applyNumberFormat="1">
      <alignment horizontal="center" vertical="center" wrapText="1"/>
    </xf>
    <xf numFmtId="0" fontId="120" fillId="0" borderId="38" xfId="0" applyFont="1" applyBorder="1" applyNumberFormat="1">
      <alignment vertical="center" wrapText="1"/>
    </xf>
    <xf numFmtId="0" fontId="120" fillId="0" borderId="0" xfId="0" applyFont="1" applyNumberFormat="1">
      <alignment vertical="center" wrapText="1"/>
    </xf>
    <xf numFmtId="0" fontId="0" fillId="53" borderId="60" xfId="0" applyFont="1" applyFill="1" applyBorder="1" applyNumberFormat="1">
      <alignment horizontal="center" vertical="center" wrapText="1"/>
    </xf>
    <xf numFmtId="0" fontId="120" fillId="0" borderId="38" xfId="0" applyFont="1" applyBorder="1" applyNumberFormat="1">
      <alignment horizontal="left" vertical="center" wrapText="1"/>
    </xf>
    <xf numFmtId="0" fontId="120" fillId="0" borderId="0" xfId="0" applyFont="1" applyNumberFormat="1">
      <alignment horizontal="left" vertical="center" wrapText="1"/>
    </xf>
    <xf numFmtId="0" fontId="0" fillId="34" borderId="60" xfId="0" applyFont="1" applyFill="1" applyBorder="1" applyNumberFormat="1">
      <alignment horizontal="center" vertical="center" wrapText="1"/>
    </xf>
    <xf numFmtId="0" fontId="0" fillId="39" borderId="60" xfId="0" applyFont="1" applyFill="1" applyBorder="1" applyNumberFormat="1">
      <alignment horizontal="center" vertical="center" wrapText="1"/>
    </xf>
    <xf numFmtId="0" fontId="46" fillId="46" borderId="0" xfId="0" applyFont="1" applyFill="1" applyNumberFormat="1">
      <alignment horizontal="right" vertical="center" wrapText="1" indent="1"/>
    </xf>
    <xf numFmtId="0" fontId="118" fillId="0" borderId="38" xfId="0" applyFont="1" applyBorder="1" applyNumberFormat="1">
      <alignment horizontal="left" vertical="center" wrapText="1"/>
    </xf>
    <xf numFmtId="0" fontId="118" fillId="0" borderId="61" xfId="0" applyFont="1" applyBorder="1" applyNumberFormat="1">
      <alignment horizontal="left" vertical="center" wrapText="1"/>
    </xf>
    <xf numFmtId="0" fontId="46" fillId="46" borderId="60" xfId="0" applyFont="1" applyFill="1" applyBorder="1" applyNumberFormat="1">
      <alignment horizontal="right" vertical="center" wrapText="1" indent="1"/>
    </xf>
    <xf numFmtId="0" fontId="46" fillId="46" borderId="67" xfId="0" applyFont="1" applyFill="1" applyBorder="1" applyNumberFormat="1">
      <alignment horizontal="right" vertical="center" wrapText="1" indent="1"/>
    </xf>
    <xf numFmtId="0" fontId="120" fillId="0" borderId="0" xfId="0" applyFont="1" applyNumberFormat="1"/>
    <xf numFmtId="0" fontId="120" fillId="0" borderId="38" xfId="0" applyFont="1" applyBorder="1" applyNumberFormat="1">
      <alignment wrapText="1"/>
    </xf>
    <xf numFmtId="0" fontId="120" fillId="0" borderId="0" xfId="0" applyFont="1" applyNumberFormat="1">
      <alignment vertical="top" wrapText="1"/>
    </xf>
    <xf numFmtId="0" fontId="46" fillId="46" borderId="62" xfId="0" applyFont="1" applyFill="1" applyBorder="1" applyNumberFormat="1">
      <alignment horizontal="right" vertical="center" wrapText="1" indent="1"/>
    </xf>
    <xf numFmtId="0" fontId="46" fillId="46" borderId="39" xfId="0" applyFont="1" applyFill="1" applyBorder="1" applyNumberFormat="1">
      <alignment horizontal="right" vertical="center" wrapText="1" indent="1"/>
    </xf>
    <xf numFmtId="0" fontId="66" fillId="0" borderId="62" xfId="0" applyFont="1" applyBorder="1" applyNumberFormat="1">
      <alignment wrapText="1"/>
    </xf>
    <xf numFmtId="0" fontId="66" fillId="0" borderId="39" xfId="0" applyFont="1" applyBorder="1" applyNumberFormat="1">
      <alignment wrapText="1"/>
    </xf>
    <xf numFmtId="0" fontId="66" fillId="0" borderId="39" xfId="0" applyFont="1" applyBorder="1" applyNumberFormat="1">
      <alignment vertical="center" wrapText="1"/>
    </xf>
    <xf numFmtId="0" fontId="116" fillId="0" borderId="0" xfId="0" applyFont="1" applyNumberFormat="1"/>
    <xf numFmtId="49" fontId="66" fillId="0" borderId="0" xfId="0" applyFont="1" applyNumberFormat="1">
      <alignment vertical="top" wrapText="1"/>
    </xf>
    <xf numFmtId="0" fontId="29" fillId="0" borderId="0" xfId="0" applyFont="1" applyNumberFormat="1"/>
    <xf numFmtId="0" fontId="63" fillId="0" borderId="0" xfId="0" applyFont="1" applyNumberFormat="1">
      <alignment vertical="center" wrapText="1"/>
    </xf>
    <xf numFmtId="0" fontId="91" fillId="0" borderId="0" xfId="0" applyFont="1" applyNumberFormat="1">
      <alignment horizontal="left" vertical="center" wrapText="1"/>
    </xf>
    <xf numFmtId="0" fontId="63" fillId="0" borderId="0" xfId="0" applyFont="1" applyNumberFormat="1">
      <alignment horizontal="left" vertical="center" wrapText="1"/>
    </xf>
    <xf numFmtId="0" fontId="63" fillId="0" borderId="0" xfId="0" applyFont="1" applyNumberFormat="1">
      <alignment vertical="center" wrapText="1"/>
    </xf>
    <xf numFmtId="0" fontId="32" fillId="0" borderId="0" xfId="0" applyFont="1" applyNumberFormat="1">
      <alignment horizontal="center" vertical="center" wrapText="1"/>
    </xf>
    <xf numFmtId="0" fontId="32" fillId="0" borderId="0" xfId="0" applyFont="1" applyNumberFormat="1">
      <alignment vertical="center" wrapText="1"/>
    </xf>
    <xf numFmtId="0" fontId="48" fillId="0" borderId="0" xfId="0" applyFont="1" applyNumberFormat="1">
      <alignment vertical="center" wrapText="1"/>
    </xf>
    <xf numFmtId="0" fontId="32" fillId="0" borderId="0" xfId="0" applyFont="1" applyNumberFormat="1">
      <alignment vertical="center" wrapText="1"/>
    </xf>
    <xf numFmtId="0" fontId="32" fillId="0" borderId="0" xfId="0" applyFont="1" applyNumberFormat="1">
      <alignment horizontal="left" vertical="center" wrapText="1"/>
    </xf>
    <xf numFmtId="0" fontId="22" fillId="0" borderId="0" xfId="0" applyFont="1" applyNumberFormat="1">
      <alignment horizontal="left" vertical="top" indent="1"/>
    </xf>
    <xf numFmtId="49" fontId="66" fillId="0" borderId="0" xfId="0" applyFont="1" applyNumberFormat="1">
      <alignment vertical="top"/>
    </xf>
    <xf numFmtId="49" fontId="22" fillId="0" borderId="0" xfId="0" applyFont="1" applyNumberFormat="1">
      <alignment vertical="center" wrapText="1"/>
    </xf>
    <xf numFmtId="49" fontId="47" fillId="0" borderId="0" xfId="0" applyFont="1" applyNumberFormat="1">
      <alignment vertical="center" wrapText="1"/>
    </xf>
    <xf numFmtId="0" fontId="0" fillId="0" borderId="0" xfId="0" applyFont="1" applyNumberFormat="1">
      <alignment horizontal="left" vertical="center" indent="1"/>
    </xf>
    <xf numFmtId="49" fontId="0" fillId="0" borderId="0" xfId="0" applyFont="1" applyNumberFormat="1">
      <alignment vertical="top"/>
    </xf>
    <xf numFmtId="49" fontId="47" fillId="0" borderId="0" xfId="0" applyFont="1" applyNumberFormat="1">
      <alignment vertical="top"/>
    </xf>
    <xf numFmtId="49" fontId="0" fillId="0" borderId="0" xfId="0" applyFont="1" applyNumberFormat="1">
      <alignment vertical="top"/>
    </xf>
    <xf numFmtId="0" fontId="22" fillId="0" borderId="0" xfId="0" applyFont="1" applyNumberFormat="1">
      <alignment vertical="center" wrapText="1"/>
    </xf>
    <xf numFmtId="0" fontId="60" fillId="0" borderId="0" xfId="0" applyFont="1" applyNumberFormat="1">
      <alignment vertical="center" wrapText="1"/>
    </xf>
    <xf numFmtId="0" fontId="91" fillId="0" borderId="0" xfId="0" applyFont="1" applyNumberFormat="1">
      <alignment horizontal="left" vertical="center" wrapText="1"/>
    </xf>
    <xf numFmtId="0" fontId="58" fillId="0" borderId="0" xfId="0" applyFont="1" applyNumberFormat="1">
      <alignment horizontal="left" vertical="center" wrapText="1"/>
    </xf>
    <xf numFmtId="0" fontId="59" fillId="0" borderId="0" xfId="0" applyFont="1" applyNumberFormat="1">
      <alignment vertical="center" wrapText="1"/>
    </xf>
    <xf numFmtId="0" fontId="60" fillId="35" borderId="0" xfId="0" applyFont="1" applyFill="1" applyNumberFormat="1">
      <alignment vertical="center" wrapText="1"/>
    </xf>
    <xf numFmtId="0" fontId="60" fillId="0" borderId="0" xfId="0" applyFont="1" applyNumberFormat="1">
      <alignment vertical="center" wrapText="1"/>
    </xf>
    <xf numFmtId="0" fontId="60" fillId="0" borderId="0" xfId="0" applyFont="1" applyNumberFormat="1">
      <alignment horizontal="right" vertical="center"/>
    </xf>
    <xf numFmtId="0" fontId="22" fillId="0" borderId="0" xfId="0" applyFont="1" applyNumberFormat="1">
      <alignment horizontal="center" vertical="center" wrapText="1"/>
    </xf>
    <xf numFmtId="0" fontId="22" fillId="0" borderId="0" xfId="0" applyFont="1" applyNumberFormat="1">
      <alignment vertical="center" wrapText="1"/>
    </xf>
    <xf numFmtId="0" fontId="88" fillId="0" borderId="0" xfId="0" applyFont="1" applyNumberFormat="1">
      <alignment vertical="center" wrapText="1"/>
    </xf>
    <xf numFmtId="0" fontId="60" fillId="0" borderId="0" xfId="0" applyFont="1" applyNumberFormat="1">
      <alignment vertical="center" wrapText="1"/>
    </xf>
    <xf numFmtId="0" fontId="34" fillId="35" borderId="0" xfId="0" applyFont="1" applyFill="1" applyNumberFormat="1">
      <alignment vertical="center" wrapText="1"/>
    </xf>
    <xf numFmtId="0" fontId="22" fillId="0" borderId="13" xfId="0" applyFont="1" applyBorder="1" applyNumberFormat="1">
      <alignment horizontal="center" vertical="center" wrapText="1"/>
    </xf>
    <xf numFmtId="0" fontId="22" fillId="0" borderId="14" xfId="0" applyFont="1" applyBorder="1" applyNumberFormat="1">
      <alignment horizontal="center" vertical="center" wrapText="1"/>
    </xf>
    <xf numFmtId="0" fontId="50" fillId="35" borderId="0" xfId="0" applyFont="1" applyFill="1" applyNumberFormat="1">
      <alignment vertical="center" wrapText="1"/>
    </xf>
    <xf numFmtId="0" fontId="96" fillId="0" borderId="0" xfId="0" applyFont="1" applyNumberFormat="1">
      <alignment vertical="center" wrapText="1"/>
    </xf>
    <xf numFmtId="0" fontId="60" fillId="35" borderId="0" xfId="0" applyFont="1" applyFill="1" applyNumberFormat="1">
      <alignment horizontal="right" vertical="center" wrapText="1" indent="1"/>
    </xf>
    <xf numFmtId="0" fontId="62" fillId="35" borderId="0" xfId="0" applyFont="1" applyFill="1" applyNumberFormat="1">
      <alignment horizontal="center" vertical="center" wrapText="1"/>
    </xf>
    <xf numFmtId="0" fontId="22" fillId="35" borderId="26" xfId="0" applyFont="1" applyFill="1" applyBorder="1" applyNumberFormat="1">
      <alignment horizontal="right" vertical="center" wrapText="1" indent="1"/>
    </xf>
    <xf numFmtId="0" fontId="0" fillId="34" borderId="12" xfId="0" applyFont="1" applyFill="1" applyBorder="1" applyNumberFormat="1">
      <alignment horizontal="left" vertical="center" wrapText="1" indent="1"/>
    </xf>
    <xf numFmtId="14" fontId="91" fillId="35" borderId="0" xfId="0" applyFont="1" applyFill="1" applyNumberFormat="1">
      <alignment horizontal="left" vertical="center" wrapText="1"/>
    </xf>
    <xf numFmtId="0" fontId="58" fillId="35" borderId="0" xfId="0" applyFont="1" applyFill="1" applyNumberFormat="1">
      <alignment horizontal="center" vertical="center" wrapText="1"/>
    </xf>
    <xf numFmtId="0" fontId="60" fillId="35" borderId="0" xfId="0" applyFont="1" applyFill="1" applyNumberFormat="1">
      <alignment horizontal="left" vertical="center" wrapText="1" indent="1"/>
    </xf>
    <xf numFmtId="0" fontId="22" fillId="35" borderId="0" xfId="0" applyFont="1" applyFill="1" applyNumberFormat="1">
      <alignment horizontal="center" vertical="center" wrapText="1"/>
    </xf>
    <xf numFmtId="0" fontId="88" fillId="0" borderId="0" xfId="0" applyFont="1" applyNumberFormat="1">
      <alignment horizontal="center" vertical="center" wrapText="1"/>
    </xf>
    <xf numFmtId="0" fontId="22" fillId="0" borderId="0" xfId="0" applyFont="1" applyNumberFormat="1">
      <alignment vertical="center" wrapText="1"/>
    </xf>
    <xf numFmtId="0" fontId="33" fillId="0" borderId="0" xfId="0" applyFont="1" applyNumberFormat="1">
      <alignment vertical="center" wrapText="1"/>
    </xf>
    <xf numFmtId="0" fontId="34" fillId="35" borderId="0" xfId="0" applyFont="1" applyFill="1" applyNumberFormat="1">
      <alignment vertical="center" wrapText="1"/>
    </xf>
    <xf numFmtId="0" fontId="22" fillId="35" borderId="26" xfId="0" applyFont="1" applyFill="1" applyBorder="1" applyNumberFormat="1">
      <alignment horizontal="right" vertical="center" wrapText="1" indent="1"/>
    </xf>
    <xf numFmtId="0" fontId="22" fillId="39" borderId="12" xfId="0" applyFont="1" applyFill="1" applyBorder="1" applyNumberFormat="1">
      <alignment horizontal="left" vertical="top" wrapText="1" indent="1"/>
      <protection locked="0"/>
    </xf>
    <xf numFmtId="0" fontId="22" fillId="0" borderId="0" xfId="0" applyFont="1" applyNumberFormat="1">
      <alignment horizontal="left" vertical="center" wrapText="1"/>
    </xf>
    <xf numFmtId="0" fontId="47" fillId="0" borderId="0" xfId="0" applyFont="1" applyNumberFormat="1">
      <alignment vertical="center" wrapText="1"/>
    </xf>
    <xf numFmtId="0" fontId="58" fillId="0" borderId="0" xfId="0" applyFont="1" applyNumberFormat="1">
      <alignment horizontal="left" vertical="center" wrapText="1"/>
    </xf>
    <xf numFmtId="0" fontId="59" fillId="0" borderId="0" xfId="0" applyFont="1" applyNumberFormat="1">
      <alignment vertical="center" wrapText="1"/>
    </xf>
    <xf numFmtId="49" fontId="22" fillId="40" borderId="12" xfId="0" applyFont="1" applyFill="1" applyBorder="1" applyNumberFormat="1">
      <alignment horizontal="left" vertical="center" wrapText="1" indent="1"/>
    </xf>
    <xf numFmtId="0" fontId="60" fillId="0" borderId="0" xfId="0" applyFont="1" applyNumberFormat="1">
      <alignment vertical="center" wrapText="1"/>
    </xf>
    <xf numFmtId="14" fontId="93" fillId="0" borderId="12" xfId="0" applyFont="1" applyBorder="1" applyNumberFormat="1">
      <alignment horizontal="center" vertical="center" wrapText="1"/>
    </xf>
    <xf numFmtId="504" fontId="0" fillId="39" borderId="12" xfId="0" applyFont="1" applyFill="1" applyBorder="1" applyNumberFormat="1">
      <alignment horizontal="left" vertical="center" wrapText="1" indent="1"/>
      <protection locked="0"/>
    </xf>
    <xf numFmtId="0" fontId="53" fillId="0" borderId="0" xfId="0" applyFont="1" applyNumberFormat="1">
      <alignment horizontal="left" vertical="center" indent="1"/>
    </xf>
    <xf numFmtId="0" fontId="22" fillId="35" borderId="0" xfId="0" applyFont="1" applyFill="1" applyNumberFormat="1">
      <alignment vertical="center" wrapText="1"/>
    </xf>
    <xf numFmtId="14" fontId="93" fillId="0" borderId="12" xfId="0" applyFont="1" applyBorder="1" applyNumberFormat="1">
      <alignment horizontal="left" vertical="center" wrapText="1"/>
    </xf>
    <xf numFmtId="49" fontId="22" fillId="35" borderId="26" xfId="0" applyFont="1" applyFill="1" applyBorder="1" applyNumberFormat="1">
      <alignment horizontal="right" vertical="center" wrapText="1" indent="1"/>
    </xf>
    <xf numFmtId="504" fontId="0" fillId="39" borderId="12" xfId="0" applyFont="1" applyFill="1" applyBorder="1" applyNumberFormat="1">
      <alignment horizontal="left" vertical="center" wrapText="1" indent="1"/>
      <protection locked="0"/>
    </xf>
    <xf numFmtId="49" fontId="47" fillId="0" borderId="0" xfId="0" applyFont="1" applyNumberFormat="1">
      <alignment vertical="center" wrapText="1"/>
    </xf>
    <xf numFmtId="0" fontId="0" fillId="39" borderId="12"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504" fontId="0" fillId="0" borderId="12" xfId="0" applyFont="1" applyBorder="1" applyNumberFormat="1">
      <alignment horizontal="left" vertical="center" wrapText="1" indent="1"/>
    </xf>
    <xf numFmtId="0" fontId="0" fillId="35" borderId="0" xfId="0" applyFont="1" applyFill="1" applyNumberFormat="1">
      <alignment horizontal="right" vertical="center" wrapText="1" indent="1"/>
    </xf>
    <xf numFmtId="0" fontId="96" fillId="0" borderId="0" xfId="0" applyFont="1" applyNumberFormat="1">
      <alignment horizontal="left" vertical="center" wrapText="1"/>
    </xf>
    <xf numFmtId="0" fontId="22" fillId="35" borderId="0" xfId="0" applyFont="1" applyFill="1" applyNumberFormat="1">
      <alignment horizontal="right" vertical="center" wrapText="1" indent="1"/>
    </xf>
    <xf numFmtId="0" fontId="22" fillId="0" borderId="0" xfId="0" applyFont="1" applyNumberFormat="1">
      <alignment horizontal="center" vertical="center" wrapText="1"/>
    </xf>
    <xf numFmtId="0" fontId="22" fillId="35" borderId="0" xfId="0" applyFont="1" applyFill="1" applyNumberFormat="1">
      <alignment horizontal="center" vertical="center" wrapText="1"/>
    </xf>
    <xf numFmtId="504" fontId="0" fillId="39" borderId="12" xfId="0" applyFont="1" applyFill="1" applyBorder="1" applyNumberFormat="1">
      <alignment horizontal="left" vertical="center" wrapText="1" indent="1"/>
      <protection locked="0"/>
    </xf>
    <xf numFmtId="0" fontId="0" fillId="35" borderId="0" xfId="0" applyFont="1" applyFill="1" applyNumberFormat="1">
      <alignment horizontal="left" vertical="center" wrapText="1" indent="1"/>
    </xf>
    <xf numFmtId="49" fontId="22" fillId="39" borderId="12" xfId="0" applyFont="1" applyFill="1" applyBorder="1" applyNumberFormat="1">
      <alignment horizontal="left" vertical="center" wrapText="1" indent="1"/>
      <protection locked="0"/>
    </xf>
    <xf numFmtId="49" fontId="22" fillId="0" borderId="12" xfId="0" applyFont="1" applyBorder="1" applyNumberFormat="1">
      <alignment horizontal="left" vertical="center" wrapText="1" indent="1"/>
    </xf>
    <xf numFmtId="0" fontId="33" fillId="0" borderId="0" xfId="0" applyFont="1" applyNumberFormat="1">
      <alignment horizontal="center" vertical="center" wrapText="1"/>
    </xf>
    <xf numFmtId="0" fontId="35" fillId="35" borderId="0" xfId="0" applyFont="1" applyFill="1" applyNumberFormat="1">
      <alignment horizontal="center" vertical="center" wrapText="1"/>
    </xf>
    <xf numFmtId="49" fontId="22" fillId="34" borderId="12" xfId="0" applyFont="1" applyFill="1" applyBorder="1" applyNumberFormat="1">
      <alignment horizontal="left" vertical="center" wrapText="1" indent="1"/>
    </xf>
    <xf numFmtId="14" fontId="22" fillId="35" borderId="0" xfId="0" applyFont="1" applyFill="1" applyNumberFormat="1">
      <alignment horizontal="center" vertical="center" wrapText="1"/>
    </xf>
    <xf numFmtId="0" fontId="0" fillId="35" borderId="26" xfId="0" applyFont="1" applyFill="1" applyBorder="1" applyNumberFormat="1">
      <alignment horizontal="right" vertical="center" wrapText="1" indent="1"/>
    </xf>
    <xf numFmtId="0" fontId="22" fillId="0" borderId="0" xfId="0" applyFont="1" applyNumberFormat="1">
      <alignment vertical="center"/>
    </xf>
    <xf numFmtId="14" fontId="22" fillId="35" borderId="0" xfId="0" applyFont="1" applyFill="1" applyNumberFormat="1">
      <alignment horizontal="left" vertical="center" wrapText="1"/>
    </xf>
    <xf numFmtId="0" fontId="22" fillId="39" borderId="12" xfId="0" applyFont="1" applyFill="1" applyBorder="1" applyNumberFormat="1">
      <alignment horizontal="left" vertical="center" wrapText="1" indent="1"/>
      <protection locked="0"/>
    </xf>
    <xf numFmtId="0" fontId="61" fillId="35" borderId="0" xfId="0" applyFont="1" applyFill="1" applyNumberFormat="1">
      <alignment horizontal="right" vertical="center" wrapText="1" indent="1"/>
    </xf>
    <xf numFmtId="0" fontId="61" fillId="35" borderId="0" xfId="0" applyFont="1" applyFill="1" applyNumberFormat="1">
      <alignment horizontal="left" vertical="center" wrapText="1" indent="1"/>
    </xf>
    <xf numFmtId="49" fontId="22" fillId="40" borderId="12" xfId="0" applyFont="1" applyFill="1" applyBorder="1" applyNumberFormat="1">
      <alignment horizontal="left" vertical="center" wrapText="1" indent="1"/>
    </xf>
    <xf numFmtId="0" fontId="60" fillId="35" borderId="0" xfId="0" applyFont="1" applyFill="1" applyNumberFormat="1">
      <alignment vertical="center" wrapText="1"/>
    </xf>
    <xf numFmtId="0" fontId="61" fillId="35" borderId="0" xfId="0" applyFont="1" applyFill="1" applyNumberFormat="1">
      <alignment horizontal="right" vertical="center" wrapText="1" indent="1"/>
    </xf>
    <xf numFmtId="0" fontId="32" fillId="0" borderId="0" xfId="0" applyFont="1" applyNumberFormat="1">
      <alignment horizontal="left" vertical="center" wrapText="1"/>
    </xf>
    <xf numFmtId="49" fontId="124" fillId="0" borderId="12" xfId="0" applyFont="1" applyBorder="1" applyNumberFormat="1">
      <alignment horizontal="left" vertical="center" wrapText="1" indent="1"/>
    </xf>
    <xf numFmtId="0" fontId="32" fillId="0" borderId="0" xfId="0" applyFont="1" applyNumberFormat="1">
      <alignment horizontal="left" vertical="center" wrapText="1"/>
    </xf>
    <xf numFmtId="14" fontId="92" fillId="0" borderId="0" xfId="0" applyFont="1" applyNumberFormat="1">
      <alignment horizontal="center" vertical="center" wrapText="1"/>
    </xf>
    <xf numFmtId="0" fontId="33" fillId="0" borderId="0" xfId="0" applyFont="1" applyNumberFormat="1">
      <alignment vertical="center" wrapText="1"/>
    </xf>
    <xf numFmtId="0" fontId="32" fillId="0" borderId="0" xfId="0" applyFont="1" applyNumberFormat="1">
      <alignment horizontal="center" vertical="center" wrapText="1"/>
    </xf>
    <xf numFmtId="0" fontId="22" fillId="0" borderId="0" xfId="0" applyFont="1" applyNumberFormat="1">
      <alignment horizontal="center" vertical="center" wrapText="1"/>
    </xf>
    <xf numFmtId="0" fontId="47" fillId="0" borderId="0" xfId="0" applyFont="1" applyNumberFormat="1">
      <alignment horizontal="center" vertical="center" wrapText="1"/>
    </xf>
    <xf numFmtId="0" fontId="47" fillId="0" borderId="0" xfId="0" applyFont="1" applyNumberFormat="1">
      <alignment vertical="center" wrapText="1"/>
    </xf>
    <xf numFmtId="0" fontId="83" fillId="0" borderId="0" xfId="0" applyFont="1" applyNumberFormat="1">
      <alignment vertical="center" wrapText="1"/>
    </xf>
    <xf numFmtId="0" fontId="22" fillId="0" borderId="0" xfId="0" applyFont="1" applyNumberFormat="1">
      <alignment vertical="center" wrapText="1"/>
    </xf>
    <xf numFmtId="0" fontId="22" fillId="40" borderId="12" xfId="0" applyFont="1" applyFill="1" applyBorder="1" applyNumberFormat="1">
      <alignment horizontal="left" vertical="center" wrapText="1" indent="1"/>
    </xf>
    <xf numFmtId="504" fontId="0" fillId="0" borderId="11" xfId="0" applyFont="1" applyBorder="1" applyNumberFormat="1">
      <alignment horizontal="left" vertical="center" wrapText="1" indent="1"/>
    </xf>
    <xf numFmtId="0" fontId="22" fillId="40" borderId="12" xfId="0" applyFont="1" applyFill="1" applyBorder="1" applyNumberFormat="1">
      <alignment horizontal="left" vertical="center" wrapText="1" indent="1"/>
    </xf>
    <xf numFmtId="0" fontId="22" fillId="39" borderId="12" xfId="0" applyFont="1" applyFill="1" applyBorder="1" applyNumberFormat="1">
      <alignment horizontal="left" vertical="center" wrapText="1" indent="1"/>
      <protection locked="0"/>
    </xf>
    <xf numFmtId="49" fontId="22" fillId="40" borderId="12" xfId="0" applyFont="1" applyFill="1" applyBorder="1" applyNumberFormat="1">
      <alignment horizontal="left" vertical="center" wrapText="1" indent="1"/>
    </xf>
    <xf numFmtId="0" fontId="91" fillId="0" borderId="0" xfId="0" applyFont="1" applyNumberFormat="1">
      <alignment horizontal="left" vertical="center" wrapText="1"/>
    </xf>
    <xf numFmtId="49" fontId="32" fillId="0" borderId="0" xfId="0" applyFont="1" applyNumberFormat="1">
      <alignment horizontal="left" vertical="center" wrapText="1"/>
    </xf>
    <xf numFmtId="49" fontId="34" fillId="35" borderId="0" xfId="0" applyFont="1" applyFill="1" applyNumberFormat="1">
      <alignment horizontal="center" vertical="center" wrapText="1"/>
    </xf>
    <xf numFmtId="0" fontId="22" fillId="0" borderId="0" xfId="0" applyFont="1" applyNumberFormat="1">
      <alignment horizontal="left" vertical="center" wrapText="1" indent="4"/>
    </xf>
    <xf numFmtId="0" fontId="22" fillId="0" borderId="0" xfId="0" applyFont="1" applyNumberFormat="1">
      <alignment horizontal="left" vertical="center" wrapText="1" indent="1"/>
    </xf>
    <xf numFmtId="49" fontId="22" fillId="39" borderId="12" xfId="0" applyFont="1" applyFill="1" applyBorder="1" applyNumberFormat="1">
      <alignment horizontal="left" vertical="center" wrapText="1" indent="1"/>
      <protection locked="0"/>
    </xf>
    <xf numFmtId="49" fontId="27" fillId="39" borderId="12" xfId="0" applyFont="1" applyFill="1" applyBorder="1" applyNumberFormat="1">
      <alignment horizontal="left" vertical="center" wrapText="1" indent="1"/>
      <protection locked="0"/>
    </xf>
    <xf numFmtId="0" fontId="0" fillId="0" borderId="0" xfId="0" applyFont="1" applyNumberFormat="1">
      <alignment horizontal="center" vertical="center" wrapText="1"/>
    </xf>
    <xf numFmtId="49" fontId="22" fillId="35" borderId="0" xfId="0" applyFont="1" applyFill="1" applyNumberFormat="1">
      <alignment horizontal="right" vertical="center" wrapText="1" indent="1"/>
    </xf>
    <xf numFmtId="49" fontId="47" fillId="0" borderId="0" xfId="0" applyFont="1" applyNumberFormat="1">
      <alignment horizontal="center" vertical="center" wrapText="1"/>
    </xf>
    <xf numFmtId="49" fontId="22" fillId="0" borderId="0" xfId="0" applyFont="1" applyNumberFormat="1">
      <alignment horizontal="center" vertical="center" wrapText="1"/>
    </xf>
    <xf numFmtId="49" fontId="0" fillId="35" borderId="0" xfId="0" applyFont="1" applyFill="1" applyNumberFormat="1">
      <alignment horizontal="right" vertical="center" wrapText="1" indent="1"/>
    </xf>
    <xf numFmtId="0" fontId="50" fillId="0" borderId="0" xfId="0" applyFont="1" applyNumberFormat="1">
      <alignment vertical="top" wrapText="1"/>
    </xf>
    <xf numFmtId="0" fontId="33" fillId="0" borderId="0" xfId="0" applyFont="1" applyNumberFormat="1">
      <alignment vertical="center" wrapText="1"/>
    </xf>
    <xf numFmtId="0" fontId="91" fillId="0" borderId="0" xfId="0" applyFont="1" applyNumberFormat="1">
      <alignment horizontal="left" vertical="center" wrapText="1"/>
    </xf>
    <xf numFmtId="0" fontId="32" fillId="0" borderId="0" xfId="0" applyFont="1" applyNumberFormat="1">
      <alignment horizontal="left" vertical="center" wrapText="1"/>
    </xf>
    <xf numFmtId="0" fontId="33" fillId="0" borderId="0" xfId="0" applyFont="1" applyNumberFormat="1">
      <alignment vertical="center" wrapText="1"/>
    </xf>
    <xf numFmtId="0" fontId="22" fillId="0" borderId="0" xfId="0" applyFont="1" applyNumberFormat="1">
      <alignment horizontal="center" vertical="center" wrapText="1"/>
    </xf>
    <xf numFmtId="0" fontId="32" fillId="0" borderId="0" xfId="0" applyFont="1" applyNumberFormat="1">
      <alignment horizontal="center" vertical="center" wrapText="1"/>
    </xf>
    <xf numFmtId="0" fontId="47" fillId="0" borderId="0" xfId="0" applyFont="1" applyNumberFormat="1">
      <alignment vertical="center" wrapText="1"/>
    </xf>
    <xf numFmtId="0" fontId="48" fillId="0" borderId="0" xfId="0" applyFont="1" applyNumberFormat="1">
      <alignment vertical="center" wrapText="1"/>
    </xf>
    <xf numFmtId="0" fontId="72" fillId="0" borderId="0" xfId="0" applyFont="1" applyNumberFormat="1">
      <alignment vertical="center" wrapText="1"/>
    </xf>
    <xf numFmtId="0" fontId="48" fillId="0" borderId="0" xfId="0" applyFont="1" applyNumberFormat="1">
      <alignment vertical="center" wrapText="1"/>
    </xf>
    <xf numFmtId="0" fontId="48" fillId="0" borderId="0" xfId="0" applyFont="1" applyNumberFormat="1">
      <alignment horizontal="center" vertical="center" wrapText="1"/>
    </xf>
    <xf numFmtId="0" fontId="48" fillId="0" borderId="0" xfId="0" applyFont="1" applyNumberFormat="1">
      <alignment horizontal="left" vertical="center" indent="1"/>
    </xf>
    <xf numFmtId="0" fontId="48" fillId="0" borderId="0" xfId="0" applyFont="1" applyNumberFormat="1">
      <alignment horizontal="center" vertical="center" wrapText="1"/>
    </xf>
    <xf numFmtId="0" fontId="48" fillId="0" borderId="0" xfId="0" applyFont="1" applyNumberFormat="1">
      <alignment horizontal="left" vertical="center" wrapText="1" indent="1"/>
    </xf>
    <xf numFmtId="0" fontId="48" fillId="0" borderId="0" xfId="0" applyFont="1" applyNumberFormat="1">
      <alignment horizontal="left" vertical="center" indent="1"/>
    </xf>
    <xf numFmtId="0" fontId="48" fillId="0" borderId="0" xfId="0" applyFont="1" applyNumberFormat="1">
      <alignment vertical="center" wrapText="1"/>
    </xf>
    <xf numFmtId="0" fontId="56" fillId="0" borderId="0" xfId="0" applyFont="1" applyNumberFormat="1">
      <alignment vertical="center" wrapText="1"/>
    </xf>
    <xf numFmtId="0" fontId="22" fillId="0" borderId="0" xfId="0" applyFont="1" applyNumberFormat="1">
      <alignment horizontal="left" vertical="center" wrapText="1" indent="1"/>
    </xf>
    <xf numFmtId="0" fontId="47" fillId="0" borderId="0" xfId="0" applyFont="1" applyNumberFormat="1">
      <alignment horizontal="left" vertical="center" wrapText="1" indent="1"/>
    </xf>
    <xf numFmtId="0" fontId="56" fillId="0" borderId="0" xfId="0" applyFont="1" applyNumberFormat="1">
      <alignment horizontal="left" vertical="center" wrapText="1" indent="1"/>
    </xf>
    <xf numFmtId="0" fontId="57" fillId="0" borderId="0" xfId="0" applyFont="1" applyNumberFormat="1">
      <alignment horizontal="left" vertical="center" indent="1"/>
    </xf>
    <xf numFmtId="0" fontId="56" fillId="0" borderId="0" xfId="0" applyFont="1" applyNumberFormat="1">
      <alignment vertical="center" wrapText="1"/>
    </xf>
    <xf numFmtId="0" fontId="42" fillId="0" borderId="0" xfId="0" applyFont="1" applyNumberFormat="1">
      <alignment vertical="center" wrapText="1"/>
    </xf>
    <xf numFmtId="0" fontId="22" fillId="0" borderId="0" xfId="0" applyFont="1" applyNumberFormat="1">
      <alignment vertical="center" wrapText="1"/>
    </xf>
    <xf numFmtId="0" fontId="47" fillId="0" borderId="0" xfId="0" applyFont="1" applyNumberFormat="1">
      <alignment vertical="center" wrapText="1"/>
    </xf>
    <xf numFmtId="0" fontId="37" fillId="0" borderId="0" xfId="0" applyFont="1" applyNumberFormat="1">
      <alignment horizontal="center" vertical="center" wrapText="1"/>
    </xf>
    <xf numFmtId="0" fontId="22" fillId="0" borderId="0" xfId="0" applyFont="1" applyNumberFormat="1">
      <alignment vertical="center" wrapText="1"/>
    </xf>
    <xf numFmtId="0" fontId="22" fillId="0" borderId="0" xfId="0" applyFont="1" applyNumberFormat="1">
      <alignment vertical="center" wrapText="1"/>
    </xf>
    <xf numFmtId="0" fontId="22" fillId="0" borderId="0" xfId="0" applyFont="1" applyNumberFormat="1">
      <alignment horizontal="right" vertical="center" wrapText="1"/>
    </xf>
    <xf numFmtId="0" fontId="48" fillId="0" borderId="0" xfId="0" applyFont="1" applyNumberFormat="1">
      <alignment vertical="center"/>
    </xf>
    <xf numFmtId="0" fontId="48" fillId="0" borderId="0" xfId="0" applyFont="1" applyNumberFormat="1">
      <alignment vertical="center"/>
    </xf>
    <xf numFmtId="0" fontId="55" fillId="0" borderId="0" xfId="0" applyFont="1" applyNumberFormat="1">
      <alignment vertical="center"/>
    </xf>
    <xf numFmtId="0" fontId="42" fillId="0" borderId="0" xfId="0" applyFont="1" applyNumberFormat="1">
      <alignment vertical="center" wrapText="1"/>
    </xf>
    <xf numFmtId="0" fontId="22" fillId="0" borderId="15" xfId="0" applyFont="1" applyBorder="1" applyNumberFormat="1">
      <alignment horizontal="left" vertical="center" wrapText="1" indent="1"/>
    </xf>
    <xf numFmtId="4" fontId="22" fillId="0" borderId="0" xfId="0" applyFont="1" applyNumberFormat="1">
      <alignment horizontal="right" vertical="center" wrapText="1"/>
    </xf>
    <xf numFmtId="0" fontId="22" fillId="0" borderId="0" xfId="0" applyFont="1" applyNumberFormat="1">
      <alignment horizontal="left" vertical="center" wrapText="1" indent="1"/>
    </xf>
    <xf numFmtId="49" fontId="22" fillId="0" borderId="0" xfId="0" applyFont="1" applyNumberFormat="1">
      <alignment vertical="top"/>
    </xf>
    <xf numFmtId="49" fontId="47" fillId="0" borderId="0" xfId="0" applyFont="1" applyNumberFormat="1">
      <alignment vertical="top"/>
    </xf>
    <xf numFmtId="49" fontId="22" fillId="0" borderId="0" xfId="0" applyFont="1" applyNumberFormat="1">
      <alignment vertical="top"/>
    </xf>
    <xf numFmtId="49" fontId="22" fillId="0" borderId="0" xfId="0" applyFont="1" applyNumberFormat="1">
      <alignment horizontal="center" vertical="center" wrapText="1"/>
    </xf>
    <xf numFmtId="4" fontId="22" fillId="0" borderId="0" xfId="0" applyFont="1" applyNumberFormat="1">
      <alignment horizontal="center" vertical="center" wrapText="1"/>
    </xf>
    <xf numFmtId="0" fontId="22" fillId="0" borderId="0" xfId="0" applyFont="1" applyNumberFormat="1">
      <alignment vertical="center" wrapText="1"/>
    </xf>
    <xf numFmtId="0" fontId="22" fillId="0" borderId="14" xfId="0" applyFont="1" applyBorder="1" applyNumberFormat="1">
      <alignment horizontal="center" vertical="center" wrapText="1"/>
    </xf>
    <xf numFmtId="0" fontId="22" fillId="0" borderId="15" xfId="0" applyFont="1" applyBorder="1" applyNumberFormat="1">
      <alignment horizontal="center" vertical="center" wrapText="1"/>
    </xf>
    <xf numFmtId="0" fontId="22" fillId="0" borderId="13" xfId="0" applyFont="1" applyBorder="1" applyNumberFormat="1">
      <alignment horizontal="center" vertical="center" wrapText="1"/>
    </xf>
    <xf numFmtId="4" fontId="22" fillId="0" borderId="12" xfId="0" applyFont="1" applyBorder="1" applyNumberFormat="1">
      <alignment horizontal="center" vertical="center" wrapText="1"/>
    </xf>
    <xf numFmtId="501" fontId="22" fillId="0" borderId="14" xfId="0" applyFont="1" applyBorder="1" applyNumberFormat="1">
      <alignment horizontal="center" vertical="center" wrapText="1"/>
    </xf>
    <xf numFmtId="501" fontId="22" fillId="0" borderId="12" xfId="0" applyFont="1" applyBorder="1" applyNumberFormat="1">
      <alignment horizontal="center" vertical="center" wrapText="1"/>
    </xf>
    <xf numFmtId="0" fontId="36" fillId="0" borderId="0" xfId="0" applyFont="1" applyNumberFormat="1">
      <alignment horizontal="center" vertical="center" wrapText="1"/>
    </xf>
    <xf numFmtId="49" fontId="36" fillId="0" borderId="15" xfId="0" applyFont="1" applyBorder="1" applyNumberFormat="1">
      <alignment horizontal="center" vertical="center" wrapText="1"/>
    </xf>
    <xf numFmtId="49" fontId="36" fillId="0" borderId="15" xfId="0" applyFont="1" applyBorder="1" applyNumberFormat="1">
      <alignment horizontal="center" vertical="center" wrapText="1"/>
    </xf>
    <xf numFmtId="0" fontId="47" fillId="0" borderId="0" xfId="0" applyFont="1" applyNumberFormat="1">
      <alignment vertical="center"/>
    </xf>
    <xf numFmtId="0" fontId="47" fillId="0" borderId="0" xfId="0" applyFont="1" applyNumberFormat="1">
      <alignment vertical="center"/>
    </xf>
    <xf numFmtId="0" fontId="54" fillId="0" borderId="0" xfId="0" applyFont="1" applyNumberFormat="1">
      <alignment vertical="center"/>
    </xf>
    <xf numFmtId="49" fontId="22" fillId="37" borderId="19" xfId="0" applyFont="1" applyFill="1" applyBorder="1" applyNumberFormat="1">
      <alignment horizontal="center" vertical="center" wrapText="1"/>
    </xf>
    <xf numFmtId="49" fontId="47" fillId="37" borderId="19" xfId="0" applyFont="1" applyFill="1" applyBorder="1" applyNumberFormat="1">
      <alignment horizontal="left" vertical="center" wrapText="1"/>
    </xf>
    <xf numFmtId="49" fontId="47" fillId="37" borderId="20" xfId="0" applyFont="1" applyFill="1" applyBorder="1" applyNumberFormat="1">
      <alignment horizontal="left" vertical="center" wrapText="1"/>
    </xf>
    <xf numFmtId="0" fontId="48" fillId="0" borderId="22" xfId="0" applyFont="1" applyBorder="1" applyNumberFormat="1">
      <alignment vertical="center"/>
    </xf>
    <xf numFmtId="0" fontId="22" fillId="0" borderId="0" xfId="0" applyFont="1" applyNumberFormat="1">
      <alignment horizontal="center" vertical="center" wrapText="1"/>
    </xf>
    <xf numFmtId="0" fontId="37" fillId="0" borderId="0" xfId="0" applyFont="1" applyNumberFormat="1">
      <alignment horizontal="center" vertical="center" wrapText="1"/>
    </xf>
    <xf numFmtId="0" fontId="22" fillId="0" borderId="12" xfId="0" applyFont="1" applyBorder="1" applyNumberFormat="1">
      <alignment horizontal="center" vertical="center" wrapText="1"/>
    </xf>
    <xf numFmtId="0" fontId="48" fillId="0" borderId="12" xfId="0" applyFont="1" applyBorder="1" applyNumberFormat="1">
      <alignment horizontal="center" vertical="center" wrapText="1"/>
    </xf>
    <xf numFmtId="49" fontId="22" fillId="39" borderId="12" xfId="0" applyFont="1" applyFill="1" applyBorder="1" applyNumberFormat="1">
      <alignment vertical="center" wrapText="1"/>
      <protection locked="0"/>
    </xf>
    <xf numFmtId="49" fontId="47" fillId="0" borderId="12" xfId="0" applyFont="1" applyBorder="1" applyNumberFormat="1">
      <alignment horizontal="left" vertical="center" wrapText="1"/>
    </xf>
    <xf numFmtId="0" fontId="48" fillId="0" borderId="0" xfId="0" applyFont="1" applyNumberFormat="1">
      <alignment vertical="center"/>
    </xf>
    <xf numFmtId="0" fontId="48" fillId="0" borderId="0" xfId="0" applyFont="1" applyNumberFormat="1">
      <alignment vertical="center"/>
    </xf>
    <xf numFmtId="0" fontId="42" fillId="0" borderId="0" xfId="0" applyFont="1" applyNumberFormat="1">
      <alignment vertical="center" wrapText="1"/>
    </xf>
    <xf numFmtId="49" fontId="0" fillId="0" borderId="0" xfId="0" applyFont="1" applyNumberFormat="1">
      <alignment vertical="top"/>
    </xf>
    <xf numFmtId="0" fontId="36" fillId="0" borderId="24" xfId="0" applyFont="1" applyBorder="1" applyNumberFormat="1">
      <alignment vertical="top" wrapText="1"/>
    </xf>
    <xf numFmtId="0" fontId="22" fillId="0" borderId="23" xfId="0" applyFont="1" applyBorder="1" applyNumberFormat="1">
      <alignment horizontal="center" vertical="center" wrapText="1"/>
    </xf>
    <xf numFmtId="0" fontId="48" fillId="0" borderId="23" xfId="0" applyFont="1" applyBorder="1" applyNumberFormat="1">
      <alignment horizontal="center" vertical="center" wrapText="1"/>
    </xf>
    <xf numFmtId="14" fontId="22" fillId="40" borderId="23" xfId="0" applyFont="1" applyFill="1" applyBorder="1" applyNumberFormat="1">
      <alignment horizontal="left" vertical="center" wrapText="1" indent="1"/>
    </xf>
    <xf numFmtId="49" fontId="22" fillId="34" borderId="23" xfId="0" applyFont="1" applyFill="1" applyBorder="1" applyNumberFormat="1">
      <alignment horizontal="center" vertical="center" wrapText="1"/>
    </xf>
    <xf numFmtId="0" fontId="74" fillId="0" borderId="0" xfId="0" applyFont="1" applyNumberFormat="1">
      <alignment vertical="center" wrapText="1"/>
    </xf>
    <xf numFmtId="49" fontId="47" fillId="0" borderId="0" xfId="0" applyFont="1" applyNumberFormat="1">
      <alignment vertical="top"/>
    </xf>
    <xf numFmtId="49" fontId="48" fillId="0" borderId="0" xfId="0" applyFont="1" applyNumberFormat="1">
      <alignment vertical="top"/>
    </xf>
    <xf numFmtId="49" fontId="0" fillId="0" borderId="0" xfId="0" applyFont="1" applyNumberFormat="1">
      <alignment vertical="top"/>
    </xf>
    <xf numFmtId="0" fontId="0" fillId="0" borderId="0" xfId="0" applyFont="1" applyNumberFormat="1">
      <alignment vertical="center" wrapText="1"/>
    </xf>
    <xf numFmtId="0" fontId="36" fillId="0" borderId="0" xfId="0" applyFont="1" applyNumberFormat="1">
      <alignment vertical="top" wrapText="1"/>
    </xf>
    <xf numFmtId="49" fontId="50" fillId="37" borderId="14" xfId="0" applyFont="1" applyFill="1" applyBorder="1" applyNumberFormat="1">
      <alignment horizontal="right" vertical="center" wrapText="1"/>
    </xf>
    <xf numFmtId="49" fontId="50" fillId="37" borderId="15" xfId="0" applyFont="1" applyFill="1" applyBorder="1" applyNumberFormat="1">
      <alignment horizontal="right" vertical="center" wrapText="1"/>
    </xf>
    <xf numFmtId="49" fontId="40" fillId="37" borderId="15" xfId="0" applyFont="1" applyFill="1" applyBorder="1" applyNumberFormat="1">
      <alignment horizontal="left" vertical="center" indent="1"/>
    </xf>
    <xf numFmtId="49" fontId="0" fillId="37" borderId="15" xfId="0" applyFont="1" applyFill="1" applyBorder="1" applyNumberFormat="1">
      <alignment horizontal="right" vertical="center" wrapText="1"/>
    </xf>
    <xf numFmtId="49" fontId="0" fillId="37" borderId="13" xfId="0" applyFont="1" applyFill="1" applyBorder="1" applyNumberFormat="1">
      <alignment horizontal="right" vertical="center" wrapText="1"/>
    </xf>
    <xf numFmtId="49" fontId="22" fillId="37" borderId="14"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40" fillId="37" borderId="15" xfId="0" applyFont="1" applyFill="1" applyBorder="1" applyNumberFormat="1">
      <alignment horizontal="left" vertical="center"/>
    </xf>
    <xf numFmtId="49" fontId="22" fillId="37" borderId="13" xfId="0" applyFont="1" applyFill="1" applyBorder="1" applyNumberFormat="1">
      <alignment horizontal="right" vertical="center" wrapText="1"/>
    </xf>
    <xf numFmtId="0" fontId="37" fillId="0" borderId="0" xfId="0" applyFont="1" applyNumberFormat="1">
      <alignment horizontal="center" vertical="center" wrapText="1"/>
    </xf>
    <xf numFmtId="0" fontId="22" fillId="0" borderId="21" xfId="0" applyFont="1" applyBorder="1" applyNumberFormat="1">
      <alignment vertical="center" wrapText="1"/>
    </xf>
    <xf numFmtId="0" fontId="45" fillId="0" borderId="0" xfId="0" applyFont="1" applyNumberFormat="1">
      <alignment vertical="center" wrapText="1"/>
    </xf>
    <xf numFmtId="0" fontId="94" fillId="0" borderId="0" xfId="0" applyFont="1" applyNumberFormat="1">
      <alignment vertical="center" wrapText="1"/>
    </xf>
    <xf numFmtId="0" fontId="51" fillId="0" borderId="0" xfId="0" applyFont="1" applyNumberFormat="1">
      <alignment horizontal="center" vertical="center" wrapText="1"/>
    </xf>
    <xf numFmtId="0" fontId="45" fillId="0" borderId="0" xfId="0" applyFont="1" applyNumberFormat="1">
      <alignment vertical="center" wrapText="1"/>
    </xf>
    <xf numFmtId="49" fontId="0" fillId="0" borderId="0" xfId="0" applyFont="1" applyNumberFormat="1">
      <alignment vertical="top"/>
    </xf>
    <xf numFmtId="0" fontId="37" fillId="0" borderId="0" xfId="0" applyFont="1" applyNumberFormat="1">
      <alignment horizontal="center" vertical="center" wrapText="1"/>
    </xf>
    <xf numFmtId="0" fontId="48" fillId="0" borderId="0" xfId="0" applyFont="1" applyNumberFormat="1">
      <alignment vertical="center"/>
    </xf>
    <xf numFmtId="0" fontId="55" fillId="0" borderId="0" xfId="0" applyFont="1" applyNumberFormat="1">
      <alignment vertical="center"/>
    </xf>
    <xf numFmtId="0" fontId="0" fillId="0" borderId="0" xfId="0" applyFont="1" applyNumberFormat="1">
      <alignment vertical="center"/>
    </xf>
    <xf numFmtId="0" fontId="22" fillId="0" borderId="0" xfId="0" applyFont="1" applyNumberFormat="1">
      <alignment vertical="center"/>
    </xf>
    <xf numFmtId="0" fontId="22" fillId="0" borderId="20" xfId="0" applyFont="1" applyBorder="1" applyNumberFormat="1">
      <alignment horizontal="left" vertical="center" wrapText="1" indent="1"/>
    </xf>
    <xf numFmtId="0" fontId="22" fillId="0" borderId="17" xfId="0" applyFont="1" applyBorder="1" applyNumberFormat="1">
      <alignment horizontal="left" vertical="center" wrapText="1" indent="1"/>
    </xf>
    <xf numFmtId="0" fontId="22" fillId="0" borderId="37" xfId="0" applyFont="1" applyBorder="1" applyNumberFormat="1">
      <alignment horizontal="left" vertical="center" wrapText="1" indent="1"/>
    </xf>
    <xf numFmtId="0" fontId="47" fillId="0" borderId="0" xfId="0" applyFont="1" applyNumberFormat="1">
      <alignment vertical="center"/>
    </xf>
    <xf numFmtId="0" fontId="41" fillId="0" borderId="0" xfId="0" applyFont="1" applyNumberFormat="1">
      <alignment vertical="center"/>
    </xf>
    <xf numFmtId="0" fontId="22" fillId="0" borderId="29" xfId="0" applyFont="1" applyBorder="1" applyNumberFormat="1">
      <alignment horizontal="left" vertical="center" indent="1"/>
    </xf>
    <xf numFmtId="0" fontId="22" fillId="0" borderId="23" xfId="0" applyFont="1" applyBorder="1" applyNumberFormat="1">
      <alignment horizontal="left" vertical="center" indent="1"/>
    </xf>
    <xf numFmtId="0" fontId="22" fillId="0" borderId="30" xfId="0" applyFont="1" applyBorder="1" applyNumberFormat="1">
      <alignment horizontal="left" vertical="center" indent="1"/>
    </xf>
    <xf numFmtId="0" fontId="86" fillId="0" borderId="0" xfId="0" applyFont="1" applyNumberFormat="1">
      <alignment vertical="center"/>
    </xf>
    <xf numFmtId="0" fontId="49" fillId="0" borderId="0" xfId="0" applyFont="1" applyNumberFormat="1">
      <alignment vertical="center"/>
    </xf>
    <xf numFmtId="0" fontId="108" fillId="0" borderId="0" xfId="0" applyFont="1" applyNumberFormat="1">
      <alignment vertical="center"/>
    </xf>
    <xf numFmtId="0" fontId="41" fillId="0" borderId="0" xfId="0" applyFont="1" applyNumberFormat="1">
      <alignment vertical="center"/>
    </xf>
    <xf numFmtId="0" fontId="22" fillId="0" borderId="0" xfId="0" applyFont="1" applyNumberFormat="1">
      <alignment horizontal="center" vertical="center" wrapText="1"/>
    </xf>
    <xf numFmtId="0" fontId="22" fillId="0" borderId="0" xfId="0" applyFont="1" applyNumberFormat="1">
      <alignment vertical="center" wrapText="1"/>
    </xf>
    <xf numFmtId="0" fontId="86" fillId="0" borderId="0" xfId="0" applyFont="1" applyNumberFormat="1">
      <alignment vertical="center"/>
    </xf>
    <xf numFmtId="0" fontId="49" fillId="0" borderId="0" xfId="0" applyFont="1" applyNumberFormat="1">
      <alignment vertical="center"/>
    </xf>
    <xf numFmtId="0" fontId="108" fillId="0" borderId="0" xfId="0" applyFont="1" applyNumberFormat="1">
      <alignment vertical="center"/>
    </xf>
    <xf numFmtId="0" fontId="41" fillId="0" borderId="0" xfId="0" applyFont="1" applyNumberFormat="1">
      <alignment vertical="center"/>
    </xf>
    <xf numFmtId="0" fontId="0" fillId="0" borderId="0" xfId="0" applyFont="1" applyNumberFormat="1">
      <alignment horizontal="left" vertical="center" wrapText="1" indent="2"/>
    </xf>
    <xf numFmtId="0" fontId="0" fillId="0" borderId="0" xfId="0" applyFont="1" applyNumberFormat="1">
      <alignment horizontal="left" vertical="center" indent="2"/>
    </xf>
    <xf numFmtId="0" fontId="31" fillId="0" borderId="0" xfId="0" applyFont="1" applyNumberFormat="1">
      <alignment vertical="center"/>
    </xf>
    <xf numFmtId="0" fontId="22" fillId="42" borderId="0" xfId="0" applyFont="1" applyFill="1" applyNumberFormat="1">
      <alignment horizontal="center" vertical="center" wrapText="1"/>
    </xf>
    <xf numFmtId="0" fontId="22" fillId="0" borderId="0" xfId="0" applyFont="1" applyNumberFormat="1">
      <alignment vertical="center" wrapText="1"/>
    </xf>
    <xf numFmtId="0" fontId="22" fillId="0" borderId="12" xfId="0" applyFont="1" applyBorder="1" applyNumberFormat="1">
      <alignment horizontal="center" vertical="center" wrapText="1"/>
    </xf>
    <xf numFmtId="0" fontId="75" fillId="0" borderId="37" xfId="0" applyFont="1" applyBorder="1" applyNumberFormat="1">
      <alignment horizontal="center" vertical="center" wrapText="1"/>
    </xf>
    <xf numFmtId="0" fontId="75" fillId="0" borderId="19" xfId="0" applyFont="1" applyBorder="1" applyNumberFormat="1">
      <alignment horizontal="center" vertical="center" wrapText="1"/>
    </xf>
    <xf numFmtId="0" fontId="75" fillId="0" borderId="12" xfId="0" applyFont="1" applyBorder="1" applyNumberFormat="1">
      <alignment horizontal="center" vertical="center" wrapText="1"/>
    </xf>
    <xf numFmtId="0" fontId="22" fillId="0" borderId="0" xfId="0" applyFont="1" applyNumberFormat="1">
      <alignment horizontal="center" vertical="center" wrapText="1"/>
    </xf>
    <xf numFmtId="0" fontId="82" fillId="0" borderId="0" xfId="0" applyFont="1" applyNumberFormat="1">
      <alignment horizontal="center" vertical="center" wrapText="1"/>
    </xf>
    <xf numFmtId="0" fontId="22" fillId="0" borderId="12" xfId="0" applyFont="1" applyBorder="1" applyNumberFormat="1">
      <alignment horizontal="center" vertical="center" wrapText="1"/>
    </xf>
    <xf numFmtId="0" fontId="22" fillId="0" borderId="71" xfId="0" applyFont="1" applyBorder="1" applyNumberFormat="1">
      <alignment horizontal="center" vertical="center" wrapText="1"/>
    </xf>
    <xf numFmtId="0" fontId="22" fillId="0" borderId="72" xfId="0" applyFont="1" applyBorder="1" applyNumberFormat="1">
      <alignment horizontal="center" vertical="center" wrapText="1"/>
    </xf>
    <xf numFmtId="0" fontId="47" fillId="0" borderId="22" xfId="0" applyFont="1" applyBorder="1" applyNumberFormat="1">
      <alignment vertical="center"/>
    </xf>
    <xf numFmtId="0" fontId="0" fillId="0" borderId="0" xfId="0" applyFont="1" applyNumberFormat="1">
      <alignment vertical="center"/>
    </xf>
    <xf numFmtId="49" fontId="36" fillId="0" borderId="0" xfId="0" applyFont="1" applyNumberFormat="1">
      <alignment horizontal="center" vertical="center" wrapText="1"/>
    </xf>
    <xf numFmtId="49" fontId="36" fillId="0" borderId="12" xfId="0" applyFont="1" applyBorder="1" applyNumberFormat="1">
      <alignment horizontal="center" vertical="center" wrapText="1"/>
    </xf>
    <xf numFmtId="49" fontId="36" fillId="0" borderId="69" xfId="0" applyFont="1" applyBorder="1" applyNumberFormat="1">
      <alignment horizontal="center" vertical="center" wrapText="1"/>
    </xf>
    <xf numFmtId="49" fontId="36" fillId="0" borderId="70" xfId="0" applyFont="1" applyBorder="1" applyNumberFormat="1">
      <alignment horizontal="center" vertical="center" wrapText="1"/>
    </xf>
    <xf numFmtId="49" fontId="36" fillId="0" borderId="14" xfId="0" applyFont="1" applyBorder="1" applyNumberFormat="1">
      <alignment horizontal="center" vertical="center" wrapText="1"/>
    </xf>
    <xf numFmtId="49" fontId="36" fillId="0" borderId="13" xfId="0" applyFont="1" applyBorder="1" applyNumberFormat="1">
      <alignment horizontal="center" vertical="center" wrapText="1"/>
    </xf>
    <xf numFmtId="0" fontId="47" fillId="0" borderId="22" xfId="0" applyFont="1" applyBorder="1" applyNumberFormat="1">
      <alignment vertical="center"/>
    </xf>
    <xf numFmtId="0" fontId="48" fillId="0" borderId="0" xfId="0" applyFont="1" applyNumberFormat="1">
      <alignment vertical="center"/>
    </xf>
    <xf numFmtId="0" fontId="48" fillId="0" borderId="0" xfId="0" applyFont="1" applyNumberFormat="1">
      <alignment vertical="center"/>
    </xf>
    <xf numFmtId="0" fontId="22" fillId="0" borderId="0" xfId="0" applyFont="1" applyNumberFormat="1">
      <alignment vertical="center"/>
    </xf>
    <xf numFmtId="0" fontId="47" fillId="0" borderId="0" xfId="0" applyFont="1" applyNumberFormat="1">
      <alignment vertical="center"/>
    </xf>
    <xf numFmtId="0" fontId="0" fillId="0" borderId="0" xfId="0" applyFont="1" applyNumberFormat="1">
      <alignment vertical="center"/>
    </xf>
    <xf numFmtId="0" fontId="48" fillId="0" borderId="0" xfId="0" applyFont="1" applyNumberFormat="1">
      <alignment horizontal="center" vertical="center"/>
    </xf>
    <xf numFmtId="0" fontId="22" fillId="0" borderId="0" xfId="0" applyFont="1" applyNumberFormat="1">
      <alignment horizontal="center" vertical="center" wrapText="1"/>
    </xf>
    <xf numFmtId="0" fontId="22" fillId="37" borderId="14"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41" xfId="0" applyFont="1" applyFill="1" applyBorder="1" applyNumberFormat="1">
      <alignment horizontal="center" vertical="center" wrapText="1"/>
    </xf>
    <xf numFmtId="49" fontId="0" fillId="37" borderId="15" xfId="0" applyFont="1" applyFill="1" applyBorder="1" applyNumberFormat="1">
      <alignment horizontal="left" vertical="center"/>
    </xf>
    <xf numFmtId="0" fontId="0" fillId="37" borderId="13" xfId="0" applyFont="1" applyFill="1" applyBorder="1" applyNumberFormat="1">
      <alignment vertical="center"/>
    </xf>
    <xf numFmtId="49" fontId="0" fillId="0" borderId="0" xfId="0" applyFont="1" applyNumberFormat="1">
      <alignment vertical="top"/>
    </xf>
    <xf numFmtId="0" fontId="37"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pplyNumberFormat="1">
      <alignment horizontal="left" vertical="center" wrapText="1" indent="2"/>
    </xf>
    <xf numFmtId="49" fontId="22" fillId="40" borderId="23" xfId="0" applyFont="1" applyFill="1" applyBorder="1" applyNumberFormat="1">
      <alignment horizontal="center" vertical="center" wrapText="1"/>
    </xf>
    <xf numFmtId="14" fontId="81" fillId="0" borderId="68" xfId="0" applyFont="1" applyBorder="1" applyNumberFormat="1">
      <alignment horizontal="center" vertical="center" wrapText="1"/>
    </xf>
    <xf numFmtId="0" fontId="22" fillId="0" borderId="68" xfId="0" applyFont="1" applyBorder="1" applyNumberFormat="1">
      <alignment horizontal="center" vertical="center" wrapText="1"/>
    </xf>
    <xf numFmtId="0" fontId="22" fillId="40" borderId="17" xfId="0" applyFont="1" applyFill="1" applyBorder="1" applyNumberFormat="1">
      <alignment horizontal="left" vertical="center" wrapText="1" indent="1"/>
    </xf>
    <xf numFmtId="49" fontId="22" fillId="40" borderId="12" xfId="0" applyFont="1" applyFill="1" applyBorder="1" applyNumberFormat="1">
      <alignment horizontal="center" vertical="center" wrapText="1"/>
    </xf>
    <xf numFmtId="49" fontId="22" fillId="0" borderId="17" xfId="0" applyFont="1" applyBorder="1" applyNumberFormat="1">
      <alignment horizontal="center" vertical="center" wrapText="1"/>
    </xf>
    <xf numFmtId="49" fontId="22" fillId="0" borderId="12" xfId="0" applyFont="1" applyBorder="1" applyNumberFormat="1">
      <alignment horizontal="center" vertical="center" wrapText="1"/>
    </xf>
    <xf numFmtId="49" fontId="75" fillId="0" borderId="12" xfId="0" applyFont="1" applyBorder="1" applyNumberFormat="1">
      <alignment horizontal="left" vertical="center" wrapText="1" indent="1"/>
    </xf>
    <xf numFmtId="0" fontId="47" fillId="0" borderId="22" xfId="0" applyFont="1" applyBorder="1" applyNumberFormat="1">
      <alignment vertical="center"/>
    </xf>
    <xf numFmtId="0" fontId="48" fillId="0" borderId="0" xfId="0" applyFont="1" applyNumberFormat="1">
      <alignment vertical="center"/>
    </xf>
    <xf numFmtId="0" fontId="22" fillId="0" borderId="0" xfId="0" applyFont="1" applyNumberFormat="1">
      <alignment vertical="center"/>
    </xf>
    <xf numFmtId="0" fontId="47" fillId="0" borderId="0" xfId="0" applyFont="1" applyNumberFormat="1">
      <alignment vertical="center"/>
    </xf>
    <xf numFmtId="0" fontId="0" fillId="0" borderId="0" xfId="0" applyFont="1" applyNumberFormat="1">
      <alignment vertical="center"/>
    </xf>
    <xf numFmtId="0" fontId="22" fillId="40" borderId="36" xfId="0" applyFont="1" applyFill="1" applyBorder="1" applyNumberFormat="1">
      <alignment horizontal="left" vertical="center" wrapText="1" indent="2"/>
    </xf>
    <xf numFmtId="0" fontId="22" fillId="40" borderId="23" xfId="0" applyFont="1" applyFill="1" applyBorder="1" applyNumberFormat="1">
      <alignment horizontal="left" vertical="center" wrapText="1" indent="1"/>
    </xf>
    <xf numFmtId="49" fontId="40" fillId="37" borderId="13" xfId="0" applyFont="1" applyFill="1" applyBorder="1" applyNumberFormat="1">
      <alignment horizontal="left" vertical="center" indent="1"/>
    </xf>
    <xf numFmtId="0" fontId="22" fillId="40" borderId="23" xfId="0" applyFont="1" applyFill="1" applyBorder="1" applyNumberFormat="1">
      <alignment horizontal="left" vertical="center" wrapText="1" indent="2"/>
    </xf>
    <xf numFmtId="49" fontId="50" fillId="37" borderId="42" xfId="0" applyFont="1" applyFill="1" applyBorder="1" applyNumberFormat="1">
      <alignment horizontal="right" vertical="center" wrapText="1"/>
    </xf>
    <xf numFmtId="49" fontId="50" fillId="37" borderId="43" xfId="0" applyFont="1" applyFill="1" applyBorder="1" applyNumberFormat="1">
      <alignment horizontal="right" vertical="center" wrapText="1"/>
    </xf>
    <xf numFmtId="49" fontId="40" fillId="37" borderId="15" xfId="0" applyFont="1" applyFill="1" applyBorder="1" applyNumberFormat="1">
      <alignment horizontal="left" vertical="center" indent="1"/>
    </xf>
    <xf numFmtId="49" fontId="50" fillId="37" borderId="13" xfId="0" applyFont="1" applyFill="1" applyBorder="1" applyNumberFormat="1">
      <alignment horizontal="right" vertical="center" wrapText="1"/>
    </xf>
    <xf numFmtId="0" fontId="75" fillId="42" borderId="0" xfId="0" applyFont="1" applyFill="1" applyNumberFormat="1">
      <alignment vertical="top"/>
    </xf>
    <xf numFmtId="49" fontId="22" fillId="0" borderId="0" xfId="0" applyFont="1" applyNumberFormat="1">
      <alignment vertical="center" wrapText="1"/>
    </xf>
    <xf numFmtId="49" fontId="22" fillId="0" borderId="0" xfId="0" applyFont="1" applyNumberFormat="1">
      <alignment horizontal="center" vertical="center" wrapText="1"/>
    </xf>
    <xf numFmtId="49" fontId="40" fillId="37" borderId="15" xfId="0" applyFont="1" applyFill="1" applyBorder="1" applyNumberFormat="1">
      <alignment horizontal="left" vertical="center" indent="2"/>
    </xf>
    <xf numFmtId="0" fontId="22" fillId="0" borderId="0" xfId="0" applyFont="1" applyNumberFormat="1">
      <alignment vertical="center"/>
    </xf>
    <xf numFmtId="0" fontId="47" fillId="0" borderId="0" xfId="0" applyFont="1" applyNumberFormat="1">
      <alignment vertical="center"/>
    </xf>
    <xf numFmtId="0" fontId="22" fillId="0" borderId="0" xfId="0" applyFont="1" applyNumberFormat="1">
      <alignment vertical="center"/>
    </xf>
    <xf numFmtId="0" fontId="48" fillId="0" borderId="0" xfId="0" applyFont="1" applyNumberFormat="1">
      <alignment vertical="center"/>
    </xf>
    <xf numFmtId="0" fontId="0" fillId="0" borderId="0" xfId="0" applyFont="1" applyNumberFormat="1">
      <alignment vertical="center"/>
    </xf>
    <xf numFmtId="0" fontId="49" fillId="0" borderId="0" xfId="0" applyFont="1" applyNumberFormat="1">
      <alignment vertical="center"/>
    </xf>
    <xf numFmtId="0" fontId="22" fillId="0" borderId="20" xfId="0" applyFont="1" applyBorder="1" applyNumberFormat="1">
      <alignment horizontal="left" vertical="top" wrapText="1" indent="1"/>
    </xf>
    <xf numFmtId="0" fontId="22" fillId="0" borderId="17" xfId="0" applyFont="1" applyBorder="1" applyNumberFormat="1">
      <alignment horizontal="left" vertical="top" wrapText="1" indent="1"/>
    </xf>
    <xf numFmtId="0" fontId="22" fillId="0" borderId="37" xfId="0" applyFont="1" applyBorder="1" applyNumberFormat="1">
      <alignment horizontal="left" vertical="top" wrapText="1" indent="1"/>
    </xf>
    <xf numFmtId="0" fontId="64" fillId="0" borderId="0" xfId="0" applyFont="1" applyNumberFormat="1">
      <alignment vertical="center" wrapText="1"/>
    </xf>
    <xf numFmtId="0" fontId="46" fillId="0" borderId="0" xfId="0" applyFont="1" applyNumberFormat="1">
      <alignment vertical="center" wrapText="1"/>
    </xf>
    <xf numFmtId="0" fontId="46" fillId="0" borderId="0" xfId="0" applyFont="1" applyNumberFormat="1">
      <alignment vertical="center" wrapText="1"/>
    </xf>
    <xf numFmtId="0" fontId="108" fillId="0" borderId="0" xfId="0" applyFont="1" applyNumberFormat="1">
      <alignment vertical="center"/>
    </xf>
    <xf numFmtId="0" fontId="41" fillId="0" borderId="0" xfId="0" applyFont="1" applyNumberFormat="1">
      <alignment vertical="center"/>
    </xf>
    <xf numFmtId="0" fontId="22" fillId="0" borderId="27" xfId="0" applyFont="1" applyBorder="1" applyNumberFormat="1">
      <alignment horizontal="left" vertical="center" indent="1"/>
    </xf>
    <xf numFmtId="0" fontId="67" fillId="0" borderId="0" xfId="0" applyFont="1" applyNumberFormat="1">
      <alignment vertical="center"/>
    </xf>
    <xf numFmtId="0" fontId="48" fillId="0" borderId="0" xfId="0" applyFont="1" applyNumberFormat="1">
      <alignment vertical="center"/>
    </xf>
    <xf numFmtId="0" fontId="72" fillId="0" borderId="24" xfId="0" applyFont="1" applyBorder="1" applyNumberFormat="1">
      <alignment horizontal="left" vertical="center" wrapText="1" indent="1"/>
    </xf>
    <xf numFmtId="0" fontId="72" fillId="0" borderId="36" xfId="0" applyFont="1" applyBorder="1" applyNumberFormat="1">
      <alignment horizontal="left" vertical="center" wrapText="1" indent="1"/>
    </xf>
    <xf numFmtId="0" fontId="72" fillId="0" borderId="22" xfId="0" applyFont="1" applyBorder="1" applyNumberFormat="1">
      <alignment horizontal="left" vertical="center" wrapText="1" indent="1"/>
    </xf>
    <xf numFmtId="0" fontId="67" fillId="0" borderId="0" xfId="0" applyFont="1" applyNumberFormat="1">
      <alignment vertical="center"/>
    </xf>
    <xf numFmtId="0" fontId="22" fillId="0" borderId="0" xfId="0" applyFont="1" applyNumberFormat="1">
      <alignment vertical="center"/>
    </xf>
    <xf numFmtId="0" fontId="67" fillId="0" borderId="0" xfId="0" applyFont="1" applyNumberFormat="1">
      <alignment vertical="center"/>
    </xf>
    <xf numFmtId="0" fontId="31" fillId="0" borderId="0" xfId="0" applyFont="1" applyNumberFormat="1">
      <alignment vertical="center"/>
    </xf>
    <xf numFmtId="0" fontId="41" fillId="0" borderId="0" xfId="0" applyFont="1" applyNumberFormat="1">
      <alignment vertical="center"/>
    </xf>
    <xf numFmtId="0" fontId="0"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0" xfId="0" applyFont="1" applyNumberFormat="1">
      <alignment vertical="center"/>
    </xf>
    <xf numFmtId="49" fontId="48" fillId="35" borderId="0" xfId="0" applyFont="1" applyFill="1" applyNumberFormat="1">
      <alignment horizontal="center" vertical="center" wrapText="1"/>
    </xf>
    <xf numFmtId="49" fontId="48" fillId="35" borderId="27" xfId="0" applyFont="1" applyFill="1" applyBorder="1" applyNumberFormat="1">
      <alignment horizontal="center" vertical="center" wrapText="1"/>
    </xf>
    <xf numFmtId="0" fontId="48" fillId="0" borderId="0" xfId="0" applyFont="1" applyNumberFormat="1">
      <alignment vertical="center"/>
    </xf>
    <xf numFmtId="0" fontId="37" fillId="0" borderId="0" xfId="0" applyFont="1" applyNumberFormat="1">
      <alignment horizontal="center" vertical="center" wrapText="1"/>
    </xf>
    <xf numFmtId="0" fontId="48" fillId="0" borderId="12" xfId="0" applyFont="1" applyBorder="1" applyNumberFormat="1">
      <alignment horizontal="center" vertical="center"/>
    </xf>
    <xf numFmtId="0" fontId="22" fillId="0" borderId="12" xfId="0" applyFont="1" applyBorder="1" applyNumberFormat="1">
      <alignment horizontal="center" vertical="center" wrapText="1"/>
    </xf>
    <xf numFmtId="0" fontId="0" fillId="0" borderId="12" xfId="0" applyFont="1" applyBorder="1" applyNumberFormat="1">
      <alignment horizontal="center" vertical="center"/>
    </xf>
    <xf numFmtId="49" fontId="22" fillId="0" borderId="12" xfId="0" applyFont="1" applyBorder="1" applyNumberFormat="1">
      <alignment horizontal="center" vertical="center" wrapText="1"/>
    </xf>
    <xf numFmtId="49" fontId="22" fillId="0" borderId="12" xfId="0" applyFont="1" applyBorder="1" applyNumberFormat="1">
      <alignment horizontal="center" vertical="center" wrapText="1"/>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12" xfId="0" applyFont="1" applyBorder="1" applyNumberFormat="1">
      <alignment horizontal="center" vertical="center" wrapText="1"/>
    </xf>
    <xf numFmtId="49" fontId="22" fillId="0" borderId="12" xfId="0" applyFont="1" applyBorder="1" applyNumberFormat="1">
      <alignment horizontal="center" vertical="center" wrapText="1"/>
    </xf>
    <xf numFmtId="49" fontId="0" fillId="0" borderId="12" xfId="0" applyFont="1" applyBorder="1" applyNumberFormat="1">
      <alignment horizontal="left" vertical="center"/>
    </xf>
    <xf numFmtId="0" fontId="0" fillId="0" borderId="0" xfId="0" applyFont="1" applyNumberFormat="1">
      <alignment vertical="center"/>
    </xf>
    <xf numFmtId="49" fontId="0" fillId="0" borderId="0" xfId="0" applyFont="1" applyNumberFormat="1">
      <alignment vertical="center"/>
    </xf>
    <xf numFmtId="0" fontId="0" fillId="0" borderId="12" xfId="0" applyFont="1" applyBorder="1" applyNumberFormat="1">
      <alignment horizontal="center" vertical="top"/>
    </xf>
    <xf numFmtId="0" fontId="22" fillId="0" borderId="12" xfId="0" applyFont="1" applyBorder="1" applyNumberFormat="1">
      <alignment horizontal="left" vertical="top" wrapText="1"/>
    </xf>
    <xf numFmtId="0" fontId="22" fillId="40" borderId="17" xfId="0" applyFont="1" applyFill="1" applyBorder="1" applyNumberFormat="1">
      <alignment horizontal="center" vertical="top" wrapText="1"/>
    </xf>
    <xf numFmtId="0" fontId="0" fillId="0" borderId="37" xfId="0" applyFont="1" applyBorder="1" applyNumberFormat="1">
      <alignment horizontal="center" vertical="center"/>
    </xf>
    <xf numFmtId="0" fontId="0" fillId="0" borderId="19" xfId="0" applyFont="1" applyBorder="1" applyNumberFormat="1">
      <alignment horizontal="center" vertical="center"/>
    </xf>
    <xf numFmtId="49" fontId="22"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0" fillId="0" borderId="19" xfId="0" applyFont="1" applyBorder="1" applyNumberFormat="1">
      <alignment horizontal="left"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22" fillId="0" borderId="20" xfId="0" applyFont="1" applyBorder="1" applyNumberFormat="1">
      <alignment horizontal="left" vertical="center" wrapText="1"/>
    </xf>
    <xf numFmtId="0" fontId="22" fillId="0" borderId="0" xfId="0" applyFont="1" applyNumberFormat="1">
      <alignment horizontal="left" vertical="center" indent="1"/>
    </xf>
    <xf numFmtId="0" fontId="0" fillId="0" borderId="0" xfId="0" applyFont="1" applyNumberFormat="1">
      <alignment vertical="center"/>
    </xf>
    <xf numFmtId="0" fontId="0" fillId="0" borderId="0" xfId="0" applyFont="1" applyNumberFormat="1">
      <alignment vertical="center"/>
    </xf>
    <xf numFmtId="0" fontId="22" fillId="40" borderId="36" xfId="0" applyFont="1" applyFill="1" applyBorder="1" applyNumberFormat="1">
      <alignment horizontal="center" vertical="top" wrapText="1"/>
    </xf>
    <xf numFmtId="0" fontId="0" fillId="0" borderId="22" xfId="0" applyFont="1" applyBorder="1" applyNumberFormat="1">
      <alignment horizontal="center" vertical="center"/>
    </xf>
    <xf numFmtId="0" fontId="0" fillId="0" borderId="0" xfId="0" applyFont="1" applyNumberFormat="1">
      <alignment horizontal="center" vertical="center"/>
    </xf>
    <xf numFmtId="49" fontId="22" fillId="0" borderId="0" xfId="0" applyFont="1" applyNumberFormat="1">
      <alignment horizontal="left" vertical="center" wrapText="1"/>
    </xf>
    <xf numFmtId="49" fontId="22" fillId="0" borderId="0" xfId="0" applyFont="1" applyNumberFormat="1">
      <alignment horizontal="center" vertical="center" wrapText="1"/>
    </xf>
    <xf numFmtId="0" fontId="0" fillId="0" borderId="0" xfId="0" applyFont="1" applyNumberFormat="1">
      <alignment horizontal="left" vertical="center" wrapText="1"/>
    </xf>
    <xf numFmtId="49" fontId="0" fillId="0" borderId="0" xfId="0" applyFont="1" applyNumberFormat="1">
      <alignment horizontal="left" vertical="center" wrapText="1"/>
    </xf>
    <xf numFmtId="0" fontId="40" fillId="0" borderId="0" xfId="0" applyFont="1" applyNumberFormat="1">
      <alignment horizontal="left" vertical="center"/>
    </xf>
    <xf numFmtId="0" fontId="40" fillId="0" borderId="24" xfId="0" applyFont="1" applyBorder="1" applyNumberFormat="1">
      <alignment horizontal="left" vertical="center"/>
    </xf>
    <xf numFmtId="49" fontId="0" fillId="0" borderId="0" xfId="0" applyFont="1" applyNumberFormat="1">
      <alignment horizontal="left" vertical="top"/>
    </xf>
    <xf numFmtId="49" fontId="22" fillId="0" borderId="0" xfId="0" applyFont="1" applyNumberFormat="1">
      <alignment horizontal="center" vertical="center" wrapText="1"/>
    </xf>
    <xf numFmtId="0" fontId="0" fillId="0" borderId="0" xfId="0" applyFont="1" applyNumberFormat="1">
      <alignment vertical="center"/>
    </xf>
    <xf numFmtId="0" fontId="0" fillId="0" borderId="0" xfId="0" applyFont="1" applyNumberFormat="1">
      <alignment vertical="center"/>
    </xf>
    <xf numFmtId="49" fontId="0" fillId="0" borderId="12" xfId="0" applyFont="1" applyBorder="1" applyNumberFormat="1">
      <alignment vertical="top"/>
    </xf>
    <xf numFmtId="49" fontId="0" fillId="0" borderId="12" xfId="0" applyFont="1" applyBorder="1" applyNumberFormat="1">
      <alignment horizontal="left" vertical="top"/>
    </xf>
    <xf numFmtId="0" fontId="22" fillId="40" borderId="23" xfId="0" applyFont="1" applyFill="1" applyBorder="1" applyNumberFormat="1">
      <alignment horizontal="center" vertical="top" wrapText="1"/>
    </xf>
    <xf numFmtId="0" fontId="40" fillId="0" borderId="30" xfId="0" applyFont="1" applyBorder="1" applyNumberFormat="1">
      <alignment horizontal="left" vertical="center"/>
    </xf>
    <xf numFmtId="0" fontId="40" fillId="0" borderId="27" xfId="0" applyFont="1" applyBorder="1" applyNumberFormat="1">
      <alignment horizontal="left" vertical="center"/>
    </xf>
    <xf numFmtId="0" fontId="0" fillId="0" borderId="27" xfId="0" applyFont="1" applyBorder="1" applyNumberFormat="1">
      <alignment vertical="center"/>
    </xf>
    <xf numFmtId="0" fontId="40" fillId="0" borderId="29" xfId="0" applyFont="1" applyBorder="1" applyNumberFormat="1">
      <alignment horizontal="left" vertical="center"/>
    </xf>
    <xf numFmtId="0" fontId="22" fillId="39" borderId="12" xfId="0" applyFont="1" applyFill="1" applyBorder="1" applyNumberFormat="1">
      <alignment horizontal="left" vertical="top" wrapText="1"/>
      <protection locked="0"/>
    </xf>
    <xf numFmtId="0" fontId="22" fillId="40" borderId="12" xfId="0" applyFont="1" applyFill="1" applyBorder="1" applyNumberFormat="1">
      <alignment horizontal="left" vertical="top" wrapText="1"/>
    </xf>
    <xf numFmtId="0" fontId="0" fillId="0" borderId="12" xfId="0" applyFont="1" applyBorder="1" applyNumberFormat="1">
      <alignment horizontal="center" vertical="center"/>
    </xf>
    <xf numFmtId="49" fontId="22" fillId="36" borderId="12" xfId="0" applyFont="1" applyFill="1" applyBorder="1" applyNumberFormat="1">
      <alignment horizontal="left" vertical="center" wrapText="1"/>
      <protection locked="0"/>
    </xf>
    <xf numFmtId="49" fontId="22" fillId="40" borderId="17" xfId="0" applyFont="1" applyFill="1" applyBorder="1" applyNumberFormat="1">
      <alignment horizontal="center" vertical="center" wrapText="1"/>
    </xf>
    <xf numFmtId="49" fontId="22" fillId="0" borderId="12" xfId="0" applyFont="1" applyBorder="1" applyNumberFormat="1">
      <alignment horizontal="center" vertical="center" wrapText="1"/>
    </xf>
    <xf numFmtId="0" fontId="0" fillId="40" borderId="12" xfId="0" applyFont="1" applyFill="1" applyBorder="1" applyNumberFormat="1">
      <alignment horizontal="left" vertical="center" wrapText="1"/>
    </xf>
    <xf numFmtId="49" fontId="0" fillId="35" borderId="12" xfId="0" applyFont="1" applyFill="1" applyBorder="1" applyNumberFormat="1">
      <alignment horizontal="left" vertical="center" wrapText="1"/>
    </xf>
    <xf numFmtId="49" fontId="22" fillId="40" borderId="12" xfId="0" applyFont="1" applyFill="1" applyBorder="1" applyNumberFormat="1">
      <alignment horizontal="center" vertical="center" wrapText="1"/>
    </xf>
    <xf numFmtId="49" fontId="22" fillId="0" borderId="0" xfId="0" applyFont="1" applyNumberFormat="1">
      <alignment horizontal="left" vertical="center" indent="1"/>
    </xf>
    <xf numFmtId="0" fontId="0" fillId="0" borderId="0" xfId="0" applyFont="1" applyNumberFormat="1">
      <alignment vertical="center"/>
    </xf>
    <xf numFmtId="0" fontId="22" fillId="39" borderId="12" xfId="0" applyFont="1" applyFill="1" applyBorder="1" applyNumberFormat="1">
      <alignment horizontal="left" vertical="top" wrapText="1"/>
      <protection locked="0"/>
    </xf>
    <xf numFmtId="49" fontId="22" fillId="40" borderId="36" xfId="0" applyFont="1" applyFill="1" applyBorder="1" applyNumberFormat="1">
      <alignment horizontal="center" vertical="center" wrapText="1"/>
    </xf>
    <xf numFmtId="0" fontId="40" fillId="37" borderId="14"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3" xfId="0" applyFont="1" applyFill="1" applyBorder="1" applyNumberFormat="1">
      <alignment horizontal="left" vertical="center"/>
    </xf>
    <xf numFmtId="0" fontId="0" fillId="39" borderId="12" xfId="0" applyFont="1" applyFill="1" applyBorder="1" applyNumberFormat="1">
      <alignment horizontal="left" vertical="top"/>
      <protection locked="0"/>
    </xf>
    <xf numFmtId="49" fontId="0" fillId="40" borderId="12" xfId="0" applyFont="1" applyFill="1" applyBorder="1" applyNumberFormat="1">
      <alignment horizontal="left" vertical="top"/>
    </xf>
    <xf numFmtId="49" fontId="0" fillId="0" borderId="12" xfId="0" applyFont="1" applyBorder="1" applyNumberFormat="1">
      <alignment vertical="top"/>
    </xf>
    <xf numFmtId="49" fontId="0" fillId="36" borderId="12" xfId="0" applyFont="1" applyFill="1" applyBorder="1" applyNumberFormat="1">
      <alignment horizontal="left" vertical="top"/>
      <protection locked="0"/>
    </xf>
    <xf numFmtId="49" fontId="0" fillId="40" borderId="12" xfId="0" applyFont="1" applyFill="1" applyBorder="1" applyNumberFormat="1">
      <alignment horizontal="left" vertical="center" wrapText="1"/>
    </xf>
    <xf numFmtId="49" fontId="22" fillId="40" borderId="23" xfId="0" applyFont="1" applyFill="1" applyBorder="1" applyNumberFormat="1">
      <alignment horizontal="center" vertical="center" wrapText="1"/>
    </xf>
    <xf numFmtId="0" fontId="40" fillId="37" borderId="14"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40" fillId="37" borderId="13" xfId="0" applyFont="1" applyFill="1" applyBorder="1" applyNumberFormat="1">
      <alignment horizontal="left" vertical="center"/>
    </xf>
    <xf numFmtId="0" fontId="40" fillId="37" borderId="14"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40" fillId="37" borderId="13" xfId="0" applyFont="1" applyFill="1" applyBorder="1" applyNumberFormat="1">
      <alignment horizontal="left" vertical="center"/>
    </xf>
    <xf numFmtId="0" fontId="40" fillId="37" borderId="14"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40" fillId="37" borderId="13" xfId="0" applyFont="1" applyFill="1" applyBorder="1" applyNumberFormat="1">
      <alignment horizontal="left" vertical="center"/>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0" fillId="0" borderId="0" xfId="0" applyFont="1" applyNumberFormat="1">
      <alignment vertical="center"/>
    </xf>
    <xf numFmtId="0" fontId="40" fillId="0" borderId="0" xfId="0" applyFont="1" applyNumberFormat="1">
      <alignment horizontal="left" vertical="center"/>
    </xf>
    <xf numFmtId="0" fontId="40" fillId="0" borderId="24" xfId="0" applyFont="1" applyBorder="1" applyNumberFormat="1">
      <alignment horizontal="left" vertical="center"/>
    </xf>
    <xf numFmtId="49" fontId="22" fillId="0" borderId="0" xfId="0" applyFont="1" applyNumberFormat="1">
      <alignment horizontal="center" vertical="center" wrapText="1"/>
    </xf>
    <xf numFmtId="0" fontId="40" fillId="0" borderId="27" xfId="0" applyFont="1" applyBorder="1" applyNumberFormat="1">
      <alignment horizontal="left" vertical="center"/>
    </xf>
    <xf numFmtId="0" fontId="40" fillId="0" borderId="29" xfId="0" applyFont="1" applyBorder="1" applyNumberFormat="1">
      <alignment horizontal="left" vertical="center"/>
    </xf>
    <xf numFmtId="0" fontId="0" fillId="0" borderId="0" xfId="0" applyFont="1" applyNumberFormat="1">
      <alignment vertical="center"/>
    </xf>
    <xf numFmtId="0" fontId="0" fillId="0" borderId="17" xfId="0" applyFont="1" applyBorder="1" applyNumberFormat="1">
      <alignment horizontal="center" vertical="top"/>
    </xf>
    <xf numFmtId="0" fontId="22" fillId="0" borderId="17" xfId="0" applyFont="1" applyBorder="1" applyNumberFormat="1">
      <alignment horizontal="left" vertical="top" wrapText="1"/>
    </xf>
    <xf numFmtId="0" fontId="0" fillId="0" borderId="0" xfId="0" applyFont="1" applyNumberFormat="1">
      <alignment vertical="center"/>
    </xf>
    <xf numFmtId="0" fontId="0" fillId="0" borderId="36" xfId="0" applyFont="1" applyBorder="1" applyNumberFormat="1">
      <alignment horizontal="center" vertical="top"/>
    </xf>
    <xf numFmtId="0" fontId="22" fillId="0" borderId="36" xfId="0" applyFont="1" applyBorder="1" applyNumberFormat="1">
      <alignment horizontal="left" vertical="top" wrapText="1"/>
    </xf>
    <xf numFmtId="0" fontId="0" fillId="0" borderId="23" xfId="0" applyFont="1" applyBorder="1" applyNumberFormat="1">
      <alignment horizontal="center" vertical="top"/>
    </xf>
    <xf numFmtId="0" fontId="22" fillId="0" borderId="23" xfId="0" applyFont="1" applyBorder="1" applyNumberFormat="1">
      <alignment horizontal="left" vertical="top"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40" fillId="0" borderId="0" xfId="0" applyFont="1" applyNumberFormat="1">
      <alignment horizontal="left" vertical="center"/>
    </xf>
    <xf numFmtId="0" fontId="40" fillId="0" borderId="24" xfId="0" applyFont="1" applyBorder="1" applyNumberFormat="1">
      <alignment horizontal="left" vertical="center"/>
    </xf>
    <xf numFmtId="49" fontId="22" fillId="0" borderId="0" xfId="0" applyFont="1" applyNumberFormat="1">
      <alignment horizontal="center" vertical="center" wrapText="1"/>
    </xf>
    <xf numFmtId="0" fontId="40" fillId="0" borderId="27" xfId="0" applyFont="1" applyBorder="1" applyNumberFormat="1">
      <alignment horizontal="left" vertical="center"/>
    </xf>
    <xf numFmtId="0" fontId="40" fillId="0" borderId="29" xfId="0" applyFont="1" applyBorder="1" applyNumberFormat="1">
      <alignment horizontal="left" vertical="center"/>
    </xf>
    <xf numFmtId="0" fontId="0" fillId="0" borderId="0" xfId="0" applyFont="1" applyNumberFormat="1">
      <alignment horizontal="left" vertical="top" wrapText="1"/>
    </xf>
    <xf numFmtId="0" fontId="0" fillId="0" borderId="0" xfId="0" applyFont="1" applyNumberFormat="1" quotePrefix="1">
      <alignment horizontal="left" vertical="top" wrapText="1" indent="1"/>
    </xf>
    <xf numFmtId="0" fontId="0" fillId="0" borderId="0" xfId="0" applyFont="1" applyNumberFormat="1">
      <alignment horizontal="left" vertical="top" wrapText="1" indent="1"/>
    </xf>
    <xf numFmtId="0" fontId="0" fillId="0" borderId="0" xfId="0" applyFont="1" applyNumberFormat="1">
      <alignment horizontal="left" vertical="top" wrapText="1"/>
    </xf>
    <xf numFmtId="0" fontId="0" fillId="0" borderId="0" xfId="0" applyFont="1" applyNumberFormat="1">
      <alignment horizontal="left" vertical="top" wrapText="1"/>
    </xf>
    <xf numFmtId="0" fontId="0" fillId="0" borderId="0" xfId="0" applyFont="1" applyNumberFormat="1">
      <alignment vertical="top" wrapText="1"/>
    </xf>
    <xf numFmtId="0" fontId="0" fillId="0" borderId="0" xfId="0" applyFont="1" applyNumberFormat="1">
      <alignment vertical="center"/>
    </xf>
    <xf numFmtId="0" fontId="0" fillId="0" borderId="0" xfId="0" applyFont="1" applyNumberFormat="1">
      <alignment vertical="center"/>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40" fillId="0" borderId="0" xfId="0" applyFont="1" applyNumberFormat="1">
      <alignment horizontal="left" vertical="center"/>
    </xf>
    <xf numFmtId="0" fontId="40" fillId="0" borderId="24" xfId="0" applyFont="1" applyBorder="1" applyNumberFormat="1">
      <alignment horizontal="left" vertical="center"/>
    </xf>
    <xf numFmtId="49" fontId="22" fillId="0" borderId="0" xfId="0" applyFont="1" applyNumberFormat="1">
      <alignment horizontal="center" vertical="center" wrapText="1"/>
    </xf>
    <xf numFmtId="0" fontId="40" fillId="0" borderId="27" xfId="0" applyFont="1" applyBorder="1" applyNumberFormat="1">
      <alignment horizontal="left" vertical="center"/>
    </xf>
    <xf numFmtId="0" fontId="40" fillId="0" borderId="29" xfId="0" applyFont="1" applyBorder="1" applyNumberFormat="1">
      <alignment horizontal="left" vertical="center"/>
    </xf>
    <xf numFmtId="0" fontId="48" fillId="0" borderId="0" xfId="0" applyFont="1" applyNumberFormat="1">
      <alignment vertical="center"/>
    </xf>
    <xf numFmtId="0" fontId="0" fillId="0" borderId="0" xfId="0" applyFont="1" applyNumberFormat="1">
      <alignment vertical="center"/>
    </xf>
    <xf numFmtId="49" fontId="48" fillId="0" borderId="0" xfId="0" applyFont="1" applyNumberFormat="1">
      <alignment vertical="top"/>
    </xf>
    <xf numFmtId="49" fontId="48" fillId="0" borderId="0" xfId="0" applyFont="1" applyNumberFormat="1">
      <alignment horizontal="center" vertical="center"/>
    </xf>
    <xf numFmtId="49" fontId="48" fillId="0" borderId="0" xfId="0" applyFont="1" applyNumberFormat="1">
      <alignment horizontal="center" vertical="center"/>
    </xf>
    <xf numFmtId="49" fontId="47" fillId="0" borderId="0" xfId="0" applyFont="1" applyNumberFormat="1">
      <alignment horizontal="center" vertical="center"/>
    </xf>
    <xf numFmtId="49" fontId="67" fillId="0" borderId="0" xfId="0" applyFont="1" applyNumberFormat="1">
      <alignment vertical="top"/>
    </xf>
    <xf numFmtId="49" fontId="0" fillId="0" borderId="0" xfId="0" applyFont="1" applyNumberFormat="1">
      <alignment vertical="top"/>
    </xf>
    <xf numFmtId="49" fontId="32" fillId="0" borderId="0" xfId="0" applyFont="1" applyNumberFormat="1">
      <alignment vertical="top"/>
    </xf>
    <xf numFmtId="49" fontId="67" fillId="0" borderId="0" xfId="0" applyFont="1" applyNumberFormat="1">
      <alignment vertical="top"/>
    </xf>
    <xf numFmtId="0" fontId="32" fillId="0" borderId="0" xfId="0" applyFont="1" applyNumberFormat="1">
      <alignment vertical="center" wrapText="1"/>
    </xf>
    <xf numFmtId="0" fontId="22" fillId="0" borderId="0" xfId="0" applyFont="1" applyNumberFormat="1">
      <alignment vertical="center" wrapText="1"/>
    </xf>
    <xf numFmtId="0" fontId="37" fillId="0" borderId="0" xfId="0" applyFont="1" applyNumberFormat="1">
      <alignment horizontal="center" vertical="center" wrapText="1"/>
    </xf>
    <xf numFmtId="0" fontId="22" fillId="0" borderId="19" xfId="0" applyFont="1" applyBorder="1" applyNumberFormat="1">
      <alignment horizontal="left" vertical="center" wrapText="1" indent="1"/>
    </xf>
    <xf numFmtId="0" fontId="46" fillId="0" borderId="0" xfId="0" applyFont="1" applyNumberFormat="1">
      <alignment horizontal="left" vertical="center" wrapText="1" indent="1"/>
    </xf>
    <xf numFmtId="0" fontId="42" fillId="0" borderId="0" xfId="0" applyFont="1" applyNumberFormat="1">
      <alignment vertical="center"/>
    </xf>
    <xf numFmtId="0" fontId="113" fillId="0" borderId="0" xfId="0" applyFont="1" applyNumberFormat="1">
      <alignment vertical="center" wrapText="1"/>
    </xf>
    <xf numFmtId="0" fontId="114" fillId="0" borderId="0" xfId="0" applyFont="1" applyNumberFormat="1">
      <alignment vertical="center" wrapText="1"/>
    </xf>
    <xf numFmtId="0" fontId="32" fillId="0" borderId="0" xfId="0" applyFont="1" applyNumberFormat="1">
      <alignment vertical="center" wrapText="1"/>
    </xf>
    <xf numFmtId="0" fontId="22" fillId="0" borderId="0" xfId="0" applyFont="1" applyNumberFormat="1">
      <alignment vertical="center" wrapText="1"/>
    </xf>
    <xf numFmtId="0" fontId="22" fillId="0" borderId="27" xfId="0" applyFont="1" applyBorder="1" applyNumberFormat="1">
      <alignment horizontal="left" vertical="center" wrapText="1" indent="1"/>
    </xf>
    <xf numFmtId="0" fontId="42" fillId="0" borderId="0" xfId="0" applyFont="1" applyNumberFormat="1">
      <alignment vertical="center" wrapText="1"/>
    </xf>
    <xf numFmtId="0" fontId="22" fillId="0" borderId="37" xfId="0" applyFont="1" applyBorder="1" applyNumberFormat="1">
      <alignment horizontal="center" vertical="center" wrapText="1"/>
    </xf>
    <xf numFmtId="0" fontId="22" fillId="0" borderId="20" xfId="0" applyFont="1" applyBorder="1" applyNumberFormat="1">
      <alignment horizontal="center" vertical="center" wrapText="1"/>
    </xf>
    <xf numFmtId="0" fontId="22" fillId="0" borderId="36" xfId="0" applyFont="1" applyBorder="1" applyNumberFormat="1">
      <alignment horizontal="center" vertical="center" wrapText="1"/>
    </xf>
    <xf numFmtId="0" fontId="22" fillId="0" borderId="17" xfId="0" applyFont="1" applyBorder="1" applyNumberFormat="1">
      <alignment horizontal="center" vertical="center" wrapText="1"/>
    </xf>
    <xf numFmtId="0" fontId="22" fillId="0" borderId="37" xfId="0" applyFont="1" applyBorder="1" applyNumberFormat="1">
      <alignment horizontal="center" vertical="center" wrapText="1"/>
    </xf>
    <xf numFmtId="0" fontId="22" fillId="0" borderId="15"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17" xfId="0" applyFont="1" applyBorder="1" applyNumberFormat="1">
      <alignment horizontal="center" vertical="center" wrapText="1"/>
    </xf>
    <xf numFmtId="0" fontId="22" fillId="0" borderId="17" xfId="0" applyFont="1" applyBorder="1" applyNumberFormat="1">
      <alignment horizontal="center" vertical="center" wrapText="1"/>
    </xf>
    <xf numFmtId="0" fontId="22" fillId="0" borderId="22" xfId="0" applyFont="1" applyBorder="1" applyNumberFormat="1">
      <alignment horizontal="center" vertical="center" wrapText="1"/>
    </xf>
    <xf numFmtId="0" fontId="22" fillId="0" borderId="24" xfId="0" applyFont="1" applyBorder="1" applyNumberFormat="1">
      <alignment horizontal="center" vertical="center" wrapText="1"/>
    </xf>
    <xf numFmtId="0" fontId="22" fillId="0" borderId="22" xfId="0" applyFont="1" applyBorder="1" applyNumberFormat="1">
      <alignment horizontal="center" vertical="center" wrapText="1"/>
    </xf>
    <xf numFmtId="0" fontId="22" fillId="0" borderId="36" xfId="0" applyFont="1" applyBorder="1" applyNumberFormat="1">
      <alignment horizontal="center" vertical="center" wrapText="1"/>
    </xf>
    <xf numFmtId="0" fontId="22" fillId="0" borderId="30" xfId="0" applyFont="1" applyBorder="1" applyNumberFormat="1">
      <alignment horizontal="center" vertical="center" wrapText="1"/>
    </xf>
    <xf numFmtId="0" fontId="22" fillId="0" borderId="29" xfId="0" applyFont="1" applyBorder="1" applyNumberFormat="1">
      <alignment horizontal="center" vertical="center" wrapText="1"/>
    </xf>
    <xf numFmtId="0" fontId="22" fillId="0" borderId="17" xfId="0" applyFont="1" applyBorder="1" applyNumberFormat="1">
      <alignment horizontal="center" vertical="center" wrapText="1"/>
    </xf>
    <xf numFmtId="0" fontId="22" fillId="0" borderId="37" xfId="0" applyFont="1" applyBorder="1" applyNumberFormat="1">
      <alignment horizontal="center" vertical="center" wrapText="1"/>
    </xf>
    <xf numFmtId="49" fontId="22" fillId="0" borderId="0" xfId="0" applyFont="1" applyNumberFormat="1">
      <alignment vertical="top"/>
    </xf>
    <xf numFmtId="49" fontId="22" fillId="0" borderId="12" xfId="0" applyFont="1" applyBorder="1" applyNumberFormat="1">
      <alignment horizontal="center" vertical="center"/>
    </xf>
    <xf numFmtId="0" fontId="22" fillId="0" borderId="12" xfId="0" applyFont="1" applyBorder="1" applyNumberFormat="1">
      <alignment horizontal="left" vertical="center" wrapText="1"/>
    </xf>
    <xf numFmtId="49" fontId="22" fillId="40" borderId="17" xfId="0" applyFont="1" applyFill="1" applyBorder="1" applyNumberFormat="1">
      <alignment horizontal="center" vertical="center" wrapText="1"/>
    </xf>
    <xf numFmtId="49" fontId="22" fillId="0" borderId="37" xfId="0" applyFont="1" applyBorder="1" applyNumberFormat="1">
      <alignment vertical="center" wrapText="1"/>
    </xf>
    <xf numFmtId="0" fontId="22" fillId="0" borderId="19" xfId="0" applyFont="1" applyBorder="1" applyNumberFormat="1">
      <alignment horizontal="center" vertical="center"/>
    </xf>
    <xf numFmtId="49" fontId="22" fillId="0" borderId="19" xfId="0" applyFont="1" applyBorder="1" applyNumberForma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7"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pplyNumberFormat="1">
      <alignment horizontal="left" vertical="center" wrapText="1"/>
    </xf>
    <xf numFmtId="49" fontId="22" fillId="0" borderId="19" xfId="0" applyFont="1" applyBorder="1" applyNumberFormat="1">
      <alignment horizontal="center" vertical="center" wrapText="1"/>
    </xf>
    <xf numFmtId="49" fontId="22" fillId="0" borderId="19" xfId="0" applyFont="1" applyBorder="1" applyNumberFormat="1">
      <alignment vertical="center" wrapText="1"/>
    </xf>
    <xf numFmtId="49" fontId="22" fillId="40" borderId="36" xfId="0" applyFont="1" applyFill="1" applyBorder="1" applyNumberFormat="1">
      <alignment horizontal="center" vertical="center" wrapText="1"/>
    </xf>
    <xf numFmtId="49" fontId="22" fillId="0" borderId="22" xfId="0" applyFont="1" applyBorder="1" applyNumberFormat="1">
      <alignment vertical="center" wrapText="1"/>
    </xf>
    <xf numFmtId="0" fontId="22" fillId="0" borderId="0" xfId="0" applyFont="1" applyNumberFormat="1">
      <alignment horizontal="center" vertical="center"/>
    </xf>
    <xf numFmtId="0" fontId="22" fillId="0" borderId="0" xfId="0" applyFont="1" applyNumberFormat="1">
      <alignment horizontal="lef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7"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pplyNumberFormat="1">
      <alignment horizontal="left" vertical="center" wrapText="1"/>
    </xf>
    <xf numFmtId="0" fontId="40" fillId="0" borderId="0" xfId="0" applyFont="1" applyNumberFormat="1">
      <alignment horizontal="left" vertical="center"/>
    </xf>
    <xf numFmtId="0" fontId="40" fillId="0" borderId="0" xfId="0" applyFont="1" applyNumberFormat="1">
      <alignment horizontal="left" vertical="center"/>
    </xf>
    <xf numFmtId="0" fontId="40" fillId="0" borderId="24" xfId="0" applyFont="1" applyBorder="1" applyNumberFormat="1">
      <alignment horizontal="left" vertical="center"/>
    </xf>
    <xf numFmtId="49" fontId="22" fillId="0" borderId="0" xfId="0" applyFont="1" applyNumberFormat="1">
      <alignment horizontal="center" vertical="center" wrapText="1"/>
    </xf>
    <xf numFmtId="49" fontId="37" fillId="0" borderId="0" xfId="0" applyFont="1" applyNumberFormat="1">
      <alignment horizontal="center" vertical="center" wrapText="1"/>
    </xf>
    <xf numFmtId="0" fontId="40" fillId="0" borderId="0" xfId="0" applyFont="1" applyNumberFormat="1">
      <alignment vertical="center"/>
    </xf>
    <xf numFmtId="0" fontId="40" fillId="0" borderId="22" xfId="0" applyFont="1" applyBorder="1" applyNumberFormat="1">
      <alignment horizontal="left" vertical="center"/>
    </xf>
    <xf numFmtId="49" fontId="22" fillId="0" borderId="17" xfId="0" applyFont="1" applyBorder="1" applyNumberFormat="1">
      <alignment horizontal="center" vertical="center"/>
    </xf>
    <xf numFmtId="0" fontId="22" fillId="0" borderId="17" xfId="0" applyFont="1" applyBorder="1" applyNumberFormat="1">
      <alignment horizontal="left" vertical="center" wrapText="1"/>
    </xf>
    <xf numFmtId="0" fontId="22" fillId="0" borderId="37" xfId="0" applyFont="1" applyBorder="1" applyNumberFormat="1">
      <alignment horizontal="left" vertical="center" wrapText="1"/>
    </xf>
    <xf numFmtId="49" fontId="67" fillId="0" borderId="30" xfId="0" applyFont="1" applyBorder="1" applyNumberFormat="1">
      <alignment vertical="top"/>
    </xf>
    <xf numFmtId="49" fontId="67" fillId="0" borderId="27" xfId="0" applyFont="1" applyBorder="1" applyNumberFormat="1">
      <alignment vertical="top"/>
    </xf>
    <xf numFmtId="0" fontId="40" fillId="0" borderId="27" xfId="0" applyFont="1" applyBorder="1" applyNumberFormat="1">
      <alignment horizontal="left" vertical="center"/>
    </xf>
    <xf numFmtId="0" fontId="40" fillId="0" borderId="29" xfId="0" applyFont="1" applyBorder="1" applyNumberFormat="1">
      <alignment horizontal="left" vertical="center"/>
    </xf>
    <xf numFmtId="0" fontId="22" fillId="0" borderId="0" xfId="0" applyFont="1" applyNumberFormat="1">
      <alignment horizontal="left" vertical="center" wrapText="1"/>
    </xf>
    <xf numFmtId="0" fontId="22" fillId="0" borderId="14" xfId="0" applyFont="1" applyBorder="1" applyNumberFormat="1">
      <alignment horizontal="left" vertical="center" wrapText="1"/>
    </xf>
    <xf numFmtId="49" fontId="32" fillId="0" borderId="0" xfId="0" applyFont="1" applyNumberFormat="1">
      <alignment vertical="top"/>
    </xf>
    <xf numFmtId="0" fontId="22" fillId="35" borderId="0" xfId="0" applyFont="1" applyFill="1" applyNumberFormat="1"/>
    <xf numFmtId="0" fontId="0" fillId="35" borderId="0" xfId="0" applyFont="1" applyFill="1" applyNumberFormat="1"/>
    <xf numFmtId="0" fontId="61" fillId="35" borderId="0" xfId="0" applyFont="1" applyFill="1" applyNumberFormat="1"/>
    <xf numFmtId="0" fontId="48" fillId="35" borderId="0" xfId="0" applyFont="1" applyFill="1" applyNumberFormat="1"/>
    <xf numFmtId="0" fontId="61" fillId="35" borderId="0" xfId="0" applyFont="1" applyFill="1" applyNumberFormat="1">
      <alignment horizontal="center"/>
    </xf>
    <xf numFmtId="0" fontId="61" fillId="35" borderId="0" xfId="0" applyFont="1" applyFill="1" applyNumberFormat="1"/>
    <xf numFmtId="0" fontId="90" fillId="0" borderId="0" xfId="0" applyFont="1" applyNumberFormat="1">
      <alignment vertical="center"/>
    </xf>
    <xf numFmtId="0" fontId="89" fillId="0" borderId="0" xfId="0" applyFont="1" applyNumberFormat="1">
      <alignment vertical="center"/>
    </xf>
    <xf numFmtId="0" fontId="73" fillId="35" borderId="0" xfId="0" applyFont="1" applyFill="1" applyNumberFormat="1">
      <alignment horizontal="right" vertical="center"/>
    </xf>
    <xf numFmtId="0" fontId="22" fillId="35" borderId="0" xfId="0" applyFont="1" applyFill="1" applyNumberFormat="1">
      <alignment vertical="center" wrapText="1"/>
    </xf>
    <xf numFmtId="0" fontId="48" fillId="35" borderId="0" xfId="0" applyFont="1" applyFill="1" applyNumberFormat="1">
      <alignment vertical="center" wrapText="1"/>
    </xf>
    <xf numFmtId="0" fontId="22" fillId="35" borderId="0" xfId="0" applyFont="1" applyFill="1" applyNumberFormat="1">
      <alignment horizontal="center" vertical="center" wrapText="1"/>
    </xf>
    <xf numFmtId="0" fontId="93" fillId="35" borderId="0" xfId="0" applyFont="1" applyFill="1" applyNumberFormat="1">
      <alignment horizontal="left" vertical="center"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0" fillId="35" borderId="12" xfId="0" applyFont="1" applyFill="1" applyBorder="1" applyNumberFormat="1">
      <alignment horizontal="center" vertical="center" wrapText="1"/>
    </xf>
    <xf numFmtId="0" fontId="22" fillId="35" borderId="12" xfId="0" applyFont="1" applyFill="1" applyBorder="1" applyNumberFormat="1">
      <alignment horizontal="center" vertical="center" wrapText="1"/>
    </xf>
    <xf numFmtId="0" fontId="36" fillId="35" borderId="0" xfId="0" applyFont="1" applyFill="1" applyNumberFormat="1">
      <alignment horizontal="center" vertical="center"/>
    </xf>
    <xf numFmtId="49" fontId="48" fillId="0" borderId="12" xfId="0" applyFont="1" applyBorder="1" applyNumberFormat="1">
      <alignment horizontal="center" vertical="center"/>
    </xf>
    <xf numFmtId="0" fontId="48" fillId="0" borderId="12" xfId="0" applyFont="1" applyBorder="1" applyNumberFormat="1">
      <alignment vertical="center" wrapText="1"/>
    </xf>
    <xf numFmtId="0" fontId="48" fillId="0" borderId="12" xfId="0" applyFont="1" applyBorder="1" applyNumberFormat="1">
      <alignment horizontal="left" vertical="center" wrapText="1"/>
    </xf>
    <xf numFmtId="0" fontId="65" fillId="35" borderId="0" xfId="0" applyFont="1" applyFill="1" applyNumberFormat="1"/>
    <xf numFmtId="49" fontId="0" fillId="35" borderId="12" xfId="0" applyFont="1" applyFill="1" applyBorder="1" applyNumberFormat="1">
      <alignment horizontal="center" vertical="center"/>
    </xf>
    <xf numFmtId="0" fontId="0" fillId="35" borderId="12" xfId="0" applyFont="1" applyFill="1" applyBorder="1" applyNumberFormat="1">
      <alignment vertical="center" wrapText="1"/>
    </xf>
    <xf numFmtId="0" fontId="0" fillId="0" borderId="12" xfId="0" applyFont="1" applyBorder="1" applyNumberFormat="1">
      <alignment horizontal="center" vertical="center" wrapText="1"/>
    </xf>
    <xf numFmtId="0" fontId="22" fillId="35" borderId="12" xfId="0" applyFont="1" applyFill="1" applyBorder="1" applyNumberFormat="1">
      <alignment vertical="center" wrapText="1"/>
    </xf>
    <xf numFmtId="0" fontId="0" fillId="35" borderId="12" xfId="0" applyFont="1" applyFill="1" applyBorder="1" applyNumberFormat="1">
      <alignment horizontal="left" vertical="center" wrapText="1" indent="1"/>
    </xf>
    <xf numFmtId="49" fontId="0" fillId="39" borderId="12" xfId="0" applyFont="1" applyFill="1" applyBorder="1" applyNumberFormat="1">
      <alignment horizontal="left" vertical="center" wrapText="1"/>
      <protection locked="0"/>
    </xf>
    <xf numFmtId="0" fontId="48" fillId="0" borderId="12" xfId="0" applyFont="1" applyBorder="1" applyNumberFormat="1">
      <alignment horizontal="left" vertical="center" wrapText="1" indent="1"/>
    </xf>
    <xf numFmtId="49" fontId="22" fillId="35" borderId="0" xfId="0" applyFont="1" applyFill="1" applyNumberFormat="1">
      <alignment horizontal="center" vertical="center" wrapText="1"/>
    </xf>
    <xf numFmtId="0" fontId="22" fillId="35" borderId="24" xfId="0" applyFont="1" applyFill="1" applyBorder="1" applyNumberFormat="1">
      <alignment horizontal="center" vertical="center" wrapText="1"/>
    </xf>
    <xf numFmtId="0" fontId="90" fillId="0" borderId="0" xfId="0" applyFont="1" applyNumberFormat="1">
      <alignment vertical="center" wrapText="1"/>
    </xf>
    <xf numFmtId="0" fontId="0" fillId="35" borderId="12" xfId="0" applyFont="1" applyFill="1" applyBorder="1" applyNumberFormat="1">
      <alignment horizontal="center" vertical="center"/>
    </xf>
    <xf numFmtId="0" fontId="0" fillId="35" borderId="12" xfId="0" applyFont="1" applyFill="1" applyBorder="1" applyNumberFormat="1">
      <alignment horizontal="left" vertical="center" wrapText="1" indent="2"/>
    </xf>
    <xf numFmtId="49" fontId="0" fillId="0" borderId="12" xfId="0" applyFont="1" applyBorder="1" applyNumberFormat="1">
      <alignment horizontal="left" vertical="center" wrapText="1"/>
    </xf>
    <xf numFmtId="49" fontId="22" fillId="35" borderId="0" xfId="0" applyFont="1" applyFill="1" applyNumberFormat="1">
      <alignment vertical="center" wrapText="1"/>
    </xf>
    <xf numFmtId="0" fontId="22" fillId="35" borderId="24" xfId="0" applyFont="1" applyFill="1" applyBorder="1" applyNumberFormat="1">
      <alignment vertical="center" wrapText="1"/>
    </xf>
    <xf numFmtId="0" fontId="22" fillId="37" borderId="14" xfId="0" applyFont="1" applyFill="1" applyBorder="1" applyNumberFormat="1">
      <alignment horizontal="center"/>
    </xf>
    <xf numFmtId="49" fontId="40" fillId="37" borderId="15" xfId="0" applyFont="1" applyFill="1" applyBorder="1" applyNumberFormat="1">
      <alignment horizontal="left" vertical="center" indent="1"/>
    </xf>
    <xf numFmtId="0" fontId="73" fillId="37" borderId="15" xfId="0" applyFont="1" applyFill="1" applyBorder="1" applyNumberFormat="1">
      <alignment horizontal="left" vertical="center"/>
    </xf>
    <xf numFmtId="0" fontId="73" fillId="37" borderId="13" xfId="0" applyFont="1" applyFill="1" applyBorder="1" applyNumberFormat="1">
      <alignment horizontal="left" vertical="center"/>
    </xf>
    <xf numFmtId="0" fontId="48" fillId="35" borderId="0" xfId="0" applyFont="1" applyFill="1" applyNumberFormat="1"/>
    <xf numFmtId="49" fontId="48" fillId="35" borderId="12" xfId="0" applyFont="1" applyFill="1" applyBorder="1" applyNumberFormat="1">
      <alignment horizontal="center" vertical="center"/>
    </xf>
    <xf numFmtId="0" fontId="48" fillId="35" borderId="12" xfId="0" applyFont="1" applyFill="1" applyBorder="1" applyNumberFormat="1">
      <alignment vertical="center" wrapText="1"/>
    </xf>
    <xf numFmtId="0" fontId="48" fillId="0" borderId="12" xfId="0" applyFont="1" applyBorder="1" applyNumberFormat="1">
      <alignment horizontal="center" vertical="center" wrapText="1"/>
    </xf>
    <xf numFmtId="0" fontId="48" fillId="35" borderId="12" xfId="0" applyFont="1" applyFill="1" applyBorder="1" applyNumberFormat="1">
      <alignment horizontal="left" vertical="center" wrapText="1" indent="1"/>
    </xf>
    <xf numFmtId="0" fontId="48" fillId="35" borderId="12" xfId="0" applyFont="1" applyFill="1" applyBorder="1" applyNumberFormat="1">
      <alignment horizontal="left" vertical="center" wrapText="1" indent="2"/>
    </xf>
    <xf numFmtId="49" fontId="48" fillId="0" borderId="12" xfId="0" applyFont="1" applyBorder="1" applyNumberFormat="1">
      <alignment horizontal="left" vertical="center" wrapText="1"/>
    </xf>
    <xf numFmtId="49" fontId="48" fillId="0" borderId="12" xfId="0" applyFont="1" applyBorder="1" applyNumberFormat="1">
      <alignment horizontal="left" vertical="center" wrapText="1"/>
    </xf>
    <xf numFmtId="0" fontId="0" fillId="35" borderId="12" xfId="0" applyFont="1" applyFill="1" applyBorder="1" applyNumberFormat="1">
      <alignment horizontal="left" vertical="center" wrapText="1"/>
    </xf>
    <xf numFmtId="49" fontId="0" fillId="36" borderId="12" xfId="0" applyFont="1" applyFill="1" applyBorder="1" applyNumberFormat="1">
      <alignment horizontal="left" vertical="center" wrapText="1"/>
      <protection locked="0"/>
    </xf>
    <xf numFmtId="0" fontId="0" fillId="35" borderId="17" xfId="0" applyFont="1" applyFill="1" applyBorder="1" applyNumberFormat="1">
      <alignment horizontal="left" vertical="center" wrapText="1"/>
    </xf>
    <xf numFmtId="0" fontId="22" fillId="35" borderId="17" xfId="0" applyFont="1" applyFill="1" applyBorder="1" applyNumberFormat="1">
      <alignment horizontal="left" vertical="top" wrapText="1"/>
    </xf>
    <xf numFmtId="49" fontId="0" fillId="0" borderId="12" xfId="0" applyFont="1" applyBorder="1" applyNumberFormat="1">
      <alignment horizontal="left" vertical="center" wrapText="1" indent="1"/>
    </xf>
    <xf numFmtId="0" fontId="22" fillId="35" borderId="36" xfId="0" applyFont="1" applyFill="1" applyBorder="1" applyNumberFormat="1">
      <alignment horizontal="left" vertical="top" wrapText="1"/>
    </xf>
    <xf numFmtId="0" fontId="37" fillId="35" borderId="0" xfId="0" applyFont="1" applyFill="1" applyNumberFormat="1">
      <alignment horizontal="center" vertical="center"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0" fontId="22" fillId="35" borderId="23" xfId="0" applyFont="1" applyFill="1" applyBorder="1" applyNumberFormat="1">
      <alignment horizontal="left" vertical="top" wrapText="1"/>
    </xf>
    <xf numFmtId="0" fontId="52" fillId="35" borderId="0" xfId="0" applyFont="1" applyFill="1" applyNumberFormat="1"/>
    <xf numFmtId="49" fontId="22" fillId="39" borderId="12" xfId="0" applyFont="1" applyFill="1" applyBorder="1" applyNumberFormat="1" quotePrefix="1">
      <alignment horizontal="left" vertical="center" wrapText="1"/>
      <protection locked="0"/>
    </xf>
    <xf numFmtId="49" fontId="22" fillId="36" borderId="12" xfId="0" applyFont="1" applyFill="1" applyBorder="1" applyNumberFormat="1">
      <alignment horizontal="left" vertical="center" wrapText="1"/>
      <protection locked="0"/>
    </xf>
    <xf numFmtId="49" fontId="22" fillId="40" borderId="12"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0" fillId="35" borderId="14" xfId="0" applyFont="1" applyFill="1" applyBorder="1" applyNumberFormat="1">
      <alignment horizontal="left" vertical="center" wrapText="1" indent="1"/>
    </xf>
    <xf numFmtId="49" fontId="22" fillId="40" borderId="14" xfId="0" applyFont="1" applyFill="1" applyBorder="1" applyNumberFormat="1">
      <alignment horizontal="left" vertical="center" wrapText="1"/>
    </xf>
    <xf numFmtId="0" fontId="0" fillId="35" borderId="12" xfId="0" applyFont="1" applyFill="1" applyBorder="1" applyNumberFormat="1">
      <alignment vertical="top" wrapText="1"/>
    </xf>
    <xf numFmtId="49" fontId="22" fillId="35" borderId="0" xfId="0" applyFont="1" applyFill="1" applyNumberFormat="1">
      <alignment horizontal="center" vertical="center" wrapText="1"/>
    </xf>
    <xf numFmtId="0" fontId="0" fillId="35" borderId="14" xfId="0" applyFont="1" applyFill="1" applyBorder="1" applyNumberFormat="1">
      <alignment horizontal="left" vertical="center" wrapText="1"/>
    </xf>
    <xf numFmtId="0" fontId="0" fillId="35" borderId="23" xfId="0" applyFont="1" applyFill="1" applyBorder="1" applyNumberFormat="1">
      <alignment vertical="center" wrapText="1"/>
    </xf>
    <xf numFmtId="0" fontId="76" fillId="35" borderId="0" xfId="0" applyFont="1" applyFill="1" applyNumberFormat="1"/>
    <xf numFmtId="0" fontId="22" fillId="0" borderId="0" xfId="0" applyFont="1" applyNumberFormat="1">
      <alignment vertical="top" wrapText="1"/>
    </xf>
    <xf numFmtId="0" fontId="48" fillId="0" borderId="0" xfId="0" applyFont="1" applyNumberFormat="1">
      <alignment vertical="center" wrapText="1"/>
    </xf>
    <xf numFmtId="0" fontId="45" fillId="0" borderId="0" xfId="0" applyFont="1" applyNumberFormat="1">
      <alignment horizontal="right" vertical="top" wrapText="1"/>
    </xf>
    <xf numFmtId="0" fontId="45" fillId="0" borderId="0" xfId="0" applyFont="1" applyNumberFormat="1">
      <alignment horizontal="left" vertical="top" wrapText="1" indent="1"/>
    </xf>
    <xf numFmtId="0" fontId="45" fillId="0" borderId="0" xfId="0" applyFont="1" applyNumberFormat="1">
      <alignment vertical="center" wrapText="1"/>
    </xf>
    <xf numFmtId="0" fontId="76" fillId="35" borderId="0" xfId="0" applyFont="1" applyFill="1" applyNumberFormat="1"/>
    <xf numFmtId="0" fontId="75" fillId="35" borderId="0" xfId="0" applyFont="1" applyFill="1" applyNumberFormat="1">
      <alignment horizontal="center"/>
    </xf>
    <xf numFmtId="0" fontId="75" fillId="35" borderId="0" xfId="0" applyFont="1" applyFill="1" applyNumberFormat="1"/>
    <xf numFmtId="0" fontId="77" fillId="35" borderId="0" xfId="0" applyFont="1" applyFill="1" applyNumberFormat="1">
      <alignment horizontal="right" vertical="center"/>
    </xf>
    <xf numFmtId="0" fontId="78" fillId="35" borderId="0" xfId="0" applyFont="1" applyFill="1" applyNumberFormat="1">
      <alignment vertical="center"/>
    </xf>
    <xf numFmtId="0" fontId="77" fillId="35" borderId="0" xfId="0" applyFont="1" applyFill="1" applyNumberFormat="1">
      <alignment horizontal="right" vertical="top"/>
    </xf>
    <xf numFmtId="0" fontId="78" fillId="35" borderId="0" xfId="0" applyFont="1" applyFill="1" applyNumberFormat="1">
      <alignment vertical="center" wrapText="1"/>
    </xf>
    <xf numFmtId="0" fontId="0" fillId="35" borderId="0" xfId="0" applyFont="1" applyFill="1" applyNumberFormat="1">
      <alignment horizontal="center"/>
    </xf>
    <xf numFmtId="0" fontId="22" fillId="35" borderId="0" xfId="0" applyFont="1" applyFill="1" applyNumberFormat="1"/>
    <xf numFmtId="0" fontId="0" fillId="35" borderId="0" xfId="0" applyFont="1" applyFill="1" applyNumberFormat="1"/>
    <xf numFmtId="0" fontId="0" fillId="35" borderId="0" xfId="0" applyFont="1" applyFill="1" applyNumberFormat="1">
      <alignment horizontal="center"/>
    </xf>
    <xf numFmtId="0" fontId="47" fillId="0" borderId="0" xfId="0" applyFont="1" applyNumberFormat="1">
      <alignment horizontal="center" vertical="center" wrapText="1"/>
    </xf>
    <xf numFmtId="0" fontId="22" fillId="0" borderId="0" xfId="0" applyFont="1" applyNumberFormat="1">
      <alignment vertical="center" wrapText="1"/>
    </xf>
    <xf numFmtId="0" fontId="88" fillId="0" borderId="0" xfId="0" applyFont="1" applyNumberFormat="1">
      <alignment vertical="center" wrapText="1"/>
    </xf>
    <xf numFmtId="0" fontId="88" fillId="35" borderId="0" xfId="0" applyFont="1" applyFill="1" applyNumberFormat="1">
      <alignment horizontal="center" vertical="center" wrapText="1"/>
    </xf>
    <xf numFmtId="0" fontId="88" fillId="35" borderId="0" xfId="0" applyFont="1" applyFill="1" applyNumberFormat="1">
      <alignment horizontal="right" vertical="center" wrapText="1"/>
    </xf>
    <xf numFmtId="0" fontId="88" fillId="0" borderId="0" xfId="0" applyFont="1" applyNumberFormat="1">
      <alignment vertical="center" wrapText="1"/>
    </xf>
    <xf numFmtId="0" fontId="37" fillId="35" borderId="0" xfId="0" applyFont="1" applyFill="1" applyNumberFormat="1">
      <alignment horizontal="center" vertical="center" wrapText="1"/>
    </xf>
    <xf numFmtId="0" fontId="46" fillId="0" borderId="0" xfId="0" applyFont="1" applyNumberFormat="1">
      <alignment horizontal="left" vertical="center" wrapText="1" indent="3"/>
    </xf>
    <xf numFmtId="0" fontId="64" fillId="0" borderId="0" xfId="0" applyFont="1" applyNumberFormat="1">
      <alignment horizontal="center" vertical="center" wrapText="1"/>
    </xf>
    <xf numFmtId="0" fontId="64" fillId="0" borderId="0" xfId="0" applyFont="1" applyNumberFormat="1">
      <alignment vertical="center" wrapText="1"/>
    </xf>
    <xf numFmtId="0" fontId="32" fillId="0" borderId="0" xfId="0" applyFont="1" applyNumberFormat="1">
      <alignment vertical="center" wrapText="1"/>
    </xf>
    <xf numFmtId="0" fontId="37" fillId="35" borderId="0" xfId="0" applyFont="1" applyFill="1" applyNumberFormat="1">
      <alignment horizontal="center" vertical="center" wrapText="1"/>
    </xf>
    <xf numFmtId="0" fontId="22" fillId="0" borderId="29" xfId="0" applyFont="1" applyBorder="1" applyNumberFormat="1">
      <alignment horizontal="left" vertical="center" wrapText="1" indent="1"/>
    </xf>
    <xf numFmtId="0" fontId="22" fillId="0" borderId="23" xfId="0" applyFont="1" applyBorder="1" applyNumberFormat="1">
      <alignment horizontal="left" vertical="center" wrapText="1" indent="1"/>
    </xf>
    <xf numFmtId="0" fontId="22" fillId="0" borderId="30" xfId="0" applyFont="1" applyBorder="1" applyNumberFormat="1">
      <alignment horizontal="left" vertical="center" wrapText="1" indent="1"/>
    </xf>
    <xf numFmtId="0" fontId="58" fillId="0" borderId="0" xfId="0" applyFont="1" applyNumberFormat="1">
      <alignment vertical="center" wrapText="1"/>
    </xf>
    <xf numFmtId="0" fontId="79" fillId="35" borderId="0" xfId="0" applyFont="1" applyFill="1" applyNumberFormat="1">
      <alignment horizontal="center" vertical="center" wrapText="1"/>
    </xf>
    <xf numFmtId="0" fontId="60" fillId="0" borderId="0" xfId="0" applyFont="1" applyNumberFormat="1">
      <alignment horizontal="left" vertical="center" wrapText="1" indent="1"/>
    </xf>
    <xf numFmtId="0" fontId="22" fillId="0" borderId="0" xfId="0" applyFont="1" applyNumberFormat="1">
      <alignment horizontal="right" vertical="center"/>
    </xf>
    <xf numFmtId="0" fontId="48" fillId="0" borderId="0" xfId="0" applyFont="1" applyNumberFormat="1">
      <alignment vertical="center" wrapText="1"/>
    </xf>
    <xf numFmtId="0" fontId="60" fillId="0" borderId="0" xfId="0" applyFont="1" applyNumberFormat="1">
      <alignment vertical="center" wrapText="1"/>
    </xf>
    <xf numFmtId="0" fontId="0" fillId="0" borderId="14" xfId="0" applyFont="1" applyBorder="1" applyNumberFormat="1">
      <alignment horizontal="center" vertical="center" wrapText="1"/>
    </xf>
    <xf numFmtId="0" fontId="0" fillId="0" borderId="15" xfId="0" applyFont="1" applyBorder="1" applyNumberFormat="1">
      <alignment horizontal="center" vertical="center" wrapText="1"/>
    </xf>
    <xf numFmtId="0" fontId="0" fillId="0" borderId="13" xfId="0" applyFont="1" applyBorder="1" applyNumberFormat="1">
      <alignment horizontal="center" vertical="center" wrapText="1"/>
    </xf>
    <xf numFmtId="0" fontId="0" fillId="0" borderId="12"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37" xfId="0" applyFont="1" applyBorder="1" applyNumberFormat="1">
      <alignment horizontal="center" vertical="center" wrapText="1"/>
    </xf>
    <xf numFmtId="0" fontId="0" fillId="0" borderId="20" xfId="0" applyFont="1" applyBorder="1" applyNumberFormat="1">
      <alignment horizontal="center" vertical="center" wrapText="1"/>
    </xf>
    <xf numFmtId="0" fontId="0" fillId="0" borderId="20"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30" xfId="0" applyFont="1" applyBorder="1" applyNumberFormat="1">
      <alignment horizontal="center" vertical="center" wrapText="1"/>
    </xf>
    <xf numFmtId="0" fontId="0" fillId="0" borderId="12" xfId="0" applyFont="1" applyBorder="1" applyNumberFormat="1">
      <alignment horizontal="center" vertical="center" wrapText="1"/>
    </xf>
    <xf numFmtId="0" fontId="0" fillId="0" borderId="14" xfId="0" applyFont="1" applyBorder="1" applyNumberFormat="1">
      <alignment horizontal="center" vertical="center" wrapText="1"/>
    </xf>
    <xf numFmtId="0" fontId="0" fillId="0" borderId="29" xfId="0" applyFont="1" applyBorder="1" applyNumberFormat="1">
      <alignment horizontal="center" vertical="center" wrapText="1"/>
    </xf>
    <xf numFmtId="0" fontId="0" fillId="0" borderId="29"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23" xfId="0" applyFont="1" applyBorder="1" applyNumberFormat="1">
      <alignment horizontal="center" vertical="center" wrapText="1"/>
    </xf>
    <xf numFmtId="0" fontId="36" fillId="35" borderId="0" xfId="0" applyFont="1" applyFill="1" applyNumberFormat="1">
      <alignment horizontal="center" vertical="center" wrapText="1"/>
    </xf>
    <xf numFmtId="49" fontId="36" fillId="35" borderId="0" xfId="0" applyFont="1" applyFill="1" applyNumberFormat="1">
      <alignment horizontal="center" vertical="center" wrapText="1"/>
    </xf>
    <xf numFmtId="0" fontId="72" fillId="0" borderId="0" xfId="0" applyFont="1" applyNumberFormat="1">
      <alignment vertical="center" wrapText="1"/>
    </xf>
    <xf numFmtId="0" fontId="80" fillId="35" borderId="0" xfId="0" applyFont="1" applyFill="1" applyNumberFormat="1">
      <alignment horizontal="center" vertical="center" wrapText="1"/>
    </xf>
    <xf numFmtId="49" fontId="72" fillId="0" borderId="17" xfId="0" applyFont="1" applyBorder="1" applyNumberFormat="1">
      <alignment horizontal="left" vertical="center" wrapText="1"/>
    </xf>
    <xf numFmtId="49" fontId="72" fillId="0" borderId="12" xfId="0" applyFont="1" applyBorder="1" applyNumberFormat="1">
      <alignment horizontal="left" vertical="center" wrapText="1"/>
    </xf>
    <xf numFmtId="49" fontId="0" fillId="0" borderId="12" xfId="0" applyFont="1" applyBorder="1" applyNumberFormat="1">
      <alignment vertical="top" wrapText="1"/>
    </xf>
    <xf numFmtId="49" fontId="0" fillId="0" borderId="12" xfId="0" applyFont="1" applyBorder="1" applyNumberFormat="1">
      <alignment horizontal="center" vertical="center" wrapText="1"/>
    </xf>
    <xf numFmtId="49" fontId="0" fillId="36" borderId="12" xfId="0" applyFont="1" applyFill="1" applyBorder="1" applyNumberFormat="1">
      <alignment horizontal="left" vertical="center" wrapText="1"/>
      <protection locked="0"/>
    </xf>
    <xf numFmtId="0" fontId="22" fillId="40" borderId="14" xfId="0" applyFont="1" applyFill="1" applyBorder="1" applyNumberFormat="1">
      <alignment horizontal="left" vertical="center" wrapText="1"/>
    </xf>
    <xf numFmtId="49" fontId="36" fillId="35" borderId="12" xfId="0" applyFont="1" applyFill="1" applyBorder="1" applyNumberFormat="1">
      <alignment horizontal="center" vertical="center" wrapText="1"/>
    </xf>
    <xf numFmtId="4" fontId="0" fillId="39" borderId="12" xfId="0" applyFont="1" applyFill="1" applyBorder="1" applyNumberFormat="1">
      <alignment horizontal="right" vertical="center" wrapText="1"/>
      <protection locked="0"/>
    </xf>
    <xf numFmtId="3" fontId="0" fillId="39" borderId="12" xfId="0" applyFont="1" applyFill="1" applyBorder="1" applyNumberFormat="1">
      <alignment horizontal="right" vertical="center" wrapText="1"/>
      <protection locked="0"/>
    </xf>
    <xf numFmtId="4" fontId="0" fillId="39" borderId="13" xfId="0" applyFont="1" applyFill="1" applyBorder="1" applyNumberFormat="1">
      <alignment horizontal="right" vertical="center" wrapText="1"/>
      <protection locked="0"/>
    </xf>
    <xf numFmtId="0" fontId="0" fillId="36" borderId="12" xfId="0" applyFont="1" applyFill="1" applyBorder="1" applyNumberFormat="1">
      <alignment horizontal="right" vertical="center" wrapText="1"/>
      <protection locked="0"/>
    </xf>
    <xf numFmtId="3" fontId="0" fillId="0" borderId="13" xfId="0" applyFont="1" applyBorder="1" applyNumberFormat="1">
      <alignment horizontal="right" vertical="center" wrapText="1"/>
    </xf>
    <xf numFmtId="0" fontId="0" fillId="0" borderId="17" xfId="0" applyFont="1" applyBorder="1" applyNumberFormat="1">
      <alignment horizontal="left" vertical="top" wrapText="1"/>
    </xf>
    <xf numFmtId="49" fontId="50" fillId="37" borderId="14" xfId="0" applyFont="1" applyFill="1" applyBorder="1" applyNumberFormat="1">
      <alignment horizontal="center" vertical="center"/>
    </xf>
    <xf numFmtId="0" fontId="40" fillId="37" borderId="15" xfId="0" applyFont="1" applyFill="1" applyBorder="1" applyNumberFormat="1">
      <alignment vertical="center"/>
    </xf>
    <xf numFmtId="49" fontId="40" fillId="37" borderId="15" xfId="0" applyFont="1" applyFill="1" applyBorder="1" applyNumberFormat="1">
      <alignment vertical="center"/>
    </xf>
    <xf numFmtId="49" fontId="73" fillId="37" borderId="15" xfId="0" applyFont="1" applyFill="1" applyBorder="1" applyNumberFormat="1">
      <alignment vertical="center"/>
    </xf>
    <xf numFmtId="49" fontId="73" fillId="37" borderId="13" xfId="0" applyFont="1" applyFill="1" applyBorder="1" applyNumberFormat="1">
      <alignment vertical="center"/>
    </xf>
    <xf numFmtId="0" fontId="0" fillId="0" borderId="23" xfId="0" applyFont="1" applyBorder="1" applyNumberFormat="1">
      <alignment horizontal="left" vertical="top" wrapText="1"/>
    </xf>
    <xf numFmtId="0" fontId="32" fillId="0" borderId="0" xfId="0" applyFont="1" applyNumberFormat="1">
      <alignment vertical="center" wrapText="1"/>
    </xf>
    <xf numFmtId="0" fontId="37" fillId="0" borderId="0" xfId="0" applyFont="1" applyNumberFormat="1">
      <alignment horizontal="center" vertical="center" wrapText="1"/>
    </xf>
    <xf numFmtId="0" fontId="22" fillId="0" borderId="0" xfId="0" applyFont="1" applyNumberFormat="1">
      <alignment vertical="center" wrapText="1"/>
    </xf>
    <xf numFmtId="0" fontId="42" fillId="0" borderId="0" xfId="0" applyFont="1" applyNumberFormat="1">
      <alignment vertical="center" wrapText="1"/>
    </xf>
    <xf numFmtId="0" fontId="22" fillId="0" borderId="0" xfId="0" applyFont="1" applyNumberFormat="1">
      <alignment vertical="center" wrapText="1"/>
    </xf>
    <xf numFmtId="0" fontId="37" fillId="35" borderId="0" xfId="0" applyFont="1" applyFill="1" applyNumberFormat="1">
      <alignment horizontal="center" vertical="center" wrapText="1"/>
    </xf>
    <xf numFmtId="49" fontId="0" fillId="0" borderId="37" xfId="0" applyFont="1" applyBorder="1" applyNumberFormat="1">
      <alignment horizontal="center" vertical="center" wrapText="1"/>
    </xf>
    <xf numFmtId="0" fontId="22" fillId="40" borderId="19" xfId="0" applyFont="1" applyFill="1" applyBorder="1" applyNumberFormat="1">
      <alignment horizontal="left" vertical="center" wrapText="1"/>
    </xf>
    <xf numFmtId="0" fontId="37" fillId="35"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49" fontId="22" fillId="39" borderId="12" xfId="0" applyFont="1" applyFill="1" applyBorder="1" applyNumberFormat="1">
      <alignment horizontal="left" vertical="center" wrapText="1"/>
      <protection locked="0"/>
    </xf>
    <xf numFmtId="3" fontId="22" fillId="39" borderId="12" xfId="0" applyFont="1" applyFill="1" applyBorder="1" applyNumberFormat="1">
      <alignment horizontal="right" vertical="center" wrapText="1"/>
      <protection locked="0"/>
    </xf>
    <xf numFmtId="0" fontId="48" fillId="0" borderId="0" xfId="0" applyFont="1" applyNumberFormat="1">
      <alignment vertical="center" wrapText="1"/>
    </xf>
    <xf numFmtId="0" fontId="48" fillId="0" borderId="0" xfId="0" applyFont="1" applyNumberFormat="1">
      <alignment vertical="center"/>
    </xf>
    <xf numFmtId="0" fontId="22" fillId="0" borderId="0" xfId="0" applyFont="1" applyNumberFormat="1">
      <alignment vertical="center" wrapText="1"/>
    </xf>
    <xf numFmtId="49" fontId="0" fillId="0" borderId="30" xfId="0" applyFont="1" applyBorder="1" applyNumberFormat="1">
      <alignment horizontal="center" vertical="center" wrapText="1"/>
    </xf>
    <xf numFmtId="0" fontId="22" fillId="40" borderId="27" xfId="0" applyFont="1" applyFill="1" applyBorder="1" applyNumberFormat="1">
      <alignment horizontal="left" vertical="center" wrapText="1"/>
    </xf>
    <xf numFmtId="0" fontId="48" fillId="0" borderId="0" xfId="0" applyFont="1" applyNumberFormat="1">
      <alignment vertical="center" wrapText="1"/>
    </xf>
    <xf numFmtId="0" fontId="88" fillId="0" borderId="0" xfId="0" applyFont="1" applyNumberFormat="1">
      <alignment vertical="center" wrapText="1"/>
    </xf>
    <xf numFmtId="0" fontId="37" fillId="35" borderId="0" xfId="0" applyFont="1" applyFill="1" applyNumberFormat="1">
      <alignment horizontal="center" vertical="center" wrapText="1"/>
    </xf>
    <xf numFmtId="0" fontId="22" fillId="0" borderId="19" xfId="0" applyFont="1" applyBorder="1" applyNumberFormat="1">
      <alignment horizontal="left" vertical="top" wrapText="1" indent="1"/>
    </xf>
    <xf numFmtId="0" fontId="64" fillId="0" borderId="0" xfId="0" applyFont="1" applyNumberFormat="1">
      <alignment vertical="center" wrapText="1"/>
    </xf>
    <xf numFmtId="0" fontId="58" fillId="0" borderId="0" xfId="0" applyFont="1" applyNumberFormat="1">
      <alignment vertical="center" wrapText="1"/>
    </xf>
    <xf numFmtId="0" fontId="60" fillId="0" borderId="0" xfId="0" applyFont="1" applyNumberFormat="1">
      <alignment vertical="center" wrapText="1"/>
    </xf>
    <xf numFmtId="0" fontId="22" fillId="0" borderId="23" xfId="0" applyFont="1" applyBorder="1" applyNumberFormat="1">
      <alignment horizontal="center" vertical="center" wrapText="1"/>
    </xf>
    <xf numFmtId="0" fontId="37" fillId="35"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0" fontId="32" fillId="0" borderId="0" xfId="0" applyFont="1" applyNumberFormat="1">
      <alignment vertical="center" wrapText="1"/>
    </xf>
    <xf numFmtId="0" fontId="60" fillId="35" borderId="0" xfId="0" applyFont="1" applyFill="1" applyNumberFormat="1">
      <alignment vertical="center" wrapText="1"/>
    </xf>
    <xf numFmtId="0" fontId="60" fillId="35" borderId="0" xfId="0" applyFont="1" applyFill="1" applyNumberFormat="1">
      <alignment horizontal="right" vertical="center"/>
    </xf>
    <xf numFmtId="0" fontId="60" fillId="35" borderId="0" xfId="0" applyFont="1" applyFill="1" applyNumberFormat="1">
      <alignment horizontal="right" vertical="center" wrapText="1"/>
    </xf>
    <xf numFmtId="0" fontId="22" fillId="0" borderId="20" xfId="0" applyFont="1" applyBorder="1" applyNumberFormat="1">
      <alignment horizontal="left" vertical="center" wrapText="1" indent="1"/>
    </xf>
    <xf numFmtId="0" fontId="22" fillId="0" borderId="17" xfId="0" applyFont="1" applyBorder="1" applyNumberFormat="1">
      <alignment horizontal="left" vertical="center" wrapText="1" indent="1"/>
    </xf>
    <xf numFmtId="0" fontId="22" fillId="0" borderId="37" xfId="0" applyFont="1" applyBorder="1" applyNumberFormat="1">
      <alignment horizontal="left" vertical="center" wrapText="1" indent="1"/>
    </xf>
    <xf numFmtId="0" fontId="46" fillId="0" borderId="0" xfId="0" applyFont="1" applyNumberFormat="1">
      <alignment horizontal="center" vertical="center" wrapText="1"/>
    </xf>
    <xf numFmtId="4" fontId="60" fillId="0" borderId="0" xfId="0" applyFont="1" applyNumberFormat="1">
      <alignment horizontal="right" vertical="center" wrapText="1"/>
    </xf>
    <xf numFmtId="0" fontId="22" fillId="35" borderId="12" xfId="0" applyFont="1" applyFill="1" applyBorder="1" applyNumberFormat="1">
      <alignment horizontal="center" vertical="center" wrapText="1"/>
    </xf>
    <xf numFmtId="0" fontId="22" fillId="35" borderId="12" xfId="0" applyFont="1" applyFill="1" applyBorder="1" applyNumberFormat="1">
      <alignment horizontal="center" vertical="center" wrapText="1"/>
    </xf>
    <xf numFmtId="0" fontId="22" fillId="0" borderId="12" xfId="0" applyFont="1" applyBorder="1" applyNumberFormat="1">
      <alignment horizontal="center" vertical="center" wrapText="1"/>
    </xf>
    <xf numFmtId="0" fontId="0" fillId="0" borderId="12" xfId="0" applyFont="1" applyBorder="1" applyNumberFormat="1">
      <alignment horizontal="center" vertical="center" wrapText="1"/>
    </xf>
    <xf numFmtId="49" fontId="36" fillId="35" borderId="15" xfId="0" applyFont="1" applyFill="1" applyBorder="1" applyNumberFormat="1">
      <alignment horizontal="center" vertical="center" wrapText="1"/>
    </xf>
    <xf numFmtId="49" fontId="36" fillId="35" borderId="15" xfId="0" applyFont="1" applyFill="1" applyBorder="1" applyNumberFormat="1">
      <alignment horizontal="center" vertical="center" wrapText="1"/>
    </xf>
    <xf numFmtId="0" fontId="37" fillId="35" borderId="0" xfId="0" applyFont="1" applyFill="1" applyNumberFormat="1">
      <alignment horizontal="center" vertical="center" wrapText="1"/>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49" fontId="22" fillId="0" borderId="12" xfId="0" applyFont="1" applyBorder="1" applyNumberFormat="1">
      <alignment horizontal="left" vertical="center" wrapText="1"/>
    </xf>
    <xf numFmtId="49" fontId="22" fillId="0" borderId="0" xfId="0" applyFont="1" applyNumberFormat="1">
      <alignment vertical="top"/>
    </xf>
    <xf numFmtId="0" fontId="37" fillId="35" borderId="24" xfId="0" applyFont="1" applyFill="1" applyBorder="1" applyNumberFormat="1">
      <alignment vertical="top"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49" fontId="53" fillId="37" borderId="13" xfId="0" applyFont="1" applyFill="1" applyBorder="1" applyNumberFormat="1">
      <alignment horizontal="left" vertical="center" wrapText="1"/>
    </xf>
    <xf numFmtId="0" fontId="0" fillId="0" borderId="36" xfId="0" applyFont="1" applyBorder="1" applyNumberFormat="1">
      <alignment horizontal="left" vertical="top" wrapText="1"/>
    </xf>
    <xf numFmtId="0" fontId="48" fillId="0" borderId="0" xfId="0" applyFont="1" applyNumberFormat="1">
      <alignment horizontal="left" vertical="center" wrapText="1"/>
    </xf>
    <xf numFmtId="49" fontId="48" fillId="0" borderId="0" xfId="0" applyFont="1" applyNumberFormat="1">
      <alignment horizontal="left" vertical="center" wrapText="1"/>
    </xf>
    <xf numFmtId="0" fontId="37" fillId="35" borderId="0" xfId="0" applyFont="1" applyFill="1" applyNumberFormat="1">
      <alignment vertical="top" wrapText="1"/>
    </xf>
    <xf numFmtId="0" fontId="48" fillId="35" borderId="23" xfId="0" applyFont="1" applyFill="1" applyBorder="1" applyNumberFormat="1">
      <alignment horizontal="center" vertical="center" wrapText="1"/>
    </xf>
    <xf numFmtId="14" fontId="22" fillId="40" borderId="23" xfId="0" applyFont="1" applyFill="1" applyBorder="1" applyNumberFormat="1">
      <alignment horizontal="left" vertical="center" wrapText="1"/>
    </xf>
    <xf numFmtId="14" fontId="22" fillId="40" borderId="12" xfId="0" applyFont="1" applyFill="1" applyBorder="1" applyNumberFormat="1">
      <alignment horizontal="center" vertical="center" wrapText="1"/>
    </xf>
    <xf numFmtId="49" fontId="53" fillId="39" borderId="12" xfId="0" applyFont="1" applyFill="1" applyBorder="1" applyNumberFormat="1">
      <alignment horizontal="left" vertical="center" wrapText="1"/>
      <protection locked="0"/>
    </xf>
    <xf numFmtId="49" fontId="50" fillId="37" borderId="15" xfId="0" applyFont="1" applyFill="1" applyBorder="1" applyNumberFormat="1">
      <alignment horizontal="center" vertical="center"/>
    </xf>
    <xf numFmtId="49" fontId="73" fillId="37" borderId="15" xfId="0" applyFont="1" applyFill="1" applyBorder="1" applyNumberFormat="1">
      <alignment horizontal="left" vertical="center" indent="1"/>
    </xf>
    <xf numFmtId="49" fontId="73" fillId="37" borderId="13" xfId="0" applyFont="1" applyFill="1" applyBorder="1" applyNumberFormat="1">
      <alignment horizontal="left" vertical="center" indent="1"/>
    </xf>
    <xf numFmtId="0" fontId="79" fillId="0" borderId="0" xfId="0" applyFont="1" applyNumberFormat="1">
      <alignment horizontal="center" vertical="center" wrapText="1"/>
    </xf>
    <xf numFmtId="0" fontId="45" fillId="0" borderId="0" xfId="0" applyFont="1" applyNumberFormat="1">
      <alignment vertical="top" wrapText="1"/>
    </xf>
    <xf numFmtId="0" fontId="22" fillId="0" borderId="0" xfId="0" applyFont="1" applyNumberFormat="1">
      <alignment horizontal="right" vertical="top" wrapText="1"/>
    </xf>
    <xf numFmtId="0" fontId="45" fillId="0" borderId="0" xfId="0" applyFont="1" applyNumberFormat="1">
      <alignment vertical="top"/>
    </xf>
    <xf numFmtId="0" fontId="22" fillId="0" borderId="0" xfId="0" applyFont="1" applyNumberFormat="1">
      <alignment vertical="center" wrapText="1"/>
    </xf>
    <xf numFmtId="0" fontId="47" fillId="0" borderId="0" xfId="0" applyFont="1" applyNumberFormat="1">
      <alignment horizontal="left" vertical="center" indent="1"/>
    </xf>
    <xf numFmtId="0" fontId="47" fillId="0" borderId="12" xfId="0" applyFont="1" applyBorder="1" applyNumberFormat="1">
      <alignment horizontal="center" vertical="center"/>
    </xf>
    <xf numFmtId="0" fontId="47" fillId="0" borderId="0" xfId="0" applyFont="1" applyNumberFormat="1">
      <alignment horizontal="center" vertical="center"/>
    </xf>
    <xf numFmtId="0" fontId="47" fillId="0" borderId="0" xfId="0" applyFont="1" applyNumberFormat="1">
      <alignment horizontal="left" vertical="center" wrapText="1"/>
    </xf>
    <xf numFmtId="49" fontId="22" fillId="0" borderId="0" xfId="0" applyFont="1" applyNumberFormat="1">
      <alignment vertical="center" wrapText="1"/>
    </xf>
    <xf numFmtId="49" fontId="22" fillId="0" borderId="0" xfId="0" applyFont="1" applyNumberFormat="1">
      <alignment vertical="top"/>
    </xf>
    <xf numFmtId="49" fontId="22" fillId="0" borderId="24" xfId="0" applyFont="1" applyBorder="1" applyNumberFormat="1">
      <alignment vertical="top"/>
    </xf>
    <xf numFmtId="0" fontId="22" fillId="35" borderId="12" xfId="0" applyFont="1" applyFill="1" applyBorder="1" applyNumberFormat="1">
      <alignment horizontal="left" vertical="center" wrapText="1"/>
    </xf>
    <xf numFmtId="0" fontId="22" fillId="0" borderId="12" xfId="0" applyFont="1" applyBorder="1" applyNumberFormat="1">
      <alignment vertical="center" wrapText="1"/>
    </xf>
    <xf numFmtId="0" fontId="22" fillId="0" borderId="12" xfId="0" applyFont="1" applyBorder="1" applyNumberFormat="1">
      <alignment horizontal="left" vertical="center" wrapText="1" indent="6"/>
    </xf>
    <xf numFmtId="0" fontId="22" fillId="34" borderId="14" xfId="0" applyFont="1" applyFill="1" applyBorder="1" applyNumberFormat="1">
      <alignment horizontal="left" vertical="center" wrapText="1"/>
    </xf>
    <xf numFmtId="0" fontId="22" fillId="34" borderId="15" xfId="0" applyFont="1" applyFill="1" applyBorder="1" applyNumberFormat="1">
      <alignment horizontal="left" vertical="center" wrapText="1"/>
    </xf>
    <xf numFmtId="0" fontId="22" fillId="34" borderId="13" xfId="0" applyFont="1" applyFill="1" applyBorder="1" applyNumberFormat="1">
      <alignment horizontal="left" vertical="center" wrapText="1"/>
    </xf>
    <xf numFmtId="0" fontId="45" fillId="0" borderId="12" xfId="0" applyFont="1" applyBorder="1" applyNumberFormat="1">
      <alignment vertical="top" wrapText="1"/>
    </xf>
    <xf numFmtId="0" fontId="47" fillId="0" borderId="14" xfId="0" applyFont="1" applyBorder="1" applyNumberFormat="1">
      <alignment horizontal="center" vertical="center"/>
    </xf>
    <xf numFmtId="0" fontId="22" fillId="0" borderId="0" xfId="0" applyFont="1" applyNumberFormat="1">
      <alignment horizontal="center" vertical="center" wrapText="1"/>
    </xf>
    <xf numFmtId="0" fontId="42" fillId="35" borderId="0" xfId="0" applyFont="1" applyFill="1" applyNumberFormat="1">
      <alignment horizontal="center" vertical="center" wrapText="1"/>
    </xf>
    <xf numFmtId="0" fontId="22" fillId="0" borderId="24" xfId="0" applyFont="1" applyBorder="1" applyNumberFormat="1">
      <alignment vertical="center" wrapText="1"/>
    </xf>
    <xf numFmtId="0" fontId="22" fillId="35" borderId="12" xfId="0" applyFont="1" applyFill="1" applyBorder="1" applyNumberFormat="1">
      <alignment horizontal="left" vertical="center" wrapText="1" indent="1"/>
    </xf>
    <xf numFmtId="0" fontId="37" fillId="0" borderId="0" xfId="0" applyFont="1" applyNumberFormat="1">
      <alignment vertical="center" wrapText="1"/>
    </xf>
    <xf numFmtId="0" fontId="22" fillId="35" borderId="12" xfId="0" applyFont="1" applyFill="1" applyBorder="1" applyNumberFormat="1">
      <alignment horizontal="left" vertical="center" wrapText="1" indent="2"/>
    </xf>
    <xf numFmtId="0" fontId="22" fillId="35" borderId="12" xfId="0" applyFont="1" applyFill="1" applyBorder="1" applyNumberFormat="1">
      <alignment horizontal="left" vertical="center" wrapText="1" indent="3"/>
    </xf>
    <xf numFmtId="0" fontId="47" fillId="0" borderId="12" xfId="0" applyFont="1" applyBorder="1" applyNumberFormat="1">
      <alignment horizontal="center" vertical="center" wrapText="1"/>
    </xf>
    <xf numFmtId="0" fontId="47" fillId="0" borderId="0" xfId="0" applyFont="1" applyNumberFormat="1">
      <alignment vertical="center" wrapText="1"/>
    </xf>
    <xf numFmtId="0" fontId="48" fillId="0" borderId="0" xfId="0" applyFont="1" applyNumberFormat="1">
      <alignment horizontal="center" vertical="center" wrapText="1"/>
    </xf>
    <xf numFmtId="0" fontId="48" fillId="0" borderId="0" xfId="0" applyFont="1" applyNumberFormat="1">
      <alignment horizontal="center" vertical="center" wrapText="1"/>
    </xf>
    <xf numFmtId="0" fontId="48" fillId="0" borderId="24" xfId="0" applyFont="1" applyBorder="1" applyNumberFormat="1">
      <alignment horizontal="center" vertical="center" wrapText="1"/>
    </xf>
    <xf numFmtId="0" fontId="22" fillId="35" borderId="12" xfId="0" applyFont="1" applyFill="1" applyBorder="1" applyNumberFormat="1">
      <alignment horizontal="left" vertical="center" wrapText="1" indent="4"/>
    </xf>
    <xf numFmtId="0" fontId="22" fillId="40" borderId="14" xfId="0" applyFont="1" applyFill="1" applyBorder="1" applyNumberFormat="1">
      <alignment horizontal="left" vertical="center" wrapText="1"/>
    </xf>
    <xf numFmtId="0" fontId="22" fillId="40" borderId="15" xfId="0" applyFont="1" applyFill="1" applyBorder="1" applyNumberFormat="1">
      <alignment horizontal="left" vertical="center" wrapText="1"/>
    </xf>
    <xf numFmtId="0" fontId="22" fillId="40" borderId="13" xfId="0" applyFont="1" applyFill="1" applyBorder="1" applyNumberFormat="1">
      <alignment horizontal="left" vertical="center" wrapText="1"/>
    </xf>
    <xf numFmtId="0" fontId="47" fillId="0" borderId="14" xfId="0" applyFont="1" applyBorder="1" applyNumberFormat="1">
      <alignment horizontal="center" vertical="center" wrapText="1"/>
    </xf>
    <xf numFmtId="0" fontId="47" fillId="0" borderId="0" xfId="0" applyFont="1" applyNumberFormat="1">
      <alignment vertical="center" wrapText="1"/>
    </xf>
    <xf numFmtId="0" fontId="48" fillId="0" borderId="24" xfId="0" applyFont="1" applyBorder="1" applyNumberFormat="1">
      <alignment vertical="center" wrapText="1"/>
    </xf>
    <xf numFmtId="0" fontId="22" fillId="35" borderId="12" xfId="0" applyFont="1" applyFill="1" applyBorder="1" applyNumberFormat="1">
      <alignment horizontal="left" vertical="center" wrapText="1" indent="5"/>
    </xf>
    <xf numFmtId="0" fontId="22" fillId="40" borderId="12" xfId="0" applyFont="1" applyFill="1" applyBorder="1" applyNumberFormat="1">
      <alignment horizontal="left" vertical="center" wrapText="1" indent="6"/>
    </xf>
    <xf numFmtId="4" fontId="22" fillId="36" borderId="12" xfId="0" applyFont="1" applyFill="1" applyBorder="1" applyNumberFormat="1">
      <alignment horizontal="right" vertical="center" wrapText="1"/>
      <protection locked="0"/>
    </xf>
    <xf numFmtId="4" fontId="22" fillId="0" borderId="12" xfId="0" applyFont="1" applyBorder="1" applyNumberFormat="1">
      <alignment horizontal="right" vertical="center" wrapText="1"/>
    </xf>
    <xf numFmtId="502" fontId="22" fillId="36" borderId="12" xfId="0" applyFont="1" applyFill="1" applyBorder="1" applyNumberFormat="1">
      <alignment horizontal="right" vertical="center" wrapText="1"/>
      <protection locked="0"/>
    </xf>
    <xf numFmtId="504" fontId="0" fillId="39" borderId="12" xfId="0" applyFont="1" applyFill="1" applyBorder="1" applyNumberFormat="1">
      <alignment horizontal="center" vertical="center" wrapText="1"/>
      <protection locked="0"/>
    </xf>
    <xf numFmtId="0" fontId="45" fillId="0" borderId="17" xfId="0" applyFont="1" applyBorder="1" applyNumberFormat="1">
      <alignment horizontal="left" vertical="top" wrapText="1"/>
    </xf>
    <xf numFmtId="49" fontId="22" fillId="0" borderId="12" xfId="0" applyFont="1" applyBorder="1" applyNumberFormat="1">
      <alignment horizontal="left" vertical="center" wrapText="1"/>
    </xf>
    <xf numFmtId="4" fontId="48" fillId="0" borderId="12" xfId="0" applyFont="1" applyBorder="1" applyNumberFormat="1">
      <alignment horizontal="center" vertical="center" wrapText="1"/>
    </xf>
    <xf numFmtId="49" fontId="0" fillId="39" borderId="12" xfId="0" applyFont="1" applyFill="1" applyBorder="1" applyNumberFormat="1">
      <alignment horizontal="center" vertical="center" wrapText="1"/>
      <protection locked="0"/>
    </xf>
    <xf numFmtId="0" fontId="45" fillId="0" borderId="36" xfId="0" applyFont="1" applyBorder="1" applyNumberFormat="1">
      <alignment horizontal="left" vertical="top" wrapText="1"/>
    </xf>
    <xf numFmtId="49" fontId="73" fillId="37" borderId="14" xfId="0" applyFont="1" applyFill="1" applyBorder="1" applyNumberFormat="1">
      <alignment horizontal="left" vertical="center"/>
    </xf>
    <xf numFmtId="49" fontId="40" fillId="37" borderId="15" xfId="0" applyFont="1" applyFill="1" applyBorder="1" applyNumberFormat="1">
      <alignment horizontal="left" vertical="center" indent="6"/>
    </xf>
    <xf numFmtId="49" fontId="22" fillId="37" borderId="13" xfId="0" applyFont="1" applyFill="1" applyBorder="1" applyNumberFormat="1">
      <alignment horizontal="center" vertical="center" wrapText="1"/>
    </xf>
    <xf numFmtId="0" fontId="45" fillId="0" borderId="23" xfId="0" applyFont="1" applyBorder="1" applyNumberFormat="1">
      <alignment horizontal="left" vertical="top" wrapText="1"/>
    </xf>
    <xf numFmtId="49" fontId="40" fillId="37" borderId="15" xfId="0" applyFont="1" applyFill="1" applyBorder="1" applyNumberFormat="1">
      <alignment horizontal="left" vertical="center" indent="5"/>
    </xf>
    <xf numFmtId="49" fontId="0" fillId="37" borderId="15" xfId="0" applyFont="1" applyFill="1" applyBorder="1" applyNumberFormat="1">
      <alignment horizontal="center" vertical="center" wrapText="1"/>
    </xf>
    <xf numFmtId="49" fontId="0" fillId="37" borderId="13" xfId="0" applyFont="1" applyFill="1" applyBorder="1" applyNumberFormat="1">
      <alignment horizontal="center" vertical="center" wrapText="1"/>
    </xf>
    <xf numFmtId="49" fontId="39" fillId="0" borderId="0" xfId="0" applyFont="1" applyNumberFormat="1">
      <alignment vertical="top"/>
    </xf>
    <xf numFmtId="49" fontId="40" fillId="37" borderId="15" xfId="0" applyFont="1" applyFill="1" applyBorder="1" applyNumberFormat="1">
      <alignment horizontal="left" vertical="center" indent="4"/>
    </xf>
    <xf numFmtId="0" fontId="48" fillId="0" borderId="0" xfId="0" applyFont="1" applyNumberFormat="1">
      <alignment horizontal="left" vertical="center" indent="1"/>
    </xf>
    <xf numFmtId="0" fontId="48" fillId="0" borderId="0" xfId="0" applyFont="1" applyNumberFormat="1">
      <alignment horizontal="center" vertical="center"/>
    </xf>
    <xf numFmtId="0" fontId="48" fillId="0" borderId="0" xfId="0" applyFont="1" applyNumberFormat="1">
      <alignment horizontal="left" vertical="center" wrapText="1"/>
    </xf>
    <xf numFmtId="49" fontId="48" fillId="0" borderId="0" xfId="0" applyFont="1" applyNumberFormat="1">
      <alignment vertical="top"/>
    </xf>
    <xf numFmtId="49" fontId="107" fillId="0" borderId="0" xfId="0" applyFont="1" applyNumberFormat="1">
      <alignment vertical="top"/>
    </xf>
    <xf numFmtId="49" fontId="97" fillId="0" borderId="19" xfId="0" applyFont="1" applyBorder="1" applyNumberFormat="1">
      <alignment horizontal="left" vertical="center"/>
    </xf>
    <xf numFmtId="49" fontId="48" fillId="0" borderId="19" xfId="0" applyFont="1" applyBorder="1" applyNumberFormat="1">
      <alignment horizontal="left" vertical="center" indent="3"/>
    </xf>
    <xf numFmtId="49" fontId="48" fillId="0" borderId="19" xfId="0" applyFont="1" applyBorder="1" applyNumberFormat="1">
      <alignment horizontal="center" vertical="center" wrapText="1"/>
    </xf>
    <xf numFmtId="0" fontId="48" fillId="0" borderId="0" xfId="0" applyFont="1" applyNumberFormat="1">
      <alignment vertical="center" wrapText="1"/>
    </xf>
    <xf numFmtId="49" fontId="48" fillId="0" borderId="0" xfId="0" applyFont="1" applyNumberFormat="1">
      <alignment horizontal="left" vertical="center"/>
    </xf>
    <xf numFmtId="49" fontId="97" fillId="0" borderId="0" xfId="0" applyFont="1" applyNumberFormat="1">
      <alignment horizontal="left" vertical="center"/>
    </xf>
    <xf numFmtId="49" fontId="48" fillId="0" borderId="0" xfId="0" applyFont="1" applyNumberFormat="1">
      <alignment horizontal="left" vertical="center" indent="2"/>
    </xf>
    <xf numFmtId="49" fontId="48" fillId="0" borderId="0" xfId="0" applyFont="1" applyNumberFormat="1">
      <alignment horizontal="center" vertical="center" wrapText="1"/>
    </xf>
    <xf numFmtId="49" fontId="48" fillId="0" borderId="0" xfId="0" applyFont="1" applyNumberFormat="1">
      <alignment horizontal="left" vertical="center" indent="1"/>
    </xf>
    <xf numFmtId="49" fontId="22" fillId="0" borderId="0" xfId="0" applyFont="1" applyNumberFormat="1">
      <alignment vertical="center" wrapText="1"/>
    </xf>
    <xf numFmtId="4" fontId="47" fillId="0" borderId="12" xfId="0" applyFont="1" applyBorder="1" applyNumberFormat="1">
      <alignment horizontal="right" vertical="center" wrapText="1"/>
    </xf>
    <xf numFmtId="502" fontId="47" fillId="0" borderId="12" xfId="0" applyFont="1" applyBorder="1" applyNumberFormat="1">
      <alignment horizontal="right" vertical="center" wrapText="1"/>
    </xf>
    <xf numFmtId="504" fontId="47" fillId="0" borderId="12" xfId="0" applyFont="1" applyBorder="1" applyNumberFormat="1">
      <alignment horizontal="center" vertical="center" wrapText="1"/>
    </xf>
    <xf numFmtId="49" fontId="47" fillId="0" borderId="12" xfId="0" applyFont="1" applyBorder="1" applyNumberFormat="1">
      <alignment horizontal="center" vertical="center" wrapText="1"/>
    </xf>
    <xf numFmtId="0" fontId="47" fillId="0" borderId="0" xfId="0" applyFont="1" applyNumberFormat="1">
      <alignment horizontal="center" vertical="center" wrapText="1"/>
    </xf>
    <xf numFmtId="49" fontId="47" fillId="0" borderId="0" xfId="0" applyFont="1" applyNumberFormat="1">
      <alignment vertical="center" wrapText="1"/>
    </xf>
    <xf numFmtId="49" fontId="47" fillId="0" borderId="12" xfId="0" applyFont="1" applyBorder="1" applyNumberFormat="1">
      <alignment vertical="center" wrapText="1"/>
    </xf>
    <xf numFmtId="0" fontId="69" fillId="0" borderId="0" xfId="0" applyFont="1" applyNumberFormat="1">
      <alignment vertical="center" wrapText="1"/>
    </xf>
    <xf numFmtId="0" fontId="47" fillId="0" borderId="0" xfId="0" applyFont="1" applyNumberFormat="1">
      <alignment horizontal="left" vertical="center" wrapText="1"/>
    </xf>
    <xf numFmtId="0" fontId="47" fillId="0" borderId="0" xfId="0" applyFont="1" applyNumberFormat="1">
      <alignment vertical="center" wrapText="1"/>
    </xf>
    <xf numFmtId="0" fontId="39" fillId="35" borderId="0" xfId="0" applyFont="1" applyFill="1" applyNumberFormat="1">
      <alignment vertical="center" wrapText="1"/>
    </xf>
    <xf numFmtId="0" fontId="22" fillId="35" borderId="0" xfId="0" applyFont="1" applyFill="1" applyNumberFormat="1">
      <alignment horizontal="left" vertical="center" wrapText="1"/>
    </xf>
    <xf numFmtId="0" fontId="22" fillId="35" borderId="0" xfId="0" applyFont="1" applyFill="1" applyNumberFormat="1">
      <alignment vertical="center" wrapText="1"/>
    </xf>
    <xf numFmtId="0" fontId="22" fillId="0" borderId="19" xfId="0" applyFont="1" applyBorder="1" applyNumberFormat="1">
      <alignment horizontal="left" vertical="top" wrapText="1" indent="1"/>
    </xf>
    <xf numFmtId="0" fontId="46" fillId="0" borderId="0" xfId="0" applyFont="1" applyNumberFormat="1">
      <alignment vertical="center" wrapText="1"/>
    </xf>
    <xf numFmtId="0" fontId="22" fillId="0" borderId="27" xfId="0" applyFont="1" applyBorder="1" applyNumberFormat="1">
      <alignment horizontal="left" vertical="center" wrapText="1" indent="1"/>
    </xf>
    <xf numFmtId="0" fontId="50" fillId="35" borderId="0" xfId="0" applyFont="1" applyFill="1" applyNumberFormat="1">
      <alignment horizontal="center" vertical="center" wrapText="1"/>
    </xf>
    <xf numFmtId="0" fontId="47" fillId="0" borderId="0" xfId="0" applyFont="1" applyNumberFormat="1">
      <alignment vertical="center"/>
    </xf>
    <xf numFmtId="0" fontId="47" fillId="0" borderId="0" xfId="0" applyFont="1" applyNumberFormat="1">
      <alignment horizontal="center" vertical="center"/>
    </xf>
    <xf numFmtId="0" fontId="0" fillId="35" borderId="12" xfId="0" applyFont="1" applyFill="1" applyBorder="1" applyNumberFormat="1">
      <alignment horizontal="right" vertical="center" wrapText="1" indent="1"/>
    </xf>
    <xf numFmtId="0" fontId="0" fillId="0" borderId="15" xfId="0" applyFont="1" applyBorder="1" applyNumberFormat="1">
      <alignment vertical="center"/>
    </xf>
    <xf numFmtId="0" fontId="22" fillId="34" borderId="12" xfId="0" applyFont="1" applyFill="1" applyBorder="1" applyNumberFormat="1">
      <alignment horizontal="left" vertical="center" wrapText="1" indent="1"/>
    </xf>
    <xf numFmtId="0" fontId="22" fillId="0" borderId="0" xfId="0" applyFont="1" applyNumberFormat="1">
      <alignment vertical="center" wrapText="1"/>
    </xf>
    <xf numFmtId="0" fontId="68" fillId="0" borderId="0" xfId="0" applyFont="1" applyNumberFormat="1">
      <alignment vertical="center"/>
    </xf>
    <xf numFmtId="0" fontId="48" fillId="0" borderId="0" xfId="0" applyFont="1" applyNumberFormat="1">
      <alignment vertical="center"/>
    </xf>
    <xf numFmtId="0" fontId="0" fillId="0" borderId="0" xfId="0" applyFont="1" applyNumberFormat="1">
      <alignment vertical="center"/>
    </xf>
    <xf numFmtId="504" fontId="22" fillId="34" borderId="12" xfId="0" applyFont="1" applyFill="1" applyBorder="1" applyNumberFormat="1">
      <alignment horizontal="left" vertical="center" wrapText="1" indent="1"/>
    </xf>
    <xf numFmtId="49" fontId="22" fillId="0" borderId="0" xfId="0" applyFont="1" applyNumberFormat="1">
      <alignment vertical="center" wrapText="1"/>
    </xf>
    <xf numFmtId="0" fontId="22" fillId="0" borderId="0" xfId="0" applyFont="1" applyNumberFormat="1">
      <alignment horizontal="right" vertical="center" wrapText="1"/>
    </xf>
    <xf numFmtId="0" fontId="48" fillId="0" borderId="0" xfId="0" applyFont="1" applyNumberFormat="1">
      <alignment vertical="center" wrapText="1"/>
    </xf>
    <xf numFmtId="0" fontId="22" fillId="35" borderId="27" xfId="0" applyFont="1" applyFill="1" applyBorder="1" applyNumberFormat="1">
      <alignment vertical="center" wrapText="1"/>
    </xf>
    <xf numFmtId="0" fontId="37" fillId="0" borderId="27" xfId="0" applyFont="1" applyBorder="1" applyNumberFormat="1">
      <alignment horizontal="center" vertical="center" wrapText="1"/>
    </xf>
    <xf numFmtId="0" fontId="22" fillId="35" borderId="12" xfId="0" applyFont="1" applyFill="1" applyBorder="1" applyNumberFormat="1">
      <alignment horizontal="left" vertical="center" wrapText="1"/>
    </xf>
    <xf numFmtId="0" fontId="22" fillId="0" borderId="17" xfId="0" applyFont="1" applyBorder="1" applyNumberFormat="1">
      <alignment vertical="center" wrapText="1"/>
    </xf>
    <xf numFmtId="0" fontId="0" fillId="35" borderId="14" xfId="0" applyFont="1" applyFill="1" applyBorder="1" applyNumberFormat="1">
      <alignment horizontal="center" vertical="center" wrapText="1"/>
    </xf>
    <xf numFmtId="0" fontId="0" fillId="35" borderId="15" xfId="0" applyFont="1" applyFill="1" applyBorder="1" applyNumberFormat="1">
      <alignment horizontal="center" vertical="center" wrapText="1"/>
    </xf>
    <xf numFmtId="0" fontId="0" fillId="35" borderId="13" xfId="0" applyFont="1" applyFill="1" applyBorder="1" applyNumberFormat="1">
      <alignment horizontal="center" vertical="center" wrapText="1"/>
    </xf>
    <xf numFmtId="0" fontId="22" fillId="35" borderId="17" xfId="0" applyFont="1" applyFill="1" applyBorder="1" applyNumberFormat="1">
      <alignment horizontal="center" vertical="center" wrapText="1"/>
    </xf>
    <xf numFmtId="49" fontId="40" fillId="37" borderId="17" xfId="0" applyFont="1" applyFill="1" applyBorder="1" applyNumberFormat="1">
      <alignment horizontal="center" vertical="center" textRotation="90" wrapText="1"/>
    </xf>
    <xf numFmtId="0" fontId="22" fillId="0" borderId="36" xfId="0" applyFont="1" applyBorder="1" applyNumberFormat="1">
      <alignment vertical="center" wrapText="1"/>
    </xf>
    <xf numFmtId="0" fontId="22" fillId="0" borderId="17" xfId="0" applyFont="1" applyBorder="1" applyNumberFormat="1">
      <alignment horizontal="center" vertical="center" wrapText="1"/>
    </xf>
    <xf numFmtId="0" fontId="47" fillId="0" borderId="17" xfId="0" applyFont="1" applyBorder="1" applyNumberFormat="1">
      <alignment horizontal="center" vertical="center" wrapText="1"/>
    </xf>
    <xf numFmtId="0" fontId="22" fillId="0" borderId="14" xfId="0" applyFont="1" applyBorder="1" applyNumberFormat="1">
      <alignment horizontal="center" vertical="center" wrapText="1"/>
    </xf>
    <xf numFmtId="0" fontId="22" fillId="0" borderId="13" xfId="0" applyFont="1" applyBorder="1" applyNumberFormat="1">
      <alignment horizontal="center" vertical="center" wrapText="1"/>
    </xf>
    <xf numFmtId="0" fontId="22" fillId="0" borderId="15" xfId="0" applyFont="1" applyBorder="1" applyNumberFormat="1">
      <alignment horizontal="center" vertical="center" wrapText="1"/>
    </xf>
    <xf numFmtId="0" fontId="22" fillId="35" borderId="36" xfId="0" applyFont="1" applyFill="1" applyBorder="1" applyNumberFormat="1">
      <alignment horizontal="center" vertical="center" wrapText="1"/>
    </xf>
    <xf numFmtId="0" fontId="47" fillId="0" borderId="17" xfId="0" applyFont="1" applyBorder="1" applyNumberFormat="1">
      <alignment horizontal="center" vertical="center" wrapText="1"/>
    </xf>
    <xf numFmtId="49" fontId="40" fillId="37" borderId="36" xfId="0" applyFont="1" applyFill="1" applyBorder="1" applyNumberFormat="1">
      <alignment horizontal="center" vertical="center" textRotation="90" wrapText="1"/>
    </xf>
    <xf numFmtId="0" fontId="47" fillId="0" borderId="0" xfId="0" applyFont="1" applyNumberFormat="1">
      <alignment vertical="center"/>
    </xf>
    <xf numFmtId="0" fontId="22" fillId="0" borderId="23" xfId="0" applyFont="1" applyBorder="1" applyNumberFormat="1">
      <alignment vertical="center" wrapText="1"/>
    </xf>
    <xf numFmtId="0" fontId="22" fillId="0" borderId="23" xfId="0" applyFont="1" applyBorder="1" applyNumberFormat="1">
      <alignment horizontal="center" vertical="center" wrapText="1"/>
    </xf>
    <xf numFmtId="0" fontId="47" fillId="0" borderId="23" xfId="0" applyFont="1" applyBorder="1" applyNumberFormat="1">
      <alignment horizontal="center" vertical="center" wrapText="1"/>
    </xf>
    <xf numFmtId="0" fontId="0" fillId="0" borderId="12" xfId="0" applyFont="1" applyBorder="1" applyNumberFormat="1">
      <alignment horizontal="center" vertical="center" wrapText="1"/>
    </xf>
    <xf numFmtId="0" fontId="0" fillId="0" borderId="12" xfId="0" applyFont="1" applyBorder="1" applyNumberFormat="1">
      <alignment horizontal="center" vertical="center" wrapText="1"/>
    </xf>
    <xf numFmtId="0" fontId="0" fillId="0" borderId="14" xfId="0" applyFont="1" applyBorder="1" applyNumberFormat="1">
      <alignment horizontal="center" vertical="center" wrapText="1"/>
    </xf>
    <xf numFmtId="0" fontId="0" fillId="0" borderId="13" xfId="0" applyFont="1" applyBorder="1" applyNumberFormat="1">
      <alignment horizontal="center" vertical="center" wrapText="1"/>
    </xf>
    <xf numFmtId="0" fontId="22" fillId="35" borderId="23" xfId="0" applyFont="1" applyFill="1" applyBorder="1" applyNumberFormat="1">
      <alignment horizontal="center" vertical="center" wrapText="1"/>
    </xf>
    <xf numFmtId="0" fontId="0" fillId="0" borderId="12" xfId="0" applyFont="1" applyBorder="1" applyNumberFormat="1">
      <alignment horizontal="center" vertical="center" wrapText="1"/>
    </xf>
    <xf numFmtId="49" fontId="40" fillId="37" borderId="23" xfId="0" applyFont="1" applyFill="1" applyBorder="1" applyNumberFormat="1">
      <alignment horizontal="center" vertical="center" textRotation="90" wrapText="1"/>
    </xf>
    <xf numFmtId="49" fontId="72" fillId="0" borderId="0" xfId="0" applyFont="1" applyNumberFormat="1">
      <alignment vertical="center" wrapText="1"/>
    </xf>
    <xf numFmtId="0" fontId="106" fillId="35" borderId="0" xfId="0" applyFont="1" applyFill="1" applyNumberFormat="1">
      <alignment vertical="center" wrapText="1"/>
    </xf>
    <xf numFmtId="0" fontId="107" fillId="35" borderId="0" xfId="0" applyFont="1" applyFill="1" applyNumberFormat="1">
      <alignment vertical="center" wrapText="1"/>
    </xf>
    <xf numFmtId="49" fontId="80" fillId="35" borderId="19" xfId="0" applyFont="1" applyFill="1" applyBorder="1" applyNumberFormat="1">
      <alignment horizontal="left" vertical="center" wrapText="1"/>
    </xf>
    <xf numFmtId="49" fontId="80" fillId="35" borderId="19" xfId="0" applyFont="1" applyFill="1" applyBorder="1" applyNumberFormat="1">
      <alignment horizontal="center" vertical="center" wrapText="1"/>
    </xf>
    <xf numFmtId="0" fontId="48" fillId="35" borderId="19" xfId="0" applyFont="1" applyFill="1" applyBorder="1" applyNumberFormat="1">
      <alignment horizontal="center" vertical="center" wrapText="1"/>
    </xf>
    <xf numFmtId="0" fontId="80" fillId="35" borderId="19" xfId="0" applyFont="1" applyFill="1" applyBorder="1" applyNumberFormat="1">
      <alignment horizontal="center" vertical="center" wrapText="1"/>
    </xf>
    <xf numFmtId="0" fontId="80" fillId="35" borderId="19" xfId="0" applyFont="1" applyFill="1" applyBorder="1" applyNumberFormat="1">
      <alignment horizontal="center" vertical="center" wrapText="1"/>
    </xf>
    <xf numFmtId="0" fontId="80" fillId="35" borderId="19" xfId="0" applyFont="1" applyFill="1" applyBorder="1" applyNumberFormat="1">
      <alignment horizontal="center" vertical="center" wrapText="1"/>
    </xf>
    <xf numFmtId="0" fontId="22" fillId="35" borderId="12" xfId="0" applyFont="1" applyFill="1" applyBorder="1" applyNumberFormat="1">
      <alignment horizontal="left" vertical="center" wrapText="1"/>
    </xf>
    <xf numFmtId="0" fontId="22" fillId="0" borderId="0" xfId="0" applyFont="1" applyNumberFormat="1">
      <alignment horizontal="center" vertical="center" wrapText="1"/>
    </xf>
    <xf numFmtId="0" fontId="48" fillId="0" borderId="0" xfId="0" applyFont="1" applyNumberFormat="1">
      <alignment horizontal="center" vertical="center" wrapText="1"/>
    </xf>
    <xf numFmtId="504" fontId="0" fillId="39" borderId="17" xfId="0" applyFont="1" applyFill="1" applyBorder="1" applyNumberFormat="1">
      <alignment horizontal="center" vertical="center" wrapText="1"/>
      <protection locked="0"/>
    </xf>
    <xf numFmtId="4" fontId="22" fillId="0" borderId="17" xfId="0" applyFont="1" applyBorder="1" applyNumberFormat="1">
      <alignment horizontal="right" vertical="center" wrapText="1"/>
    </xf>
    <xf numFmtId="49" fontId="22" fillId="0" borderId="12" xfId="0" applyFont="1" applyBorder="1" applyNumberFormat="1">
      <alignment horizontal="left" vertical="center" wrapText="1"/>
    </xf>
    <xf numFmtId="49" fontId="0" fillId="39" borderId="23" xfId="0" applyFont="1" applyFill="1" applyBorder="1" applyNumberFormat="1">
      <alignment horizontal="center" vertical="center" wrapText="1"/>
      <protection locked="0"/>
    </xf>
    <xf numFmtId="4" fontId="22" fillId="0" borderId="23" xfId="0" applyFont="1" applyBorder="1" applyNumberFormat="1">
      <alignment horizontal="right" vertical="center" wrapText="1"/>
    </xf>
    <xf numFmtId="0" fontId="48" fillId="0" borderId="0" xfId="0" applyFont="1" applyNumberFormat="1">
      <alignment horizontal="left" vertical="center" indent="1"/>
    </xf>
    <xf numFmtId="0" fontId="48" fillId="0" borderId="0" xfId="0" applyFont="1" applyNumberFormat="1">
      <alignment horizontal="center" vertical="center"/>
    </xf>
    <xf numFmtId="49" fontId="48" fillId="0" borderId="0" xfId="0" applyFont="1" applyNumberFormat="1">
      <alignment vertical="top"/>
    </xf>
    <xf numFmtId="49" fontId="107" fillId="0" borderId="0" xfId="0" applyFont="1" applyNumberFormat="1">
      <alignment vertical="top"/>
    </xf>
    <xf numFmtId="0" fontId="22" fillId="0" borderId="0" xfId="0" applyFont="1" applyNumberFormat="1">
      <alignment horizontal="right" vertical="top" wrapText="1"/>
    </xf>
    <xf numFmtId="0" fontId="22" fillId="0" borderId="0" xfId="0" applyFont="1" applyNumberFormat="1">
      <alignment horizontal="left" vertical="top" wrapText="1"/>
    </xf>
    <xf numFmtId="49" fontId="22" fillId="0" borderId="0" xfId="0" applyFont="1" applyNumberFormat="1">
      <alignment vertical="center" wrapText="1"/>
    </xf>
    <xf numFmtId="49" fontId="22" fillId="0" borderId="0" xfId="0" applyFont="1" applyNumberFormat="1">
      <alignment vertical="center" wrapText="1"/>
    </xf>
    <xf numFmtId="0" fontId="39" fillId="0" borderId="0" xfId="0" applyFont="1" applyNumberFormat="1">
      <alignment vertical="center" wrapText="1"/>
    </xf>
    <xf numFmtId="0" fontId="22" fillId="0" borderId="0" xfId="0" applyFont="1" applyNumberFormat="1">
      <alignment horizontal="left" vertical="center" wrapText="1"/>
    </xf>
    <xf numFmtId="0" fontId="47" fillId="0" borderId="0" xfId="0" applyFont="1" applyNumberFormat="1">
      <alignment horizontal="center" vertical="center" wrapText="1"/>
    </xf>
    <xf numFmtId="49" fontId="47" fillId="0" borderId="0" xfId="0" applyFont="1" applyNumberFormat="1">
      <alignment vertical="center" wrapText="1"/>
    </xf>
    <xf numFmtId="49" fontId="22" fillId="0" borderId="0" xfId="0" applyFont="1" applyNumberFormat="1">
      <alignment vertical="center" wrapText="1"/>
    </xf>
    <xf numFmtId="0" fontId="39" fillId="0" borderId="0" xfId="0" applyFont="1" applyNumberFormat="1">
      <alignment vertical="center" wrapText="1"/>
    </xf>
    <xf numFmtId="0" fontId="22" fillId="0" borderId="0" xfId="0" applyFont="1" applyNumberFormat="1">
      <alignment horizontal="left" vertical="center" wrapText="1"/>
    </xf>
    <xf numFmtId="0" fontId="22" fillId="35" borderId="12" xfId="0" applyFont="1" applyFill="1" applyBorder="1" applyNumberFormat="1">
      <alignment horizontal="left" vertical="center" wrapText="1"/>
    </xf>
    <xf numFmtId="0" fontId="22" fillId="0" borderId="0" xfId="0" applyFont="1" applyNumberFormat="1">
      <alignment horizontal="center" vertical="center" wrapText="1"/>
    </xf>
    <xf numFmtId="0" fontId="48" fillId="0" borderId="0" xfId="0" applyFont="1" applyNumberFormat="1">
      <alignment horizontal="center" vertical="center" wrapText="1"/>
    </xf>
    <xf numFmtId="49" fontId="22" fillId="0" borderId="12" xfId="0" applyFont="1" applyBorder="1" applyNumberFormat="1">
      <alignment horizontal="left" vertical="center" wrapText="1"/>
    </xf>
    <xf numFmtId="0" fontId="22" fillId="0" borderId="0" xfId="0" applyFont="1" applyNumberFormat="1">
      <alignment horizontal="right" vertical="center" wrapText="1"/>
    </xf>
    <xf numFmtId="0" fontId="0" fillId="0" borderId="12" xfId="0" applyFont="1" applyBorder="1" applyNumberFormat="1">
      <alignment horizontal="center" vertical="center" wrapText="1"/>
    </xf>
    <xf numFmtId="0" fontId="80" fillId="35" borderId="19" xfId="0" applyFont="1" applyFill="1" applyBorder="1" applyNumberFormat="1">
      <alignment horizontal="center" vertical="center" wrapText="1"/>
    </xf>
    <xf numFmtId="504" fontId="0" fillId="39" borderId="12" xfId="0" applyFont="1" applyFill="1" applyBorder="1" applyNumberFormat="1">
      <alignment horizontal="center" vertical="center" wrapText="1"/>
      <protection locked="0"/>
    </xf>
    <xf numFmtId="504" fontId="0" fillId="39" borderId="17" xfId="0" applyFont="1" applyFill="1" applyBorder="1" applyNumberFormat="1">
      <alignment horizontal="center" vertical="center" wrapText="1"/>
      <protection locked="0"/>
    </xf>
    <xf numFmtId="49" fontId="0" fillId="0" borderId="0" xfId="0" applyFont="1" applyNumberFormat="1">
      <alignment vertical="top"/>
    </xf>
    <xf numFmtId="0" fontId="47" fillId="0" borderId="0" xfId="0" applyFont="1" applyNumberFormat="1">
      <alignment horizontal="left" vertical="center" indent="1"/>
    </xf>
    <xf numFmtId="0" fontId="47" fillId="0" borderId="14" xfId="0" applyFont="1" applyBorder="1" applyNumberFormat="1">
      <alignment horizontal="center" vertical="center"/>
    </xf>
    <xf numFmtId="0" fontId="47" fillId="0" borderId="14" xfId="0" applyFont="1" applyBorder="1" applyNumberFormat="1">
      <alignment horizontal="center" vertical="center" wrapText="1"/>
    </xf>
    <xf numFmtId="0" fontId="47" fillId="0" borderId="12" xfId="0" applyFont="1" applyBorder="1" applyNumberFormat="1">
      <alignment horizontal="center" vertical="center" wrapText="1"/>
    </xf>
    <xf numFmtId="0" fontId="47" fillId="0" borderId="0" xfId="0" applyFont="1" applyNumberFormat="1">
      <alignment horizontal="center" vertical="center"/>
    </xf>
    <xf numFmtId="0" fontId="47" fillId="0" borderId="0" xfId="0" applyFont="1" applyNumberFormat="1">
      <alignment vertical="center" wrapText="1"/>
    </xf>
    <xf numFmtId="49" fontId="47" fillId="0" borderId="0" xfId="0" applyFont="1" applyNumberFormat="1">
      <alignment vertical="center" wrapText="1"/>
    </xf>
    <xf numFmtId="0" fontId="48" fillId="0" borderId="0" xfId="0" applyFont="1" applyNumberFormat="1">
      <alignment horizontal="center" vertical="center" wrapText="1"/>
    </xf>
    <xf numFmtId="0" fontId="36" fillId="0" borderId="0" xfId="0" applyFont="1" applyNumberFormat="1">
      <alignment horizontal="center" vertical="center" wrapText="1"/>
    </xf>
    <xf numFmtId="0" fontId="48" fillId="0" borderId="24" xfId="0" applyFont="1" applyBorder="1" applyNumberFormat="1">
      <alignment vertical="center" wrapText="1"/>
    </xf>
    <xf numFmtId="0" fontId="22" fillId="35" borderId="12" xfId="0" applyFont="1" applyFill="1" applyBorder="1" applyNumberFormat="1">
      <alignment horizontal="left" vertical="center" wrapText="1"/>
    </xf>
    <xf numFmtId="0" fontId="22" fillId="35" borderId="12" xfId="0" applyFont="1" applyFill="1" applyBorder="1" applyNumberFormat="1">
      <alignment horizontal="left" vertical="center" wrapText="1" indent="5"/>
    </xf>
    <xf numFmtId="0" fontId="22" fillId="0" borderId="12" xfId="0" applyFont="1" applyBorder="1" applyNumberFormat="1">
      <alignment horizontal="left" vertical="center" wrapText="1" indent="6"/>
    </xf>
    <xf numFmtId="0" fontId="22" fillId="40" borderId="14" xfId="0" applyFont="1" applyFill="1" applyBorder="1" applyNumberFormat="1">
      <alignment horizontal="left" vertical="center" wrapText="1"/>
    </xf>
    <xf numFmtId="0" fontId="22" fillId="40" borderId="15" xfId="0" applyFont="1" applyFill="1" applyBorder="1" applyNumberFormat="1">
      <alignment horizontal="left" vertical="center" wrapText="1"/>
    </xf>
    <xf numFmtId="0" fontId="22" fillId="40" borderId="13" xfId="0" applyFont="1" applyFill="1" applyBorder="1" applyNumberFormat="1">
      <alignment horizontal="left" vertical="center" wrapText="1"/>
    </xf>
    <xf numFmtId="0" fontId="45" fillId="0" borderId="12" xfId="0" applyFont="1" applyBorder="1" applyNumberFormat="1">
      <alignment vertical="top" wrapText="1"/>
    </xf>
    <xf numFmtId="0" fontId="48" fillId="0" borderId="0" xfId="0" applyFont="1" applyNumberFormat="1">
      <alignment vertical="center" wrapText="1"/>
    </xf>
    <xf numFmtId="0" fontId="48" fillId="0" borderId="0" xfId="0" applyFont="1" applyNumberFormat="1">
      <alignment vertical="center"/>
    </xf>
    <xf numFmtId="0" fontId="22" fillId="0" borderId="0" xfId="0" applyFont="1" applyNumberFormat="1">
      <alignment vertical="center" wrapText="1"/>
    </xf>
    <xf numFmtId="49" fontId="0" fillId="0" borderId="0" xfId="0" applyFont="1" applyNumberFormat="1">
      <alignment vertical="top"/>
    </xf>
    <xf numFmtId="0" fontId="22" fillId="40" borderId="12" xfId="0" applyFont="1" applyFill="1" applyBorder="1" applyNumberFormat="1">
      <alignment horizontal="left" vertical="center" wrapText="1" indent="6"/>
    </xf>
    <xf numFmtId="4" fontId="22" fillId="36" borderId="12" xfId="0" applyFont="1" applyFill="1" applyBorder="1" applyNumberFormat="1">
      <alignment horizontal="right" vertical="center" wrapText="1"/>
      <protection locked="0"/>
    </xf>
    <xf numFmtId="4" fontId="22" fillId="0" borderId="12" xfId="0" applyFont="1" applyBorder="1" applyNumberFormat="1">
      <alignment horizontal="right" vertical="center" wrapText="1"/>
    </xf>
    <xf numFmtId="502" fontId="22" fillId="36" borderId="12" xfId="0" applyFont="1" applyFill="1" applyBorder="1" applyNumberFormat="1">
      <alignment horizontal="right" vertical="center" wrapText="1"/>
      <protection locked="0"/>
    </xf>
    <xf numFmtId="0" fontId="45" fillId="0" borderId="17" xfId="0" applyFont="1" applyBorder="1" applyNumberFormat="1">
      <alignment horizontal="left" vertical="top" wrapText="1"/>
    </xf>
    <xf numFmtId="49" fontId="0" fillId="0" borderId="0" xfId="0" applyFont="1" applyNumberFormat="1">
      <alignment vertical="top"/>
    </xf>
    <xf numFmtId="49" fontId="22" fillId="0" borderId="12" xfId="0" applyFont="1" applyBorder="1" applyNumberFormat="1">
      <alignment horizontal="left" vertical="center" wrapText="1"/>
    </xf>
    <xf numFmtId="4" fontId="48" fillId="0" borderId="12" xfId="0" applyFont="1" applyBorder="1" applyNumberFormat="1">
      <alignment horizontal="center" vertical="center" wrapText="1"/>
    </xf>
    <xf numFmtId="49" fontId="0" fillId="39" borderId="12" xfId="0" applyFont="1" applyFill="1" applyBorder="1" applyNumberFormat="1">
      <alignment horizontal="center" vertical="center" wrapText="1"/>
      <protection locked="0"/>
    </xf>
    <xf numFmtId="0" fontId="45" fillId="0" borderId="36" xfId="0" applyFont="1" applyBorder="1" applyNumberFormat="1">
      <alignment horizontal="left" vertical="top" wrapText="1"/>
    </xf>
    <xf numFmtId="49" fontId="0" fillId="0" borderId="0" xfId="0" applyFont="1" applyNumberFormat="1">
      <alignment vertical="top"/>
    </xf>
    <xf numFmtId="0" fontId="48" fillId="0" borderId="24" xfId="0" applyFont="1" applyBorder="1" applyNumberFormat="1">
      <alignment horizontal="center" vertical="center" wrapText="1"/>
    </xf>
    <xf numFmtId="49" fontId="73" fillId="37" borderId="14" xfId="0" applyFont="1" applyFill="1" applyBorder="1" applyNumberFormat="1">
      <alignment horizontal="left" vertical="center"/>
    </xf>
    <xf numFmtId="49" fontId="40" fillId="37" borderId="15" xfId="0" applyFont="1" applyFill="1" applyBorder="1" applyNumberFormat="1">
      <alignment horizontal="left" vertical="center" indent="6"/>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3" xfId="0" applyFont="1" applyFill="1" applyBorder="1" applyNumberFormat="1">
      <alignment horizontal="center" vertical="center" wrapText="1"/>
    </xf>
    <xf numFmtId="0" fontId="45" fillId="0" borderId="23" xfId="0" applyFont="1" applyBorder="1" applyNumberFormat="1">
      <alignment horizontal="left" vertical="top" wrapText="1"/>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73" fillId="37" borderId="14" xfId="0" applyFont="1" applyFill="1" applyBorder="1" applyNumberFormat="1">
      <alignment horizontal="left" vertical="center"/>
    </xf>
    <xf numFmtId="49" fontId="40" fillId="37" borderId="15" xfId="0" applyFont="1" applyFill="1" applyBorder="1" applyNumberFormat="1">
      <alignment horizontal="left" vertical="center" indent="6"/>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3" xfId="0" applyFont="1" applyFill="1" applyBorder="1" applyNumberFormat="1">
      <alignment horizontal="center" vertical="center" wrapText="1"/>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73" fillId="37" borderId="14" xfId="0" applyFont="1" applyFill="1" applyBorder="1" applyNumberFormat="1">
      <alignment horizontal="left" vertical="center"/>
    </xf>
    <xf numFmtId="49" fontId="40" fillId="37" borderId="15" xfId="0" applyFont="1" applyFill="1" applyBorder="1" applyNumberFormat="1">
      <alignment horizontal="left" vertical="center" indent="6"/>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3" xfId="0" applyFont="1" applyFill="1" applyBorder="1" applyNumberFormat="1">
      <alignment horizontal="center" vertical="center" wrapText="1"/>
    </xf>
    <xf numFmtId="0" fontId="22" fillId="0" borderId="12" xfId="0" applyFont="1" applyBorder="1" applyNumberFormat="1">
      <alignment horizontal="center" vertical="center"/>
    </xf>
    <xf numFmtId="0" fontId="22" fillId="0" borderId="0" xfId="0" applyFont="1" applyNumberFormat="1">
      <alignment horizontal="center" vertical="center"/>
    </xf>
    <xf numFmtId="0" fontId="22" fillId="35" borderId="12" xfId="0" applyFont="1" applyFill="1" applyBorder="1" applyNumberFormat="1">
      <alignment horizontal="left" vertical="center" wrapText="1"/>
    </xf>
    <xf numFmtId="0" fontId="22" fillId="0" borderId="12" xfId="0" applyFont="1" applyBorder="1" applyNumberFormat="1">
      <alignment vertical="center" wrapText="1"/>
    </xf>
    <xf numFmtId="0" fontId="22" fillId="0" borderId="14" xfId="0" applyFont="1" applyBorder="1" applyNumberFormat="1">
      <alignment horizontal="center" vertical="center"/>
    </xf>
    <xf numFmtId="0" fontId="22" fillId="0" borderId="0" xfId="0" applyFont="1" applyNumberFormat="1">
      <alignment horizontal="center" vertical="center" wrapText="1"/>
    </xf>
    <xf numFmtId="0" fontId="22" fillId="35" borderId="12" xfId="0" applyFont="1" applyFill="1" applyBorder="1" applyNumberFormat="1">
      <alignment horizontal="left" vertical="center" wrapText="1" indent="1"/>
    </xf>
    <xf numFmtId="0" fontId="22" fillId="0" borderId="0" xfId="0" applyFont="1" applyNumberFormat="1">
      <alignment vertical="center" wrapText="1"/>
    </xf>
    <xf numFmtId="0" fontId="48" fillId="0" borderId="0" xfId="0" applyFont="1" applyNumberFormat="1">
      <alignment horizontal="center" vertical="center" wrapText="1"/>
    </xf>
    <xf numFmtId="0" fontId="48" fillId="0" borderId="0" xfId="0" applyFont="1" applyNumberFormat="1">
      <alignment vertical="center" wrapText="1"/>
    </xf>
    <xf numFmtId="49" fontId="22" fillId="0" borderId="12" xfId="0" applyFont="1" applyBorder="1" applyNumberFormat="1">
      <alignment horizontal="left" vertical="center" wrapText="1"/>
    </xf>
    <xf numFmtId="0" fontId="72" fillId="0" borderId="0" xfId="0" applyFont="1" applyNumberFormat="1">
      <alignment horizontal="left" vertical="center" indent="1"/>
    </xf>
    <xf numFmtId="0" fontId="72" fillId="0" borderId="0" xfId="0" applyFont="1" applyNumberFormat="1">
      <alignment horizontal="center" vertical="center"/>
    </xf>
    <xf numFmtId="0" fontId="72" fillId="0" borderId="0" xfId="0" applyFont="1" applyNumberFormat="1">
      <alignment horizontal="left" vertical="center" wrapText="1"/>
    </xf>
    <xf numFmtId="0" fontId="72" fillId="0" borderId="0" xfId="0" applyFont="1" applyNumberFormat="1">
      <alignment vertical="center" wrapText="1"/>
    </xf>
    <xf numFmtId="0" fontId="48" fillId="0" borderId="0" xfId="0" applyFont="1" applyNumberFormat="1">
      <alignment vertical="center"/>
    </xf>
    <xf numFmtId="0" fontId="48" fillId="0" borderId="0" xfId="0" applyFont="1" applyNumberFormat="1">
      <alignment vertical="center" wrapText="1"/>
    </xf>
    <xf numFmtId="49" fontId="72" fillId="0" borderId="0" xfId="0" applyFont="1" applyNumberFormat="1">
      <alignment horizontal="left" vertical="center"/>
    </xf>
    <xf numFmtId="0" fontId="22" fillId="0" borderId="0" xfId="0" applyFont="1" applyNumberFormat="1">
      <alignment horizontal="center" vertical="center" wrapText="1"/>
    </xf>
    <xf numFmtId="49" fontId="22" fillId="0" borderId="0" xfId="0" applyFont="1" applyNumberFormat="1">
      <alignment vertical="center" wrapText="1"/>
    </xf>
    <xf numFmtId="49" fontId="22" fillId="0" borderId="12" xfId="0" applyFont="1" applyBorder="1" applyNumberFormat="1">
      <alignment vertical="center" wrapText="1"/>
    </xf>
    <xf numFmtId="0" fontId="22" fillId="0" borderId="0" xfId="0" applyFont="1" applyNumberFormat="1">
      <alignment vertical="center"/>
    </xf>
    <xf numFmtId="0" fontId="22" fillId="0" borderId="0" xfId="0" applyFont="1" applyNumberFormat="1">
      <alignment horizontal="center" vertical="center"/>
    </xf>
    <xf numFmtId="0" fontId="22" fillId="0" borderId="0" xfId="0" applyFont="1" applyNumberFormat="1">
      <alignment horizontal="right" vertical="center" wrapText="1"/>
    </xf>
    <xf numFmtId="0" fontId="22" fillId="0" borderId="17" xfId="0" applyFont="1" applyBorder="1" applyNumberFormat="1">
      <alignment vertical="center" wrapText="1"/>
    </xf>
    <xf numFmtId="0" fontId="0" fillId="0" borderId="12" xfId="0" applyFont="1" applyBorder="1" applyNumberFormat="1">
      <alignment horizontal="center" vertical="center" wrapText="1"/>
    </xf>
    <xf numFmtId="0" fontId="80" fillId="35" borderId="19" xfId="0" applyFont="1" applyFill="1" applyBorder="1" applyNumberFormat="1">
      <alignment horizontal="center" vertical="center" wrapText="1"/>
    </xf>
    <xf numFmtId="0" fontId="72" fillId="0" borderId="0" xfId="0" applyFont="1" applyNumberFormat="1">
      <alignment vertical="center" wrapText="1"/>
    </xf>
    <xf numFmtId="0" fontId="72" fillId="0" borderId="0" xfId="0" applyFont="1" applyNumberFormat="1">
      <alignment horizontal="left" vertical="center" indent="1"/>
    </xf>
    <xf numFmtId="0" fontId="72" fillId="0" borderId="0" xfId="0" applyFont="1" applyNumberFormat="1">
      <alignment horizontal="center" vertical="center"/>
    </xf>
    <xf numFmtId="0" fontId="22" fillId="0" borderId="0" xfId="0" applyFont="1" applyNumberFormat="1">
      <alignment horizontal="left" vertical="center" indent="1"/>
    </xf>
    <xf numFmtId="49" fontId="22" fillId="0" borderId="0" xfId="0" applyFont="1" applyNumberFormat="1">
      <alignment horizontal="left" vertical="center"/>
    </xf>
    <xf numFmtId="502" fontId="22" fillId="0" borderId="12" xfId="0" applyFont="1" applyBorder="1" applyNumberFormat="1">
      <alignment horizontal="right" vertical="center" wrapText="1"/>
    </xf>
    <xf numFmtId="0" fontId="0" fillId="35" borderId="19" xfId="0" applyFont="1" applyFill="1" applyBorder="1" applyNumberFormat="1">
      <alignment horizontal="center" vertical="center" wrapText="1"/>
    </xf>
    <xf numFmtId="0" fontId="48" fillId="0" borderId="17" xfId="0" applyFont="1" applyBorder="1" applyNumberFormat="1">
      <alignment horizontal="center" vertical="center" wrapText="1"/>
    </xf>
    <xf numFmtId="0" fontId="22" fillId="0" borderId="37" xfId="0" applyFont="1" applyBorder="1" applyNumberFormat="1">
      <alignment horizontal="center" vertical="center" wrapText="1"/>
    </xf>
    <xf numFmtId="0" fontId="48" fillId="0" borderId="12" xfId="0" applyFont="1" applyBorder="1" applyNumberFormat="1">
      <alignment vertical="center" wrapText="1"/>
    </xf>
    <xf numFmtId="0" fontId="48" fillId="0" borderId="23" xfId="0" applyFont="1" applyBorder="1" applyNumberFormat="1">
      <alignment horizontal="center" vertical="center" wrapText="1"/>
    </xf>
    <xf numFmtId="0" fontId="22" fillId="0" borderId="30" xfId="0" applyFont="1" applyBorder="1" applyNumberFormat="1">
      <alignment horizontal="center" vertical="center" wrapText="1"/>
    </xf>
    <xf numFmtId="0" fontId="48" fillId="0" borderId="12" xfId="0" applyFont="1" applyBorder="1" applyNumberFormat="1">
      <alignment horizontal="center" vertical="center" wrapText="1"/>
    </xf>
    <xf numFmtId="0" fontId="0" fillId="0" borderId="13" xfId="0" applyFont="1" applyBorder="1" applyNumberFormat="1">
      <alignment horizontal="center" vertical="center" wrapText="1"/>
    </xf>
    <xf numFmtId="0" fontId="22" fillId="0" borderId="0" xfId="0" applyFont="1" applyNumberFormat="1">
      <alignment vertical="center"/>
    </xf>
    <xf numFmtId="0" fontId="80" fillId="35" borderId="0" xfId="0" applyFont="1" applyFill="1" applyNumberFormat="1">
      <alignment horizontal="center" vertical="center" wrapText="1"/>
    </xf>
    <xf numFmtId="0" fontId="48" fillId="0" borderId="12" xfId="0" applyFont="1" applyBorder="1" applyNumberFormat="1">
      <alignment horizontal="left" vertical="center" wrapText="1"/>
    </xf>
    <xf numFmtId="0" fontId="48" fillId="0" borderId="12" xfId="0" applyFont="1" applyBorder="1" applyNumberFormat="1">
      <alignment horizontal="left" vertical="center" wrapText="1" indent="4"/>
    </xf>
    <xf numFmtId="0" fontId="48" fillId="0" borderId="12" xfId="0" applyFont="1" applyBorder="1" applyNumberFormat="1">
      <alignment horizontal="left" vertical="center" wrapText="1" indent="6"/>
    </xf>
    <xf numFmtId="0" fontId="48" fillId="0" borderId="14" xfId="0" applyFont="1" applyBorder="1" applyNumberFormat="1">
      <alignment horizontal="left" vertical="center" wrapText="1"/>
    </xf>
    <xf numFmtId="0" fontId="48" fillId="0" borderId="15" xfId="0" applyFont="1" applyBorder="1" applyNumberFormat="1">
      <alignment horizontal="left" vertical="center" wrapText="1"/>
    </xf>
    <xf numFmtId="0" fontId="48" fillId="0" borderId="13" xfId="0" applyFont="1" applyBorder="1" applyNumberFormat="1">
      <alignment horizontal="left" vertical="center" wrapText="1"/>
    </xf>
    <xf numFmtId="0" fontId="48" fillId="0" borderId="12" xfId="0" applyFont="1" applyBorder="1" applyNumberFormat="1">
      <alignment vertical="top" wrapText="1"/>
    </xf>
    <xf numFmtId="49" fontId="97" fillId="0" borderId="14" xfId="0" applyFont="1" applyBorder="1" applyNumberFormat="1">
      <alignment horizontal="left" vertical="center"/>
    </xf>
    <xf numFmtId="49" fontId="48" fillId="0" borderId="15" xfId="0" applyFont="1" applyBorder="1" applyNumberFormat="1">
      <alignment horizontal="left" vertical="center" indent="4"/>
    </xf>
    <xf numFmtId="49" fontId="48" fillId="0" borderId="15" xfId="0" applyFont="1" applyBorder="1" applyNumberFormat="1">
      <alignment horizontal="center" vertical="center" wrapText="1"/>
    </xf>
    <xf numFmtId="49" fontId="48" fillId="0" borderId="13" xfId="0" applyFont="1" applyBorder="1" applyNumberFormat="1">
      <alignment horizontal="center" vertical="center" wrapText="1"/>
    </xf>
    <xf numFmtId="49" fontId="48" fillId="0" borderId="0" xfId="0" applyFont="1" applyNumberFormat="1">
      <alignment vertical="center" wrapText="1"/>
    </xf>
    <xf numFmtId="0" fontId="0" fillId="0" borderId="0" xfId="0" applyFont="1" applyNumberFormat="1">
      <alignment horizontal="left" vertical="top" wrapText="1"/>
    </xf>
    <xf numFmtId="0" fontId="47" fillId="0" borderId="0" xfId="0" applyFont="1" applyNumberFormat="1">
      <alignment vertical="top" wrapText="1"/>
    </xf>
    <xf numFmtId="0" fontId="22" fillId="35" borderId="17" xfId="0" applyFont="1" applyFill="1" applyBorder="1" applyNumberFormat="1">
      <alignment horizontal="left" vertical="center" wrapText="1"/>
    </xf>
    <xf numFmtId="0" fontId="22" fillId="35" borderId="17" xfId="0" applyFont="1" applyFill="1" applyBorder="1" applyNumberFormat="1">
      <alignment horizontal="left" vertical="center" wrapText="1" indent="2"/>
    </xf>
    <xf numFmtId="0" fontId="22" fillId="0" borderId="17" xfId="0" applyFont="1" applyBorder="1" applyNumberFormat="1">
      <alignment horizontal="left" vertical="center" wrapText="1" indent="6"/>
    </xf>
    <xf numFmtId="0" fontId="22" fillId="34" borderId="37" xfId="0" applyFont="1" applyFill="1" applyBorder="1" applyNumberFormat="1">
      <alignment horizontal="left" vertical="center" wrapText="1"/>
    </xf>
    <xf numFmtId="0" fontId="22" fillId="34" borderId="19" xfId="0" applyFont="1" applyFill="1" applyBorder="1" applyNumberFormat="1">
      <alignment horizontal="left" vertical="center" wrapText="1"/>
    </xf>
    <xf numFmtId="0" fontId="22" fillId="34" borderId="20" xfId="0" applyFont="1" applyFill="1" applyBorder="1" applyNumberFormat="1">
      <alignment horizontal="left" vertical="center" wrapText="1"/>
    </xf>
    <xf numFmtId="0" fontId="22" fillId="35" borderId="12" xfId="0" applyFont="1" applyFill="1" applyBorder="1" applyNumberFormat="1">
      <alignment horizontal="left" vertical="center" wrapText="1"/>
    </xf>
    <xf numFmtId="0" fontId="22" fillId="34" borderId="12" xfId="0" applyFont="1" applyFill="1" applyBorder="1" applyNumberFormat="1">
      <alignment horizontal="left" vertical="center" wrapText="1"/>
    </xf>
    <xf numFmtId="0" fontId="45" fillId="0" borderId="13" xfId="0" applyFont="1" applyBorder="1" applyNumberFormat="1">
      <alignment vertical="top" wrapText="1"/>
    </xf>
    <xf numFmtId="0" fontId="48" fillId="0" borderId="0" xfId="0" applyFont="1" applyNumberFormat="1">
      <alignment horizontal="center" vertical="center" wrapText="1"/>
    </xf>
    <xf numFmtId="0" fontId="48" fillId="0" borderId="12" xfId="0" applyFont="1" applyBorder="1" applyNumberFormat="1">
      <alignment horizontal="left" vertical="center" wrapText="1"/>
    </xf>
    <xf numFmtId="0" fontId="48" fillId="0" borderId="13" xfId="0" applyFont="1" applyBorder="1" applyNumberFormat="1">
      <alignment vertical="top" wrapText="1"/>
    </xf>
    <xf numFmtId="0" fontId="22" fillId="40" borderId="12" xfId="0" applyFont="1" applyFill="1" applyBorder="1" applyNumberFormat="1">
      <alignment horizontal="left" vertical="center" wrapText="1"/>
    </xf>
    <xf numFmtId="0" fontId="22" fillId="35" borderId="23" xfId="0" applyFont="1" applyFill="1" applyBorder="1" applyNumberFormat="1">
      <alignment horizontal="left" vertical="center" wrapText="1"/>
    </xf>
    <xf numFmtId="0" fontId="22" fillId="40" borderId="23" xfId="0" applyFont="1" applyFill="1" applyBorder="1" applyNumberFormat="1">
      <alignment horizontal="left" vertical="center" wrapText="1" indent="6"/>
    </xf>
    <xf numFmtId="0" fontId="22" fillId="0" borderId="23" xfId="0" applyFont="1" applyBorder="1" applyNumberFormat="1">
      <alignment horizontal="left" vertical="center" wrapText="1" indent="6"/>
    </xf>
    <xf numFmtId="4" fontId="22" fillId="36" borderId="23" xfId="0" applyFont="1" applyFill="1" applyBorder="1" applyNumberFormat="1">
      <alignment horizontal="right" vertical="center" wrapText="1"/>
      <protection locked="0"/>
    </xf>
    <xf numFmtId="502" fontId="22" fillId="36" borderId="23" xfId="0" applyFont="1" applyFill="1" applyBorder="1" applyNumberFormat="1">
      <alignment horizontal="right" vertical="center" wrapText="1"/>
      <protection locked="0"/>
    </xf>
    <xf numFmtId="504" fontId="0" fillId="39" borderId="23" xfId="0" applyFont="1" applyFill="1" applyBorder="1" applyNumberFormat="1">
      <alignment horizontal="center" vertical="center" wrapText="1"/>
      <protection locked="0"/>
    </xf>
    <xf numFmtId="0" fontId="22" fillId="0" borderId="19" xfId="0" applyFont="1" applyBorder="1" applyNumberFormat="1">
      <alignment horizontal="left" vertical="center" wrapText="1" indent="1"/>
    </xf>
    <xf numFmtId="0" fontId="22" fillId="0" borderId="0" xfId="0" applyFont="1" applyNumberFormat="1">
      <alignment horizontal="left" vertical="center" wrapText="1"/>
    </xf>
    <xf numFmtId="0" fontId="22" fillId="40" borderId="20" xfId="0" applyFont="1" applyFill="1" applyBorder="1" applyNumberFormat="1">
      <alignment horizontal="left" vertical="center" wrapText="1"/>
    </xf>
    <xf numFmtId="0" fontId="22" fillId="0" borderId="0" xfId="0" applyFont="1" applyNumberFormat="1">
      <alignment horizontal="center" vertical="center" wrapText="1"/>
    </xf>
    <xf numFmtId="502" fontId="22" fillId="36" borderId="14" xfId="0" applyFont="1" applyFill="1" applyBorder="1" applyNumberFormat="1">
      <alignment horizontal="right" vertical="center" wrapText="1"/>
      <protection locked="0"/>
    </xf>
    <xf numFmtId="4" fontId="22" fillId="36" borderId="13" xfId="0" applyFont="1" applyFill="1" applyBorder="1" applyNumberFormat="1">
      <alignment horizontal="right" vertical="center" wrapText="1"/>
      <protection locked="0"/>
    </xf>
    <xf numFmtId="0" fontId="45" fillId="0" borderId="17" xfId="0" applyFont="1" applyBorder="1" applyNumberFormat="1">
      <alignment vertical="top" wrapText="1"/>
    </xf>
    <xf numFmtId="0" fontId="22" fillId="36" borderId="12" xfId="0" applyFont="1" applyFill="1" applyBorder="1" applyNumberFormat="1">
      <alignment horizontal="left" vertical="center" wrapText="1" indent="7"/>
      <protection locked="0"/>
    </xf>
    <xf numFmtId="49" fontId="0" fillId="39" borderId="12" xfId="0" applyFont="1" applyFill="1" applyBorder="1" applyNumberFormat="1">
      <alignment horizontal="center" vertical="center" wrapText="1"/>
      <protection locked="0"/>
    </xf>
    <xf numFmtId="4" fontId="48" fillId="0" borderId="14" xfId="0" applyFont="1" applyBorder="1" applyNumberFormat="1">
      <alignment horizontal="center" vertical="center" wrapText="1"/>
    </xf>
    <xf numFmtId="4" fontId="22" fillId="0" borderId="13" xfId="0" applyFont="1" applyBorder="1" applyNumberFormat="1">
      <alignment horizontal="right" vertical="center" wrapText="1"/>
    </xf>
    <xf numFmtId="0" fontId="22" fillId="37" borderId="15" xfId="0" applyFont="1" applyFill="1" applyBorder="1" applyNumberFormat="1">
      <alignment horizontal="left" vertical="center" wrapText="1" indent="6"/>
    </xf>
    <xf numFmtId="4" fontId="22" fillId="37" borderId="15" xfId="0" applyFont="1" applyFill="1" applyBorder="1" applyNumberFormat="1">
      <alignment horizontal="right" vertical="center" wrapText="1"/>
    </xf>
    <xf numFmtId="4" fontId="48"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9" fontId="22" fillId="37" borderId="27" xfId="0" applyFont="1" applyFill="1" applyBorder="1" applyNumberFormat="1">
      <alignment horizontal="center" vertical="center" wrapText="1"/>
    </xf>
    <xf numFmtId="0" fontId="22" fillId="0" borderId="0" xfId="0" applyFont="1" applyNumberFormat="1">
      <alignment horizontal="center" vertical="center" wrapText="1"/>
    </xf>
    <xf numFmtId="0" fontId="22" fillId="0" borderId="12" xfId="0" applyFont="1" applyBorder="1" applyNumberFormat="1">
      <alignment horizontal="center" vertical="center" wrapText="1"/>
    </xf>
    <xf numFmtId="0" fontId="22" fillId="0" borderId="19" xfId="0" applyFont="1" applyBorder="1" applyNumberFormat="1">
      <alignment horizontal="center" vertical="center" wrapText="1"/>
    </xf>
    <xf numFmtId="0" fontId="22" fillId="0" borderId="20" xfId="0" applyFont="1" applyBorder="1" applyNumberFormat="1">
      <alignment horizontal="center" vertical="center" wrapText="1"/>
    </xf>
    <xf numFmtId="0" fontId="22" fillId="0" borderId="22"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15" xfId="0" applyFont="1" applyBorder="1" applyNumberFormat="1">
      <alignment horizontal="center" vertical="center" wrapText="1"/>
    </xf>
    <xf numFmtId="0" fontId="22" fillId="0" borderId="27" xfId="0" applyFont="1" applyBorder="1" applyNumberFormat="1">
      <alignment horizontal="center" vertical="center" wrapText="1"/>
    </xf>
    <xf numFmtId="0" fontId="22" fillId="0" borderId="29" xfId="0" applyFont="1" applyBorder="1" applyNumberFormat="1">
      <alignment horizontal="center" vertical="center" wrapText="1"/>
    </xf>
    <xf numFmtId="0" fontId="0" fillId="0" borderId="36" xfId="0" applyFont="1" applyBorder="1" applyNumberFormat="1">
      <alignment horizontal="center" vertical="center" wrapText="1"/>
    </xf>
    <xf numFmtId="0" fontId="0" fillId="0" borderId="37" xfId="0" applyFont="1" applyBorder="1" applyNumberFormat="1">
      <alignment horizontal="center" vertical="center" wrapText="1"/>
    </xf>
    <xf numFmtId="0" fontId="0" fillId="0" borderId="20"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30" xfId="0" applyFont="1" applyBorder="1" applyNumberFormat="1">
      <alignment horizontal="center" vertical="center" wrapText="1"/>
    </xf>
    <xf numFmtId="0" fontId="0" fillId="0" borderId="29" xfId="0" applyFont="1" applyBorder="1" applyNumberFormat="1">
      <alignment horizontal="center" vertical="center" wrapText="1"/>
    </xf>
    <xf numFmtId="0" fontId="22" fillId="0" borderId="12" xfId="0" applyFont="1" applyBorder="1" applyNumberFormat="1">
      <alignment horizontal="center" vertical="center"/>
    </xf>
    <xf numFmtId="0" fontId="22" fillId="0" borderId="14" xfId="0" applyFont="1" applyBorder="1" applyNumberFormat="1">
      <alignment horizontal="center" vertical="center"/>
    </xf>
    <xf numFmtId="49" fontId="47" fillId="0" borderId="0" xfId="0" applyFont="1" applyNumberFormat="1">
      <alignment vertical="center" wrapText="1"/>
    </xf>
    <xf numFmtId="0" fontId="47" fillId="0" borderId="0" xfId="0" applyFont="1" applyNumberFormat="1">
      <alignment horizontal="center" vertical="center" wrapText="1"/>
    </xf>
    <xf numFmtId="0" fontId="56" fillId="35" borderId="0" xfId="0" applyFont="1" applyFill="1" applyNumberFormat="1">
      <alignment horizontal="center" vertical="center" wrapText="1"/>
    </xf>
    <xf numFmtId="0" fontId="56" fillId="0" borderId="0" xfId="0" applyFont="1" applyNumberFormat="1">
      <alignment vertical="center" wrapText="1"/>
    </xf>
    <xf numFmtId="0" fontId="48" fillId="0" borderId="12" xfId="0" applyFont="1" applyBorder="1" applyNumberFormat="1">
      <alignment horizontal="left" vertical="center" wrapText="1" indent="5"/>
    </xf>
    <xf numFmtId="0" fontId="48" fillId="0" borderId="24" xfId="0" applyFont="1" applyBorder="1" applyNumberFormat="1">
      <alignment horizontal="center" vertical="top" wrapText="1"/>
    </xf>
    <xf numFmtId="0" fontId="22" fillId="35" borderId="17" xfId="0" applyFont="1" applyFill="1" applyBorder="1" applyNumberFormat="1">
      <alignment horizontal="left" vertical="center" wrapText="1"/>
    </xf>
    <xf numFmtId="49" fontId="22" fillId="39" borderId="17" xfId="0" applyFont="1" applyFill="1" applyBorder="1" applyNumberFormat="1">
      <alignment horizontal="left" vertical="center" wrapText="1" indent="6"/>
      <protection locked="0"/>
    </xf>
    <xf numFmtId="0" fontId="37" fillId="0" borderId="12" xfId="0" applyFont="1" applyBorder="1" applyNumberFormat="1">
      <alignment horizontal="center" vertical="center" wrapText="1"/>
    </xf>
    <xf numFmtId="49" fontId="22" fillId="40" borderId="12" xfId="0" applyFont="1" applyFill="1" applyBorder="1" applyNumberFormat="1">
      <alignment horizontal="left" vertical="center" wrapText="1" indent="1"/>
    </xf>
    <xf numFmtId="0" fontId="22" fillId="0" borderId="12" xfId="0" applyFont="1" applyBorder="1" applyNumberFormat="1">
      <alignment horizontal="left" vertical="center" wrapText="1" indent="4"/>
    </xf>
    <xf numFmtId="49" fontId="22" fillId="35" borderId="12" xfId="0" applyFont="1" applyFill="1" applyBorder="1" applyNumberFormat="1">
      <alignment horizontal="center" vertical="center" wrapText="1"/>
    </xf>
    <xf numFmtId="0" fontId="22" fillId="40" borderId="12" xfId="0" applyFont="1" applyFill="1" applyBorder="1" applyNumberFormat="1">
      <alignment horizontal="left" vertical="center" wrapText="1" indent="1"/>
    </xf>
    <xf numFmtId="504" fontId="0" fillId="39" borderId="12" xfId="0" applyFont="1" applyFill="1" applyBorder="1" applyNumberFormat="1">
      <alignment horizontal="center" vertical="center" wrapText="1"/>
      <protection locked="0"/>
    </xf>
    <xf numFmtId="49" fontId="22" fillId="40" borderId="12" xfId="0" applyFont="1" applyFill="1" applyBorder="1" applyNumberFormat="1">
      <alignment horizontal="center" vertical="center" wrapText="1"/>
    </xf>
    <xf numFmtId="0" fontId="22" fillId="35" borderId="36" xfId="0" applyFont="1" applyFill="1" applyBorder="1" applyNumberFormat="1">
      <alignment horizontal="left" vertical="center" wrapText="1"/>
    </xf>
    <xf numFmtId="49" fontId="22" fillId="39" borderId="36" xfId="0" applyFont="1" applyFill="1" applyBorder="1" applyNumberFormat="1">
      <alignment horizontal="left" vertical="center" wrapText="1" indent="6"/>
      <protection locked="0"/>
    </xf>
    <xf numFmtId="502" fontId="22" fillId="37" borderId="13" xfId="0" applyFont="1" applyFill="1" applyBorder="1" applyNumberFormat="1">
      <alignment horizontal="right" vertical="center" wrapText="1"/>
    </xf>
    <xf numFmtId="49" fontId="40" fillId="37" borderId="14" xfId="0" applyFont="1" applyFill="1" applyBorder="1" applyNumberFormat="1">
      <alignment horizontal="left" vertical="center"/>
    </xf>
    <xf numFmtId="502" fontId="22" fillId="37" borderId="15" xfId="0" applyFont="1" applyFill="1" applyBorder="1" applyNumberFormat="1">
      <alignment horizontal="right" vertical="center" wrapText="1"/>
    </xf>
    <xf numFmtId="4" fontId="22" fillId="0" borderId="36" xfId="0" applyFont="1" applyBorder="1" applyNumberFormat="1">
      <alignment horizontal="right" vertical="center" wrapText="1"/>
    </xf>
    <xf numFmtId="49" fontId="40" fillId="37" borderId="14" xfId="0" applyFont="1" applyFill="1" applyBorder="1" applyNumberFormat="1">
      <alignment horizontal="left" vertical="center" indent="1"/>
    </xf>
    <xf numFmtId="0" fontId="22" fillId="35" borderId="23" xfId="0" applyFont="1" applyFill="1" applyBorder="1" applyNumberFormat="1">
      <alignment horizontal="left" vertical="center" wrapText="1"/>
    </xf>
    <xf numFmtId="49" fontId="22" fillId="39" borderId="23" xfId="0" applyFont="1" applyFill="1" applyBorder="1" applyNumberFormat="1">
      <alignment horizontal="left" vertical="center" wrapText="1" indent="6"/>
      <protection locked="0"/>
    </xf>
    <xf numFmtId="4" fontId="48" fillId="37" borderId="13" xfId="0" applyFont="1" applyFill="1" applyBorder="1" applyNumberFormat="1">
      <alignment horizontal="center" vertical="center" wrapText="1"/>
    </xf>
    <xf numFmtId="49" fontId="40" fillId="37" borderId="14" xfId="0" applyFont="1" applyFill="1" applyBorder="1" applyNumberFormat="1">
      <alignment vertical="center" wrapText="1"/>
    </xf>
    <xf numFmtId="49" fontId="40" fillId="37" borderId="15" xfId="0" applyFont="1" applyFill="1" applyBorder="1" applyNumberFormat="1">
      <alignment vertical="center" wrapText="1"/>
    </xf>
    <xf numFmtId="49" fontId="48" fillId="0" borderId="24" xfId="0" applyFont="1" applyBorder="1" applyNumberFormat="1">
      <alignment vertical="top"/>
    </xf>
    <xf numFmtId="0" fontId="111" fillId="0" borderId="0" xfId="0" applyFont="1" applyNumberFormat="1">
      <alignment horizontal="center" vertical="center" wrapText="1"/>
    </xf>
    <xf numFmtId="49" fontId="48" fillId="0" borderId="0" xfId="0" applyFont="1" applyNumberFormat="1">
      <alignment horizontal="center" vertical="center" wrapText="1"/>
    </xf>
    <xf numFmtId="49" fontId="48" fillId="0" borderId="0" xfId="0" applyFont="1" applyNumberFormat="1">
      <alignment horizontal="left" vertical="center" wrapText="1" indent="1"/>
    </xf>
    <xf numFmtId="0" fontId="48" fillId="0" borderId="0" xfId="0" applyFont="1" applyNumberFormat="1">
      <alignment horizontal="left" vertical="center" wrapText="1" indent="4"/>
    </xf>
    <xf numFmtId="0" fontId="48" fillId="0" borderId="24" xfId="0" applyFont="1" applyBorder="1" applyNumberFormat="1">
      <alignment horizontal="left" vertical="center" wrapText="1" indent="1"/>
    </xf>
    <xf numFmtId="4" fontId="48" fillId="0" borderId="12" xfId="0" applyFont="1" applyBorder="1" applyNumberFormat="1">
      <alignment horizontal="right" vertical="center" wrapText="1"/>
    </xf>
    <xf numFmtId="502" fontId="48" fillId="0" borderId="12" xfId="0" applyFont="1" applyBorder="1" applyNumberFormat="1">
      <alignment horizontal="right" vertical="center" wrapText="1"/>
    </xf>
    <xf numFmtId="504" fontId="48" fillId="0" borderId="12" xfId="0" applyFont="1" applyBorder="1" applyNumberFormat="1">
      <alignment horizontal="center" vertical="center" wrapText="1"/>
    </xf>
    <xf numFmtId="49" fontId="48" fillId="0" borderId="12" xfId="0" applyFont="1" applyBorder="1" applyNumberFormat="1">
      <alignment horizontal="center" vertical="center" wrapText="1"/>
    </xf>
    <xf numFmtId="0" fontId="47" fillId="0" borderId="0" xfId="0" applyFont="1" applyNumberFormat="1">
      <alignment horizontal="left" vertical="center"/>
    </xf>
    <xf numFmtId="49" fontId="47" fillId="0" borderId="0" xfId="0" applyFont="1" applyNumberFormat="1">
      <alignment horizontal="left" vertical="center"/>
    </xf>
    <xf numFmtId="0" fontId="47" fillId="0" borderId="0" xfId="0" applyFont="1" applyNumberFormat="1">
      <alignment horizontal="left" vertical="center"/>
    </xf>
    <xf numFmtId="0" fontId="69" fillId="0" borderId="0" xfId="0" applyFont="1" applyNumberFormat="1">
      <alignment horizontal="left" vertical="center"/>
    </xf>
    <xf numFmtId="0" fontId="47" fillId="0" borderId="0" xfId="0" applyFont="1" applyNumberFormat="1">
      <alignment horizontal="left" vertical="center"/>
    </xf>
    <xf numFmtId="0" fontId="48" fillId="0" borderId="0" xfId="0" applyFont="1" applyNumberFormat="1">
      <alignment horizontal="left" vertical="center"/>
    </xf>
    <xf numFmtId="0" fontId="69" fillId="35" borderId="0" xfId="0" applyFont="1" applyFill="1" applyNumberFormat="1">
      <alignment vertical="center" wrapText="1"/>
    </xf>
    <xf numFmtId="0" fontId="22" fillId="35" borderId="37" xfId="0" applyFont="1" applyFill="1" applyBorder="1" applyNumberFormat="1">
      <alignment horizontal="center" vertical="center" wrapText="1"/>
    </xf>
    <xf numFmtId="0" fontId="0" fillId="35" borderId="37" xfId="0" applyFont="1" applyFill="1" applyBorder="1" applyNumberFormat="1">
      <alignment horizontal="center" vertical="center" wrapText="1"/>
    </xf>
    <xf numFmtId="0" fontId="0" fillId="35" borderId="20" xfId="0" applyFont="1" applyFill="1" applyBorder="1" applyNumberFormat="1">
      <alignment horizontal="center" vertical="center" wrapText="1"/>
    </xf>
    <xf numFmtId="0" fontId="22" fillId="0" borderId="19" xfId="0" applyFont="1" applyBorder="1" applyNumberFormat="1">
      <alignment horizontal="center" vertical="center" wrapText="1"/>
    </xf>
    <xf numFmtId="0" fontId="22" fillId="35" borderId="22" xfId="0" applyFont="1" applyFill="1" applyBorder="1" applyNumberFormat="1">
      <alignment horizontal="center" vertical="center" wrapText="1"/>
    </xf>
    <xf numFmtId="0" fontId="0" fillId="35" borderId="22" xfId="0" applyFont="1" applyFill="1" applyBorder="1" applyNumberFormat="1">
      <alignment horizontal="center" vertical="center" wrapText="1"/>
    </xf>
    <xf numFmtId="0" fontId="0" fillId="35" borderId="0" xfId="0" applyFont="1" applyFill="1" applyNumberFormat="1">
      <alignment horizontal="center" vertical="center" wrapText="1"/>
    </xf>
    <xf numFmtId="0" fontId="0" fillId="35" borderId="24" xfId="0" applyFont="1" applyFill="1" applyBorder="1" applyNumberFormat="1">
      <alignment horizontal="center" vertical="center" wrapText="1"/>
    </xf>
    <xf numFmtId="0" fontId="22" fillId="34" borderId="12" xfId="0" applyFont="1" applyFill="1" applyBorder="1" applyNumberFormat="1">
      <alignment horizontal="center" vertical="center" wrapText="1"/>
    </xf>
    <xf numFmtId="0" fontId="22" fillId="0" borderId="27" xfId="0" applyFont="1" applyBorder="1" applyNumberFormat="1">
      <alignment horizontal="center" vertical="center" wrapText="1"/>
    </xf>
    <xf numFmtId="0" fontId="22" fillId="39" borderId="12" xfId="0" applyFont="1" applyFill="1" applyBorder="1" applyNumberFormat="1">
      <alignment horizontal="center" vertical="center" wrapText="1"/>
      <protection locked="0"/>
    </xf>
    <xf numFmtId="0" fontId="22" fillId="35" borderId="12" xfId="0" applyFont="1" applyFill="1" applyBorder="1" applyNumberFormat="1">
      <alignment horizontal="center" vertical="center" wrapText="1"/>
    </xf>
    <xf numFmtId="0" fontId="22" fillId="35" borderId="30" xfId="0" applyFont="1" applyFill="1" applyBorder="1" applyNumberFormat="1">
      <alignment horizontal="center" vertical="center" wrapText="1"/>
    </xf>
    <xf numFmtId="0" fontId="0" fillId="35" borderId="30" xfId="0" applyFont="1" applyFill="1" applyBorder="1" applyNumberFormat="1">
      <alignment horizontal="center" vertical="center" wrapText="1"/>
    </xf>
    <xf numFmtId="0" fontId="0" fillId="35" borderId="27" xfId="0" applyFont="1" applyFill="1" applyBorder="1" applyNumberFormat="1">
      <alignment horizontal="center" vertical="center" wrapText="1"/>
    </xf>
    <xf numFmtId="0" fontId="0" fillId="35" borderId="29" xfId="0" applyFont="1" applyFill="1" applyBorder="1" applyNumberFormat="1">
      <alignment horizontal="center" vertical="center" wrapText="1"/>
    </xf>
    <xf numFmtId="0" fontId="22" fillId="35" borderId="23" xfId="0" applyFont="1" applyFill="1" applyBorder="1" applyNumberFormat="1">
      <alignment horizontal="center" vertical="center" wrapText="1"/>
    </xf>
    <xf numFmtId="49" fontId="22" fillId="0" borderId="12" xfId="0" applyFont="1" applyBorder="1" applyNumberFormat="1">
      <alignment horizontal="left" vertical="center" wrapText="1" indent="1"/>
    </xf>
    <xf numFmtId="0" fontId="22" fillId="0" borderId="12" xfId="0" applyFont="1" applyBorder="1" applyNumberFormat="1">
      <alignment horizontal="left" vertical="center" wrapText="1" indent="1"/>
    </xf>
    <xf numFmtId="49" fontId="22" fillId="37" borderId="14" xfId="0" applyFont="1" applyFill="1" applyBorder="1" applyNumberFormat="1">
      <alignment horizontal="center" vertical="center" wrapText="1"/>
    </xf>
    <xf numFmtId="49" fontId="72" fillId="0" borderId="24" xfId="0" applyFont="1" applyBorder="1" applyNumberFormat="1">
      <alignment vertical="top"/>
    </xf>
    <xf numFmtId="0" fontId="22" fillId="0" borderId="0" xfId="0" applyFont="1" applyNumberFormat="1">
      <alignment horizontal="left" vertical="top" wrapText="1"/>
    </xf>
    <xf numFmtId="0" fontId="69" fillId="0" borderId="0" xfId="0" applyFont="1" applyNumberFormat="1">
      <alignment vertical="center" wrapText="1"/>
    </xf>
    <xf numFmtId="0" fontId="22" fillId="35" borderId="12" xfId="0" applyFont="1" applyFill="1" applyBorder="1" applyNumberFormat="1">
      <alignment horizontal="left" vertical="center" wrapText="1"/>
    </xf>
    <xf numFmtId="0" fontId="22" fillId="0" borderId="0" xfId="0" applyFont="1" applyNumberFormat="1">
      <alignment horizontal="center" vertical="center" wrapText="1"/>
    </xf>
    <xf numFmtId="0" fontId="48" fillId="0" borderId="0" xfId="0" applyFont="1" applyNumberFormat="1">
      <alignment horizontal="center" vertical="center" wrapText="1"/>
    </xf>
    <xf numFmtId="0" fontId="22" fillId="36" borderId="14" xfId="0" applyFont="1" applyFill="1" applyBorder="1" applyNumberFormat="1">
      <alignment horizontal="left" vertical="center" wrapText="1"/>
      <protection locked="0"/>
    </xf>
    <xf numFmtId="0" fontId="22" fillId="36" borderId="15" xfId="0" applyFont="1" applyFill="1" applyBorder="1" applyNumberFormat="1">
      <alignment horizontal="left" vertical="center" wrapText="1"/>
      <protection locked="0"/>
    </xf>
    <xf numFmtId="0" fontId="22" fillId="36" borderId="13" xfId="0" applyFont="1" applyFill="1" applyBorder="1" applyNumberFormat="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indent="6"/>
      <protection locked="0"/>
    </xf>
    <xf numFmtId="4" fontId="22" fillId="0" borderId="37" xfId="0" applyFont="1" applyBorder="1" applyNumberFormat="1">
      <alignment horizontal="right" vertical="center" wrapText="1"/>
    </xf>
    <xf numFmtId="0" fontId="45" fillId="0" borderId="12" xfId="0" applyFont="1" applyBorder="1" applyNumberFormat="1">
      <alignment horizontal="left" vertical="top" wrapText="1"/>
    </xf>
    <xf numFmtId="49" fontId="22" fillId="0" borderId="12" xfId="0" applyFont="1" applyBorder="1" applyNumberFormat="1">
      <alignment horizontal="left" vertical="center" wrapText="1"/>
    </xf>
    <xf numFmtId="4" fontId="22" fillId="0" borderId="30" xfId="0" applyFont="1" applyBorder="1" applyNumberFormat="1">
      <alignment horizontal="right" vertical="center" wrapText="1"/>
    </xf>
    <xf numFmtId="49" fontId="0" fillId="37" borderId="29" xfId="0" applyFont="1" applyFill="1" applyBorder="1" applyNumberFormat="1">
      <alignment horizontal="center" vertical="center" wrapText="1"/>
    </xf>
    <xf numFmtId="49" fontId="40" fillId="37" borderId="15" xfId="0" applyFont="1" applyFill="1" applyBorder="1" applyNumberFormat="1">
      <alignment horizontal="left" vertical="center" indent="3"/>
    </xf>
    <xf numFmtId="0" fontId="48" fillId="0" borderId="0" xfId="0" applyFont="1" applyNumberFormat="1">
      <alignment horizontal="center" vertical="center"/>
    </xf>
    <xf numFmtId="0" fontId="47" fillId="0" borderId="0" xfId="0" applyFont="1" applyNumberFormat="1">
      <alignment horizontal="center" vertical="center" wrapText="1"/>
    </xf>
    <xf numFmtId="0" fontId="110" fillId="0" borderId="0" xfId="0" applyFont="1" applyNumberFormat="1">
      <alignment vertical="center" wrapText="1"/>
    </xf>
    <xf numFmtId="0" fontId="22" fillId="0" borderId="0" xfId="0" applyFont="1" applyNumberFormat="1">
      <alignment horizontal="right" vertical="center" wrapText="1"/>
    </xf>
    <xf numFmtId="0" fontId="22" fillId="0" borderId="17" xfId="0" applyFont="1" applyBorder="1" applyNumberFormat="1">
      <alignment horizontal="center" vertical="center" wrapText="1"/>
    </xf>
    <xf numFmtId="0" fontId="0" fillId="0" borderId="12" xfId="0" applyFont="1" applyBorder="1" applyNumberFormat="1">
      <alignment horizontal="center" vertical="center" wrapText="1"/>
    </xf>
    <xf numFmtId="0" fontId="80" fillId="35" borderId="19" xfId="0" applyFont="1" applyFill="1" applyBorder="1" applyNumberFormat="1">
      <alignment horizontal="center" vertical="center" wrapText="1"/>
    </xf>
    <xf numFmtId="0" fontId="22" fillId="35" borderId="12" xfId="0" applyFont="1" applyFill="1" applyBorder="1" applyNumberFormat="1">
      <alignment horizontal="left" vertical="center" wrapText="1"/>
    </xf>
    <xf numFmtId="0" fontId="22" fillId="0" borderId="0" xfId="0" applyFont="1" applyNumberFormat="1">
      <alignment horizontal="center" vertical="center" wrapText="1"/>
    </xf>
    <xf numFmtId="0" fontId="48" fillId="0" borderId="0" xfId="0" applyFont="1" applyNumberFormat="1">
      <alignment horizontal="center" vertical="center" wrapText="1"/>
    </xf>
    <xf numFmtId="49" fontId="22" fillId="0" borderId="12" xfId="0" applyFont="1" applyBorder="1" applyNumberFormat="1">
      <alignment horizontal="left" vertical="center" wrapText="1"/>
    </xf>
    <xf numFmtId="49" fontId="22" fillId="0" borderId="0" xfId="0" applyFont="1" applyNumberFormat="1">
      <alignment vertical="center" wrapText="1"/>
    </xf>
    <xf numFmtId="0" fontId="22" fillId="35" borderId="12" xfId="0" applyFont="1" applyFill="1" applyBorder="1" applyNumberFormat="1">
      <alignment horizontal="left" vertical="center" wrapText="1"/>
    </xf>
    <xf numFmtId="0" fontId="22" fillId="0" borderId="0" xfId="0" applyFont="1" applyNumberFormat="1">
      <alignment horizontal="center" vertical="center" wrapText="1"/>
    </xf>
    <xf numFmtId="0" fontId="48" fillId="0" borderId="0" xfId="0" applyFont="1" applyNumberFormat="1">
      <alignment horizontal="center" vertical="center" wrapText="1"/>
    </xf>
    <xf numFmtId="49" fontId="22" fillId="0" borderId="12" xfId="0" applyFont="1" applyBorder="1" applyNumberFormat="1">
      <alignment horizontal="left" vertical="center" wrapText="1"/>
    </xf>
    <xf numFmtId="0" fontId="48" fillId="0" borderId="0" xfId="0" applyFont="1" applyNumberFormat="1">
      <alignment horizontal="center" vertical="center"/>
    </xf>
    <xf numFmtId="0" fontId="47" fillId="0" borderId="0" xfId="0" applyFont="1" applyNumberFormat="1">
      <alignment horizontal="center" vertical="center" wrapText="1"/>
    </xf>
    <xf numFmtId="0" fontId="22" fillId="0" borderId="0" xfId="0" applyFont="1" applyNumberFormat="1">
      <alignment horizontal="right" vertical="center" wrapText="1"/>
    </xf>
    <xf numFmtId="0" fontId="22" fillId="0" borderId="17" xfId="0" applyFont="1" applyBorder="1" applyNumberFormat="1">
      <alignment horizontal="center" vertical="center" wrapText="1"/>
    </xf>
    <xf numFmtId="0" fontId="0" fillId="0" borderId="12" xfId="0" applyFont="1" applyBorder="1" applyNumberFormat="1">
      <alignment horizontal="center" vertical="center" wrapText="1"/>
    </xf>
    <xf numFmtId="0" fontId="80" fillId="35" borderId="19" xfId="0" applyFont="1" applyFill="1" applyBorder="1" applyNumberFormat="1">
      <alignment horizontal="center" vertical="center" wrapText="1"/>
    </xf>
    <xf numFmtId="49" fontId="22" fillId="0" borderId="0" xfId="0" applyFont="1" applyNumberFormat="1">
      <alignment vertical="center" wrapText="1"/>
    </xf>
    <xf numFmtId="0" fontId="22" fillId="34" borderId="15" xfId="0" applyFont="1" applyFill="1" applyBorder="1" applyNumberFormat="1">
      <alignment horizontal="left" vertical="center" wrapText="1"/>
    </xf>
    <xf numFmtId="0" fontId="47" fillId="0" borderId="0" xfId="0" applyFont="1" applyNumberFormat="1">
      <alignment horizontal="center" vertical="center" wrapText="1"/>
    </xf>
    <xf numFmtId="0" fontId="48" fillId="0" borderId="15" xfId="0" applyFont="1" applyBorder="1" applyNumberFormat="1">
      <alignment horizontal="left" vertical="center" wrapText="1"/>
    </xf>
    <xf numFmtId="0" fontId="22" fillId="0" borderId="12" xfId="0" applyFont="1" applyBorder="1" applyNumberFormat="1">
      <alignment horizontal="center" vertical="center" wrapText="1"/>
    </xf>
    <xf numFmtId="0" fontId="48" fillId="0" borderId="24" xfId="0" applyFont="1" applyBorder="1" applyNumberFormat="1">
      <alignment horizontal="center" vertical="top" wrapText="1"/>
    </xf>
    <xf numFmtId="0" fontId="22" fillId="35" borderId="17" xfId="0" applyFont="1" applyFill="1" applyBorder="1" applyNumberFormat="1">
      <alignment horizontal="left" vertical="center" wrapText="1"/>
    </xf>
    <xf numFmtId="49" fontId="22" fillId="39" borderId="17" xfId="0" applyFont="1" applyFill="1" applyBorder="1" applyNumberFormat="1">
      <alignment horizontal="left" vertical="center" wrapText="1" indent="6"/>
      <protection locked="0"/>
    </xf>
    <xf numFmtId="504" fontId="0" fillId="39" borderId="12" xfId="0" applyFont="1" applyFill="1" applyBorder="1" applyNumberFormat="1">
      <alignment horizontal="center" vertical="center" wrapText="1"/>
      <protection locked="0"/>
    </xf>
    <xf numFmtId="49" fontId="22" fillId="40" borderId="12" xfId="0" applyFont="1" applyFill="1" applyBorder="1" applyNumberFormat="1">
      <alignment horizontal="center" vertical="center"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504" fontId="0" fillId="39" borderId="12" xfId="0" applyFont="1" applyFill="1" applyBorder="1" applyNumberFormat="1">
      <alignment horizontal="center" vertical="center" wrapText="1"/>
      <protection locked="0"/>
    </xf>
    <xf numFmtId="49" fontId="22" fillId="40" borderId="12" xfId="0" applyFont="1" applyFill="1" applyBorder="1" applyNumberFormat="1">
      <alignment horizontal="center" vertical="center" wrapText="1"/>
    </xf>
    <xf numFmtId="49" fontId="48" fillId="0" borderId="12" xfId="0" applyFont="1" applyBorder="1" applyNumberFormat="1">
      <alignment horizontal="center" vertical="center" wrapText="1"/>
    </xf>
    <xf numFmtId="0" fontId="22" fillId="0" borderId="0" xfId="0" applyFont="1" applyNumberFormat="1">
      <alignment horizontal="left" vertical="center"/>
    </xf>
    <xf numFmtId="49" fontId="22" fillId="0" borderId="0" xfId="0" applyFont="1" applyNumberFormat="1">
      <alignment horizontal="left" vertical="center"/>
    </xf>
    <xf numFmtId="0" fontId="22" fillId="0" borderId="0" xfId="0" applyFont="1" applyNumberFormat="1">
      <alignment horizontal="left" vertical="center"/>
    </xf>
    <xf numFmtId="0" fontId="37" fillId="0" borderId="27" xfId="0" applyFont="1" applyBorder="1" applyNumberFormat="1">
      <alignment horizontal="center" vertical="center" wrapText="1"/>
    </xf>
    <xf numFmtId="0" fontId="22" fillId="39" borderId="13" xfId="0" applyFont="1" applyFill="1" applyBorder="1" applyNumberFormat="1">
      <alignment horizontal="center" vertical="center" wrapText="1"/>
      <protection locked="0"/>
    </xf>
    <xf numFmtId="0" fontId="22" fillId="35" borderId="12" xfId="0" applyFont="1" applyFill="1" applyBorder="1" applyNumberFormat="1">
      <alignment horizontal="center" vertical="center" wrapText="1"/>
    </xf>
    <xf numFmtId="0" fontId="22" fillId="35" borderId="29" xfId="0" applyFont="1" applyFill="1" applyBorder="1" applyNumberFormat="1">
      <alignment horizontal="center" vertical="center" wrapText="1"/>
    </xf>
    <xf numFmtId="0" fontId="22" fillId="35" borderId="23" xfId="0" applyFont="1" applyFill="1" applyBorder="1" applyNumberFormat="1">
      <alignment horizontal="center" vertical="center" wrapText="1"/>
    </xf>
    <xf numFmtId="0" fontId="22" fillId="0" borderId="12" xfId="0" applyFont="1" applyBorder="1" applyNumberFormat="1">
      <alignment horizontal="center" vertical="center" wrapText="1"/>
    </xf>
    <xf numFmtId="0" fontId="22" fillId="35" borderId="17" xfId="0" applyFont="1" applyFill="1" applyBorder="1" applyNumberFormat="1">
      <alignment horizontal="left" vertical="center" wrapText="1"/>
    </xf>
    <xf numFmtId="49" fontId="22" fillId="39" borderId="17" xfId="0" applyFont="1" applyFill="1" applyBorder="1" applyNumberFormat="1">
      <alignment horizontal="left" vertical="center" wrapText="1" indent="6"/>
      <protection locked="0"/>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0" fontId="22" fillId="0" borderId="0" xfId="0" applyFont="1" applyNumberFormat="1">
      <alignment horizontal="left" vertical="top" wrapText="1"/>
    </xf>
    <xf numFmtId="0" fontId="22" fillId="35" borderId="12" xfId="0" applyFont="1" applyFill="1" applyBorder="1" applyNumberFormat="1">
      <alignment horizontal="left" vertical="center" wrapText="1"/>
    </xf>
    <xf numFmtId="0" fontId="111" fillId="0" borderId="0" xfId="0" applyFont="1" applyNumberFormat="1">
      <alignment vertical="center" wrapText="1"/>
    </xf>
    <xf numFmtId="0" fontId="111" fillId="35" borderId="0" xfId="0" applyFont="1" applyFill="1" applyNumberFormat="1">
      <alignment horizontal="center" vertical="center" wrapText="1"/>
    </xf>
    <xf numFmtId="0" fontId="48" fillId="35" borderId="12" xfId="0" applyFont="1" applyFill="1" applyBorder="1" applyNumberFormat="1">
      <alignment horizontal="left" vertical="center" wrapText="1" indent="3"/>
    </xf>
    <xf numFmtId="0" fontId="48" fillId="0" borderId="0" xfId="0" applyFont="1" applyNumberFormat="1">
      <alignment horizontal="center" vertical="center"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49" fontId="22" fillId="36" borderId="36" xfId="0" applyFont="1" applyFill="1" applyBorder="1" applyNumberFormat="1">
      <alignment horizontal="left" vertical="center" wrapText="1" indent="6"/>
      <protection locked="0"/>
    </xf>
    <xf numFmtId="49" fontId="22" fillId="40" borderId="29" xfId="0" applyFont="1" applyFill="1" applyBorder="1" applyNumberFormat="1">
      <alignment horizontal="center" vertical="center" wrapText="1"/>
    </xf>
    <xf numFmtId="49" fontId="40" fillId="37" borderId="27" xfId="0" applyFont="1" applyFill="1" applyBorder="1" applyNumberFormat="1">
      <alignment horizontal="left" vertical="center"/>
    </xf>
    <xf numFmtId="49" fontId="22" fillId="36" borderId="23" xfId="0" applyFont="1" applyFill="1" applyBorder="1" applyNumberFormat="1">
      <alignment horizontal="left" vertical="center" wrapText="1" indent="6"/>
      <protection locked="0"/>
    </xf>
    <xf numFmtId="0" fontId="48" fillId="0" borderId="0" xfId="0" applyFont="1" applyNumberFormat="1">
      <alignment horizontal="center" vertical="center"/>
    </xf>
    <xf numFmtId="0" fontId="48" fillId="0" borderId="0" xfId="0" applyFont="1" applyNumberFormat="1">
      <alignment horizontal="left" vertical="center" wrapText="1" indent="1"/>
    </xf>
    <xf numFmtId="0" fontId="22" fillId="35" borderId="12" xfId="0" applyFont="1" applyFill="1" applyBorder="1" applyNumberFormat="1">
      <alignment horizontal="center" vertical="center" wrapText="1"/>
    </xf>
    <xf numFmtId="0" fontId="48" fillId="0" borderId="19" xfId="0" applyFont="1" applyBorder="1" applyNumberFormat="1">
      <alignment horizontal="left" vertical="center" wrapText="1"/>
    </xf>
    <xf numFmtId="0" fontId="22" fillId="0" borderId="0" xfId="0" applyFont="1" applyNumberFormat="1">
      <alignment horizontal="left" vertical="top" wrapText="1"/>
    </xf>
    <xf numFmtId="0" fontId="47" fillId="0" borderId="0" xfId="0" applyFont="1" applyNumberFormat="1">
      <alignment horizontal="center" vertical="center" wrapText="1"/>
    </xf>
    <xf numFmtId="0" fontId="22" fillId="35" borderId="12" xfId="0" applyFont="1" applyFill="1" applyBorder="1" applyNumberFormat="1">
      <alignment horizontal="left" vertical="center" wrapText="1"/>
    </xf>
    <xf numFmtId="0" fontId="22" fillId="0" borderId="0" xfId="0" applyFont="1" applyNumberFormat="1">
      <alignment horizontal="center" vertical="center" wrapText="1"/>
    </xf>
    <xf numFmtId="0" fontId="48" fillId="0" borderId="0" xfId="0" applyFont="1" applyNumberFormat="1">
      <alignment horizontal="center" vertical="center" wrapText="1"/>
    </xf>
    <xf numFmtId="49" fontId="22" fillId="0" borderId="12" xfId="0" applyFont="1" applyBorder="1" applyNumberFormat="1">
      <alignment horizontal="left" vertical="center" wrapText="1"/>
    </xf>
    <xf numFmtId="0" fontId="48" fillId="0" borderId="0" xfId="0" applyFont="1" applyNumberFormat="1">
      <alignment horizontal="center" vertical="center"/>
    </xf>
    <xf numFmtId="0" fontId="47" fillId="0" borderId="0" xfId="0" applyFont="1" applyNumberFormat="1">
      <alignment horizontal="center" vertical="center" wrapText="1"/>
    </xf>
    <xf numFmtId="0" fontId="22" fillId="0" borderId="0" xfId="0" applyFont="1" applyNumberFormat="1">
      <alignment horizontal="right" vertical="center" wrapText="1"/>
    </xf>
    <xf numFmtId="0" fontId="22" fillId="0" borderId="17" xfId="0" applyFont="1" applyBorder="1" applyNumberFormat="1">
      <alignment horizontal="center" vertical="center" wrapText="1"/>
    </xf>
    <xf numFmtId="0" fontId="0" fillId="0" borderId="12" xfId="0" applyFont="1" applyBorder="1" applyNumberFormat="1">
      <alignment horizontal="center" vertical="center" wrapText="1"/>
    </xf>
    <xf numFmtId="0" fontId="80" fillId="35" borderId="19" xfId="0" applyFont="1" applyFill="1" applyBorder="1" applyNumberFormat="1">
      <alignment horizontal="center" vertical="center" wrapText="1"/>
    </xf>
    <xf numFmtId="49" fontId="22" fillId="0" borderId="0" xfId="0" applyFont="1" applyNumberFormat="1">
      <alignment vertical="center" wrapText="1"/>
    </xf>
    <xf numFmtId="49" fontId="22" fillId="40"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49" fontId="48" fillId="0" borderId="12" xfId="0" applyFont="1" applyBorder="1" applyNumberFormat="1">
      <alignment horizontal="center" vertical="center" wrapText="1"/>
    </xf>
    <xf numFmtId="0" fontId="22" fillId="35" borderId="12" xfId="0" applyFont="1" applyFill="1" applyBorder="1" applyNumberFormat="1">
      <alignment horizontal="center" vertical="center" wrapText="1"/>
    </xf>
    <xf numFmtId="0" fontId="22" fillId="0" borderId="0" xfId="0" applyFont="1" applyNumberFormat="1">
      <alignment horizontal="left" vertical="top" wrapText="1"/>
    </xf>
    <xf numFmtId="0" fontId="22" fillId="0" borderId="12" xfId="0" applyFont="1" applyBorder="1" applyNumberFormat="1">
      <alignment horizontal="center" vertical="center" wrapText="1"/>
    </xf>
    <xf numFmtId="49" fontId="22" fillId="35" borderId="12" xfId="0" applyFont="1" applyFill="1" applyBorder="1" applyNumberFormat="1">
      <alignment horizontal="center" vertical="center" wrapText="1"/>
    </xf>
    <xf numFmtId="0" fontId="47" fillId="0" borderId="0" xfId="0" applyFont="1" applyNumberFormat="1">
      <alignment horizontal="center" vertical="center" wrapText="1"/>
    </xf>
    <xf numFmtId="49" fontId="22" fillId="35" borderId="12" xfId="0" applyFont="1" applyFill="1" applyBorder="1" applyNumberFormat="1">
      <alignment horizontal="center" vertical="center" wrapText="1"/>
    </xf>
    <xf numFmtId="0" fontId="47" fillId="0" borderId="0" xfId="0" applyFont="1" applyNumberFormat="1">
      <alignment horizontal="center" vertical="center" wrapText="1"/>
    </xf>
    <xf numFmtId="49" fontId="22" fillId="0" borderId="0" xfId="0" applyFont="1" applyNumberFormat="1">
      <alignment vertical="center" wrapText="1"/>
    </xf>
    <xf numFmtId="0" fontId="80" fillId="35" borderId="19" xfId="0" applyFont="1" applyFill="1" applyBorder="1" applyNumberFormat="1">
      <alignment horizontal="center" vertical="center" wrapText="1"/>
    </xf>
    <xf numFmtId="49" fontId="48" fillId="0" borderId="0" xfId="0" applyFont="1" applyNumberFormat="1">
      <alignment horizontal="center" vertical="center" wrapText="1"/>
    </xf>
    <xf numFmtId="49" fontId="22" fillId="0" borderId="0" xfId="0" applyFont="1" applyNumberFormat="1">
      <alignment horizontal="center" vertical="center" wrapText="1"/>
    </xf>
    <xf numFmtId="0" fontId="22" fillId="0" borderId="28" xfId="0" applyFont="1" applyBorder="1" applyNumberFormat="1">
      <alignment horizontal="center" vertical="center" wrapText="1"/>
    </xf>
    <xf numFmtId="0" fontId="22" fillId="39" borderId="12" xfId="0" applyFont="1" applyFill="1" applyBorder="1" applyNumberFormat="1">
      <alignment horizontal="left" vertical="center" wrapText="1" indent="2"/>
      <protection locked="0"/>
    </xf>
    <xf numFmtId="0" fontId="22" fillId="0" borderId="12" xfId="0" applyFont="1" applyBorder="1" applyNumberFormat="1">
      <alignment horizontal="center" vertical="center" wrapText="1"/>
    </xf>
    <xf numFmtId="0" fontId="22" fillId="0" borderId="12" xfId="0" applyFont="1" applyBorder="1" applyNumberFormat="1">
      <alignment vertical="center" wrapText="1"/>
    </xf>
    <xf numFmtId="0" fontId="84" fillId="0" borderId="0" xfId="0" applyFont="1" applyNumberFormat="1">
      <alignment vertical="center" wrapText="1"/>
    </xf>
    <xf numFmtId="0" fontId="48" fillId="0" borderId="28" xfId="0" applyFont="1" applyBorder="1" applyNumberFormat="1">
      <alignment horizontal="center" vertical="center" wrapText="1"/>
    </xf>
    <xf numFmtId="0" fontId="48" fillId="0" borderId="12" xfId="0" applyFont="1" applyBorder="1" applyNumberFormat="1">
      <alignment horizontal="left" vertical="center" wrapText="1" indent="2"/>
    </xf>
    <xf numFmtId="0" fontId="48" fillId="0" borderId="12" xfId="0" applyFont="1" applyBorder="1" applyNumberFormat="1">
      <alignment horizontal="center" vertical="center" wrapText="1"/>
    </xf>
    <xf numFmtId="0" fontId="48" fillId="0" borderId="12" xfId="0" applyFont="1" applyBorder="1" applyNumberFormat="1">
      <alignment vertical="center" wrapText="1"/>
    </xf>
    <xf numFmtId="0" fontId="22" fillId="0" borderId="12" xfId="0" applyFont="1" applyBorder="1" applyNumberFormat="1">
      <alignment horizontal="left" vertical="center" wrapText="1" indent="3"/>
    </xf>
    <xf numFmtId="49" fontId="22" fillId="39" borderId="12" xfId="0" applyFont="1" applyFill="1" applyBorder="1" applyNumberFormat="1">
      <alignment horizontal="center" vertical="center" wrapText="1"/>
      <protection locked="0"/>
    </xf>
    <xf numFmtId="4" fontId="22" fillId="36" borderId="12" xfId="0" applyFont="1" applyFill="1" applyBorder="1" applyNumberFormat="1">
      <alignment horizontal="right" vertical="center" wrapText="1"/>
      <protection locked="0"/>
    </xf>
    <xf numFmtId="0" fontId="22" fillId="36" borderId="12" xfId="0" applyFont="1" applyFill="1" applyBorder="1" applyNumberFormat="1">
      <alignment horizontal="left" vertical="center" wrapText="1"/>
      <protection locked="0"/>
    </xf>
    <xf numFmtId="49" fontId="91" fillId="0" borderId="0" xfId="0" applyFont="1" applyNumberFormat="1">
      <alignment horizontal="center" vertical="center" wrapText="1"/>
    </xf>
    <xf numFmtId="49" fontId="22" fillId="0" borderId="0" xfId="0" applyFont="1" applyNumberFormat="1">
      <alignment horizontal="center" vertical="top" wrapText="1"/>
    </xf>
    <xf numFmtId="0" fontId="22" fillId="0" borderId="12" xfId="0" applyFont="1" applyBorder="1" applyNumberFormat="1">
      <alignment horizontal="center" vertical="center" wrapText="1"/>
    </xf>
    <xf numFmtId="0" fontId="22" fillId="0" borderId="13" xfId="0" applyFont="1" applyBorder="1" applyNumberFormat="1">
      <alignment vertical="top" wrapText="1"/>
    </xf>
    <xf numFmtId="0" fontId="54" fillId="0" borderId="0" xfId="0" applyFont="1" applyNumberFormat="1">
      <alignment vertical="center" wrapText="1"/>
    </xf>
    <xf numFmtId="0" fontId="22" fillId="0" borderId="13" xfId="0" applyFont="1" applyBorder="1" applyNumberFormat="1">
      <alignment horizontal="center" vertical="center" wrapText="1"/>
    </xf>
    <xf numFmtId="503" fontId="22" fillId="36" borderId="12" xfId="0" applyFont="1" applyFill="1" applyBorder="1" applyNumberFormat="1">
      <alignment horizontal="right" vertical="center" wrapText="1"/>
      <protection locked="0"/>
    </xf>
    <xf numFmtId="0" fontId="22" fillId="0" borderId="20" xfId="0" applyFont="1" applyBorder="1" applyNumberFormat="1">
      <alignment vertical="center" wrapText="1"/>
    </xf>
    <xf numFmtId="0" fontId="32" fillId="0" borderId="0" xfId="0" applyFont="1" applyNumberFormat="1">
      <alignment vertical="center" wrapText="1"/>
    </xf>
    <xf numFmtId="0" fontId="46" fillId="0" borderId="0" xfId="0" applyFont="1" applyNumberFormat="1">
      <alignment vertical="center" wrapText="1"/>
    </xf>
    <xf numFmtId="0" fontId="22" fillId="0" borderId="0" xfId="0" applyFont="1" applyNumberFormat="1">
      <alignment horizontal="left" vertical="center" wrapText="1" indent="3"/>
    </xf>
    <xf numFmtId="0" fontId="97" fillId="35" borderId="0" xfId="0" applyFont="1" applyFill="1" applyNumberFormat="1">
      <alignment horizontal="right" vertical="center"/>
    </xf>
    <xf numFmtId="0" fontId="22" fillId="0" borderId="14" xfId="0" applyFont="1" applyBorder="1" applyNumberFormat="1">
      <alignment vertical="center" wrapText="1"/>
    </xf>
    <xf numFmtId="0" fontId="22" fillId="0" borderId="15" xfId="0" applyFont="1" applyBorder="1" applyNumberFormat="1">
      <alignment horizontal="right" vertical="center" wrapText="1" indent="1"/>
    </xf>
    <xf numFmtId="0" fontId="22" fillId="0" borderId="13" xfId="0" applyFont="1" applyBorder="1" applyNumberFormat="1">
      <alignment horizontal="right" vertical="center" wrapText="1" indent="1"/>
    </xf>
    <xf numFmtId="0" fontId="22" fillId="34" borderId="14" xfId="0" applyFont="1" applyFill="1" applyBorder="1" applyNumberFormat="1">
      <alignment horizontal="left" vertical="top" wrapText="1"/>
    </xf>
    <xf numFmtId="0" fontId="22" fillId="0" borderId="14" xfId="0" applyFont="1" applyBorder="1" applyNumberFormat="1">
      <alignment horizontal="right" vertical="center" wrapText="1"/>
    </xf>
    <xf numFmtId="0" fontId="22" fillId="0" borderId="15" xfId="0" applyFont="1" applyBorder="1" applyNumberFormat="1">
      <alignment horizontal="right" vertical="center" wrapText="1"/>
    </xf>
    <xf numFmtId="0" fontId="22" fillId="0" borderId="15" xfId="0" applyFont="1" applyBorder="1" applyNumberFormat="1">
      <alignment horizontal="right" vertical="center" wrapText="1" indent="1"/>
    </xf>
    <xf numFmtId="0" fontId="22" fillId="0" borderId="12" xfId="0" applyFont="1" applyBorder="1" applyNumberFormat="1">
      <alignment horizontal="center" vertical="center" wrapText="1"/>
    </xf>
    <xf numFmtId="0" fontId="22" fillId="0" borderId="12" xfId="0" applyFont="1" applyBorder="1" applyNumberFormat="1">
      <alignment horizontal="left" vertical="center" wrapText="1"/>
    </xf>
    <xf numFmtId="0" fontId="22" fillId="0" borderId="12" xfId="0" applyFont="1" applyBorder="1" applyNumberFormat="1">
      <alignment horizontal="center" vertical="center" wrapText="1"/>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0" fontId="22" fillId="0" borderId="12" xfId="0" applyFont="1" applyBorder="1" applyNumberFormat="1">
      <alignment horizontal="left" vertical="center" wrapText="1" indent="1"/>
    </xf>
    <xf numFmtId="49" fontId="91" fillId="46" borderId="0" xfId="0" applyFont="1" applyFill="1" applyNumberFormat="1">
      <alignment horizontal="center" vertical="center" textRotation="90" wrapText="1"/>
    </xf>
    <xf numFmtId="0" fontId="72" fillId="0" borderId="0" xfId="0" applyFont="1" applyNumberFormat="1">
      <alignment horizontal="center" vertical="center" wrapTex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pplyNumberFormat="1">
      <alignment horizontal="left" vertical="center" wrapText="1" indent="2"/>
    </xf>
    <xf numFmtId="0" fontId="72" fillId="0" borderId="12" xfId="0" applyFont="1" applyBorder="1" applyNumberFormat="1">
      <alignment horizontal="center" vertical="center" wrapText="1"/>
    </xf>
    <xf numFmtId="0" fontId="72" fillId="0" borderId="12" xfId="0" applyFont="1" applyBorder="1" applyNumberFormat="1">
      <alignment vertical="center" wrapText="1"/>
    </xf>
    <xf numFmtId="0" fontId="85" fillId="0" borderId="0" xfId="0" applyFont="1" applyNumberFormat="1">
      <alignment vertical="center" wrapText="1"/>
    </xf>
    <xf numFmtId="0" fontId="63" fillId="0" borderId="0" xfId="0" applyFont="1" applyNumberFormat="1">
      <alignment vertical="center" wrapText="1"/>
    </xf>
    <xf numFmtId="0" fontId="72" fillId="0" borderId="28" xfId="0" applyFont="1" applyBorder="1" applyNumberFormat="1">
      <alignment horizontal="center" vertical="center" wrapText="1"/>
    </xf>
    <xf numFmtId="0" fontId="72" fillId="0" borderId="12" xfId="0" applyFont="1" applyBorder="1" applyNumberFormat="1">
      <alignment horizontal="left" vertical="center" wrapText="1" indent="3"/>
    </xf>
    <xf numFmtId="4" fontId="72" fillId="0" borderId="12" xfId="0" applyFont="1" applyBorder="1" applyNumberFormat="1">
      <alignment horizontal="right" vertical="center" wrapText="1"/>
    </xf>
    <xf numFmtId="0" fontId="37" fillId="0" borderId="0" xfId="0" applyFont="1" applyNumberFormat="1">
      <alignment horizontal="center" vertical="center" wrapText="1"/>
    </xf>
    <xf numFmtId="49" fontId="22" fillId="37" borderId="14" xfId="0" applyFont="1" applyFill="1" applyBorder="1" applyNumberFormat="1">
      <alignment vertical="center" wrapText="1"/>
    </xf>
    <xf numFmtId="0" fontId="22" fillId="37" borderId="15" xfId="0" applyFont="1" applyFill="1" applyBorder="1" applyNumberFormat="1">
      <alignment vertical="center" wrapText="1"/>
    </xf>
    <xf numFmtId="0" fontId="47" fillId="37" borderId="13" xfId="0" applyFont="1" applyFill="1" applyBorder="1" applyNumberFormat="1">
      <alignment vertical="center" wrapText="1"/>
    </xf>
    <xf numFmtId="0" fontId="22" fillId="0" borderId="12" xfId="0" applyFont="1" applyBorder="1" applyNumberFormat="1">
      <alignment horizontal="left" vertical="center" wrapText="1" indent="2"/>
    </xf>
    <xf numFmtId="14" fontId="22" fillId="0" borderId="0" xfId="0" applyFont="1" applyNumberFormat="1">
      <alignment horizontal="center" vertical="center" wrapText="1"/>
    </xf>
    <xf numFmtId="49" fontId="91" fillId="46" borderId="0" xfId="0" applyFont="1" applyFill="1" applyNumberFormat="1">
      <alignment horizontal="center" vertical="center" wrapText="1"/>
    </xf>
    <xf numFmtId="49" fontId="50" fillId="0" borderId="0" xfId="0" applyFont="1" applyNumberFormat="1">
      <alignment horizontal="center" vertical="center"/>
    </xf>
    <xf numFmtId="503" fontId="22" fillId="39" borderId="12" xfId="0" applyFont="1" applyFill="1" applyBorder="1" applyNumberFormat="1">
      <alignment horizontal="right" vertical="center" wrapText="1"/>
      <protection locked="0"/>
    </xf>
    <xf numFmtId="0" fontId="47" fillId="0" borderId="0" xfId="0" applyFont="1" applyNumberFormat="1">
      <alignment horizontal="left" vertical="center" wrapText="1"/>
    </xf>
    <xf numFmtId="49" fontId="91" fillId="0" borderId="0" xfId="0" applyFont="1" applyNumberFormat="1">
      <alignment horizontal="left" vertical="center" wrapText="1"/>
    </xf>
    <xf numFmtId="0" fontId="48" fillId="0" borderId="0" xfId="0" applyFont="1" applyNumberFormat="1">
      <alignment horizontal="left" vertical="center" wrapText="1"/>
    </xf>
    <xf numFmtId="49" fontId="22" fillId="0" borderId="0" xfId="0" applyFont="1" applyNumberFormat="1">
      <alignment horizontal="left" vertical="center" wrapText="1"/>
    </xf>
    <xf numFmtId="0" fontId="54" fillId="0" borderId="0" xfId="0" applyFont="1" applyNumberFormat="1">
      <alignment horizontal="left" vertical="center" wrapText="1"/>
    </xf>
    <xf numFmtId="0" fontId="32" fillId="0" borderId="0" xfId="0" applyFont="1" applyNumberFormat="1">
      <alignment horizontal="left" vertical="center" wrapText="1"/>
    </xf>
    <xf numFmtId="49" fontId="22" fillId="40" borderId="12" xfId="0" applyFont="1" applyFill="1" applyBorder="1" applyNumberFormat="1">
      <alignment horizontal="left" vertical="center" wrapText="1"/>
    </xf>
    <xf numFmtId="0" fontId="22" fillId="0" borderId="17" xfId="0" applyFont="1" applyBorder="1" applyNumberFormat="1">
      <alignment horizontal="center" vertical="center" wrapText="1"/>
    </xf>
    <xf numFmtId="4" fontId="22" fillId="34" borderId="17" xfId="0" applyFont="1" applyFill="1" applyBorder="1" applyNumberFormat="1">
      <alignment horizontal="right" vertical="center" wrapText="1"/>
    </xf>
    <xf numFmtId="0" fontId="48" fillId="0" borderId="12" xfId="0" applyFont="1" applyBorder="1" applyNumberFormat="1">
      <alignment horizontal="left" vertical="center" wrapText="1" indent="3"/>
    </xf>
    <xf numFmtId="49" fontId="48" fillId="0" borderId="12" xfId="0" applyFont="1" applyBorder="1" applyNumberFormat="1">
      <alignment vertical="center" wrapText="1"/>
    </xf>
    <xf numFmtId="0" fontId="48" fillId="0" borderId="17" xfId="0" applyFont="1" applyBorder="1" applyNumberFormat="1">
      <alignment vertical="top" wrapText="1"/>
    </xf>
    <xf numFmtId="0" fontId="22" fillId="0" borderId="17" xfId="0" applyFont="1" applyBorder="1" applyNumberFormat="1">
      <alignment horizontal="center" vertical="center" wrapText="1"/>
    </xf>
    <xf numFmtId="0" fontId="22" fillId="0" borderId="14" xfId="0" applyFont="1" applyBorder="1" applyNumberFormat="1">
      <alignment horizontal="left" vertical="center" wrapText="1" indent="2"/>
    </xf>
    <xf numFmtId="0" fontId="22" fillId="0" borderId="12" xfId="0" applyFont="1" applyBorder="1" applyNumberFormat="1">
      <alignment horizontal="center" vertical="center" wrapText="1"/>
    </xf>
    <xf numFmtId="4" fontId="22" fillId="39" borderId="13" xfId="0" applyFont="1" applyFill="1" applyBorder="1" applyNumberFormat="1">
      <alignment horizontal="right" vertical="center" wrapText="1"/>
      <protection locked="0"/>
    </xf>
    <xf numFmtId="0" fontId="22" fillId="0" borderId="14" xfId="0" applyFont="1" applyBorder="1" applyNumberFormat="1">
      <alignment horizontal="left" vertical="center" wrapText="1" indent="1"/>
    </xf>
    <xf numFmtId="0" fontId="22" fillId="0" borderId="14" xfId="0" applyFont="1" applyBorder="1" applyNumberFormat="1">
      <alignment horizontal="left" vertical="center" wrapText="1"/>
    </xf>
    <xf numFmtId="0" fontId="22" fillId="0" borderId="23" xfId="0" applyFont="1" applyBorder="1" applyNumberFormat="1">
      <alignment horizontal="center" vertical="center" wrapText="1"/>
    </xf>
    <xf numFmtId="49" fontId="53" fillId="36" borderId="13" xfId="0" applyFont="1" applyFill="1" applyBorder="1" applyNumberFormat="1">
      <alignment horizontal="left" vertical="center" wrapText="1"/>
      <protection locked="0"/>
    </xf>
    <xf numFmtId="49" fontId="53" fillId="36" borderId="12" xfId="0" applyFont="1" applyFill="1" applyBorder="1" applyNumberFormat="1">
      <alignment horizontal="left" vertical="center" wrapText="1"/>
      <protection locked="0"/>
    </xf>
    <xf numFmtId="0" fontId="48" fillId="0" borderId="0" xfId="0" applyFont="1" applyNumberFormat="1">
      <alignment vertical="center" wrapText="1"/>
    </xf>
    <xf numFmtId="49" fontId="22" fillId="0" borderId="0" xfId="0" applyFont="1" applyNumberFormat="1">
      <alignment horizontal="center" vertical="center" wrapText="1"/>
    </xf>
    <xf numFmtId="0" fontId="22" fillId="0" borderId="12" xfId="0" applyFont="1" applyBorder="1" applyNumberFormat="1">
      <alignment horizontal="center" vertical="center" wrapText="1"/>
    </xf>
    <xf numFmtId="503" fontId="22" fillId="39" borderId="13" xfId="0" applyFont="1" applyFill="1" applyBorder="1" applyNumberFormat="1">
      <alignment horizontal="right" vertical="center" wrapText="1"/>
      <protection locked="0"/>
    </xf>
    <xf numFmtId="0" fontId="84" fillId="0" borderId="0" xfId="0" applyFont="1" applyNumberFormat="1">
      <alignment vertical="center" wrapText="1"/>
    </xf>
    <xf numFmtId="0" fontId="54" fillId="0" borderId="0" xfId="0" applyFont="1" applyNumberFormat="1">
      <alignment vertical="center" wrapText="1"/>
    </xf>
    <xf numFmtId="0" fontId="32" fillId="0" borderId="0" xfId="0" applyFont="1" applyNumberFormat="1">
      <alignment vertical="center" wrapText="1"/>
    </xf>
    <xf numFmtId="0" fontId="47" fillId="0" borderId="0" xfId="0" applyFont="1" applyNumberFormat="1">
      <alignment vertical="center" wrapText="1"/>
    </xf>
    <xf numFmtId="49" fontId="50" fillId="0" borderId="0" xfId="0" applyFont="1" applyNumberFormat="1">
      <alignment horizontal="center" vertical="center"/>
    </xf>
    <xf numFmtId="0" fontId="22" fillId="0" borderId="0" xfId="0" applyFont="1" applyNumberFormat="1">
      <alignment vertical="center" wrapText="1"/>
    </xf>
    <xf numFmtId="503" fontId="22" fillId="34" borderId="13" xfId="0" applyFont="1" applyFill="1" applyBorder="1" applyNumberFormat="1">
      <alignment horizontal="right" vertical="center" wrapText="1"/>
    </xf>
    <xf numFmtId="503" fontId="22" fillId="34" borderId="12" xfId="0" applyFont="1" applyFill="1" applyBorder="1" applyNumberFormat="1">
      <alignment horizontal="right" vertical="center" wrapText="1"/>
    </xf>
    <xf numFmtId="49" fontId="91" fillId="46" borderId="0" xfId="0" applyFont="1" applyFill="1" applyNumberFormat="1">
      <alignment horizontal="center" vertical="center" textRotation="90" wrapText="1"/>
    </xf>
    <xf numFmtId="0" fontId="22" fillId="39" borderId="12" xfId="0" applyFont="1" applyFill="1" applyBorder="1" applyNumberFormat="1">
      <alignment horizontal="center" vertical="center" wrapText="1"/>
      <protection locked="0"/>
    </xf>
    <xf numFmtId="4" fontId="22" fillId="39" borderId="29"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0" fontId="48" fillId="0" borderId="36" xfId="0" applyFont="1" applyBorder="1" applyNumberFormat="1">
      <alignment horizontal="left" vertical="center" wrapText="1" indent="1"/>
    </xf>
    <xf numFmtId="0" fontId="48" fillId="0" borderId="36" xfId="0" applyFont="1" applyBorder="1" applyNumberFormat="1">
      <alignment horizontal="center" vertical="center" wrapText="1"/>
    </xf>
    <xf numFmtId="0" fontId="48" fillId="0" borderId="17" xfId="0" applyFont="1" applyBorder="1" applyNumberFormat="1">
      <alignment vertical="center" wrapText="1"/>
    </xf>
    <xf numFmtId="49" fontId="22" fillId="37" borderId="37" xfId="0" applyFont="1" applyFill="1" applyBorder="1" applyNumberFormat="1">
      <alignment vertical="center" wrapText="1"/>
    </xf>
    <xf numFmtId="49" fontId="40" fillId="37" borderId="19" xfId="0" applyFont="1" applyFill="1" applyBorder="1" applyNumberFormat="1">
      <alignment horizontal="left" vertical="center" indent="1"/>
    </xf>
    <xf numFmtId="0" fontId="22" fillId="0" borderId="23" xfId="0" applyFont="1" applyBorder="1" applyNumberFormat="1">
      <alignment vertical="top" wrapText="1"/>
    </xf>
    <xf numFmtId="0" fontId="22" fillId="0" borderId="13" xfId="0" applyFont="1" applyBorder="1" applyNumberFormat="1">
      <alignment horizontal="center" vertical="center" wrapText="1"/>
    </xf>
    <xf numFmtId="0" fontId="22" fillId="0" borderId="13" xfId="0" applyFont="1" applyBorder="1" applyNumberFormat="1">
      <alignment horizontal="center" vertical="center" wrapText="1"/>
    </xf>
    <xf numFmtId="0" fontId="22" fillId="0" borderId="20" xfId="0" applyFont="1" applyBorder="1" applyNumberFormat="1">
      <alignment horizontal="center" vertical="center" wrapText="1"/>
    </xf>
    <xf numFmtId="503" fontId="22" fillId="39" borderId="17" xfId="0" applyFont="1" applyFill="1" applyBorder="1" applyNumberFormat="1">
      <alignment horizontal="right" vertical="center" wrapText="1"/>
      <protection locked="0"/>
    </xf>
    <xf numFmtId="0" fontId="48" fillId="0" borderId="23" xfId="0" applyFont="1" applyBorder="1" applyNumberFormat="1">
      <alignment horizontal="left" vertical="center" wrapText="1" indent="1"/>
    </xf>
    <xf numFmtId="0" fontId="48" fillId="0" borderId="17" xfId="0" applyFont="1" applyBorder="1" applyNumberFormat="1">
      <alignment horizontal="center" vertical="center" wrapText="1"/>
    </xf>
    <xf numFmtId="0" fontId="37" fillId="0" borderId="0" xfId="0" applyFont="1" applyNumberFormat="1">
      <alignment horizontal="center" vertical="center" wrapText="1"/>
    </xf>
    <xf numFmtId="49" fontId="22" fillId="37" borderId="37" xfId="0" applyFont="1" applyFill="1" applyBorder="1" applyNumberFormat="1">
      <alignment vertical="center" wrapText="1"/>
    </xf>
    <xf numFmtId="49" fontId="40" fillId="37" borderId="19" xfId="0" applyFont="1" applyFill="1" applyBorder="1" applyNumberFormat="1">
      <alignment horizontal="left" vertical="center" indent="1"/>
    </xf>
    <xf numFmtId="0" fontId="22" fillId="37" borderId="15" xfId="0" applyFont="1" applyFill="1" applyBorder="1" applyNumberFormat="1">
      <alignment vertical="center" wrapText="1"/>
    </xf>
    <xf numFmtId="0" fontId="47" fillId="37" borderId="13" xfId="0" applyFont="1" applyFill="1" applyBorder="1" applyNumberFormat="1">
      <alignment vertical="center" wrapText="1"/>
    </xf>
    <xf numFmtId="0" fontId="22" fillId="0" borderId="23" xfId="0" applyFont="1" applyBorder="1" applyNumberFormat="1">
      <alignment vertical="top" wrapText="1"/>
    </xf>
    <xf numFmtId="0" fontId="48" fillId="0" borderId="17" xfId="0" applyFont="1" applyBorder="1" applyNumberFormat="1">
      <alignment horizontal="left" vertical="center" wrapText="1" indent="1"/>
    </xf>
    <xf numFmtId="49" fontId="53" fillId="36" borderId="12" xfId="0" applyFont="1" applyFill="1" applyBorder="1" applyNumberFormat="1">
      <alignment horizontal="left" vertical="center" wrapText="1"/>
      <protection locked="0"/>
    </xf>
    <xf numFmtId="0" fontId="22" fillId="0" borderId="0" xfId="0" applyFont="1" applyNumberFormat="1">
      <alignment vertical="top" wrapText="1"/>
    </xf>
    <xf numFmtId="0" fontId="22" fillId="0" borderId="0" xfId="0" applyFont="1" applyNumberFormat="1">
      <alignment horizontal="left" vertical="top" wrapText="1"/>
    </xf>
    <xf numFmtId="0" fontId="54" fillId="0" borderId="0" xfId="0" applyFont="1" applyNumberFormat="1">
      <alignment vertical="center"/>
    </xf>
    <xf numFmtId="0" fontId="91" fillId="0" borderId="0" xfId="0" applyFont="1" applyNumberFormat="1">
      <alignment vertical="center" wrapText="1"/>
    </xf>
    <xf numFmtId="49" fontId="91" fillId="0" borderId="0" xfId="0" applyFont="1" applyNumberFormat="1">
      <alignment horizontal="center" vertical="center" wrapText="1"/>
    </xf>
    <xf numFmtId="0" fontId="54" fillId="0" borderId="0" xfId="0" applyFont="1" applyNumberFormat="1">
      <alignment vertical="center" wrapText="1"/>
    </xf>
    <xf numFmtId="0" fontId="22" fillId="0" borderId="19" xfId="0" applyFont="1" applyBorder="1" applyNumberFormat="1">
      <alignment vertical="center" wrapText="1"/>
    </xf>
    <xf numFmtId="0" fontId="22" fillId="0" borderId="0" xfId="0" applyFont="1" applyNumberFormat="1">
      <alignment horizontal="center" vertical="center" wrapText="1"/>
    </xf>
    <xf numFmtId="49" fontId="32" fillId="0" borderId="0" xfId="0" applyFont="1" applyNumberFormat="1">
      <alignment horizontal="center" vertical="center" wrapText="1"/>
    </xf>
    <xf numFmtId="0" fontId="22" fillId="0" borderId="27" xfId="0" applyFont="1" applyBorder="1" applyNumberFormat="1">
      <alignment vertical="center" wrapText="1"/>
    </xf>
    <xf numFmtId="0" fontId="48" fillId="0" borderId="0" xfId="0" applyFont="1" applyNumberFormat="1">
      <alignment vertical="center" wrapText="1"/>
    </xf>
    <xf numFmtId="0" fontId="32" fillId="0" borderId="0" xfId="0" applyFont="1" applyNumberFormat="1">
      <alignment vertical="center" wrapText="1"/>
    </xf>
    <xf numFmtId="0" fontId="50" fillId="0" borderId="0" xfId="0" applyFont="1" applyNumberFormat="1">
      <alignment horizontal="center" vertical="center" wrapText="1"/>
    </xf>
    <xf numFmtId="49" fontId="63" fillId="0" borderId="0" xfId="0" applyFont="1" applyNumberFormat="1">
      <alignment horizontal="center" vertical="center" wrapText="1"/>
    </xf>
    <xf numFmtId="0" fontId="72" fillId="0" borderId="0" xfId="0" applyFont="1" applyNumberFormat="1">
      <alignment horizontal="center" vertical="center" wrapText="1"/>
    </xf>
    <xf numFmtId="0" fontId="100" fillId="0" borderId="0" xfId="0" applyFont="1" applyNumberFormat="1">
      <alignment horizontal="center" vertical="center" wrapText="1"/>
    </xf>
    <xf numFmtId="0" fontId="101" fillId="35" borderId="0" xfId="0" applyFont="1" applyFill="1" applyNumberFormat="1">
      <alignment horizontal="right" vertical="center"/>
    </xf>
    <xf numFmtId="0" fontId="63" fillId="0" borderId="0" xfId="0" applyFont="1" applyNumberFormat="1">
      <alignment vertical="center" wrapText="1"/>
    </xf>
    <xf numFmtId="0" fontId="71" fillId="0" borderId="0" xfId="0" applyFont="1" applyNumberFormat="1">
      <alignment vertical="center" wrapText="1"/>
    </xf>
    <xf numFmtId="0" fontId="22" fillId="0" borderId="12" xfId="0" applyFont="1" applyBorder="1" applyNumberFormat="1">
      <alignment horizontal="center" vertical="center" wrapText="1"/>
    </xf>
    <xf numFmtId="49" fontId="48" fillId="0" borderId="0" xfId="0" applyFont="1" applyNumberFormat="1">
      <alignment horizontal="center" vertical="center" wrapText="1"/>
    </xf>
    <xf numFmtId="49" fontId="48" fillId="0" borderId="0" xfId="0" applyFont="1" applyNumberFormat="1">
      <alignment horizontal="center" vertical="center" wrapText="1"/>
    </xf>
    <xf numFmtId="49" fontId="32" fillId="0" borderId="0" xfId="0" applyFont="1" applyNumberFormat="1">
      <alignment horizontal="center" vertical="center" wrapText="1"/>
    </xf>
    <xf numFmtId="49" fontId="22" fillId="0" borderId="0" xfId="0" applyFont="1" applyNumberFormat="1">
      <alignment horizontal="center" vertical="center" wrapText="1"/>
    </xf>
    <xf numFmtId="4" fontId="22" fillId="0" borderId="0" xfId="0" applyFont="1" applyNumberFormat="1">
      <alignment horizontal="right" vertical="center" wrapText="1"/>
    </xf>
    <xf numFmtId="9" fontId="50" fillId="0" borderId="0" xfId="0" applyFont="1" applyNumberFormat="1">
      <alignment horizontal="center" vertical="center" wrapText="1"/>
    </xf>
    <xf numFmtId="0" fontId="71" fillId="0" borderId="0" xfId="0" applyFont="1" applyNumberFormat="1">
      <alignment vertical="center" wrapText="1"/>
    </xf>
    <xf numFmtId="0" fontId="48" fillId="0" borderId="0" xfId="0" applyFont="1" applyNumberFormat="1">
      <alignment vertical="center" wrapText="1"/>
    </xf>
    <xf numFmtId="0" fontId="32" fillId="0" borderId="0" xfId="0" applyFont="1" applyNumberFormat="1">
      <alignment vertical="center" wrapText="1"/>
    </xf>
    <xf numFmtId="0" fontId="0" fillId="0" borderId="0" xfId="0" applyFont="1" applyNumberFormat="1">
      <alignment vertical="top"/>
    </xf>
    <xf numFmtId="49" fontId="0" fillId="0" borderId="0" xfId="0" applyFont="1" applyNumberFormat="1">
      <alignment vertical="top"/>
    </xf>
    <xf numFmtId="49" fontId="48" fillId="0" borderId="17" xfId="0" applyFont="1" applyBorder="1" applyNumberFormat="1">
      <alignment horizontal="center" vertical="center" wrapText="1"/>
    </xf>
    <xf numFmtId="0" fontId="0" fillId="0" borderId="14" xfId="0" applyFont="1" applyBorder="1" applyNumberFormat="1">
      <alignment horizontal="right" vertical="center" wrapText="1" indent="1"/>
    </xf>
    <xf numFmtId="0" fontId="0" fillId="0" borderId="15" xfId="0" applyFont="1" applyBorder="1" applyNumberFormat="1">
      <alignment horizontal="right" vertical="center" wrapText="1" indent="1"/>
    </xf>
    <xf numFmtId="0" fontId="0" fillId="0" borderId="13" xfId="0" applyFont="1" applyBorder="1" applyNumberFormat="1">
      <alignment horizontal="right" vertical="center" wrapText="1" indent="1"/>
    </xf>
    <xf numFmtId="0" fontId="0" fillId="34" borderId="12" xfId="0" applyFont="1" applyFill="1" applyBorder="1" applyNumberFormat="1">
      <alignment horizontal="left" vertical="center" wrapText="1" indent="1"/>
    </xf>
    <xf numFmtId="0" fontId="22" fillId="0" borderId="13" xfId="0" applyFont="1" applyBorder="1" applyNumberFormat="1">
      <alignment horizontal="left" vertical="center" wrapText="1" indent="1"/>
    </xf>
    <xf numFmtId="49" fontId="48" fillId="0" borderId="22" xfId="0" applyFont="1" applyBorder="1" applyNumberFormat="1">
      <alignment vertical="top"/>
    </xf>
    <xf numFmtId="49" fontId="48" fillId="0" borderId="0" xfId="0" applyFont="1" applyNumberFormat="1">
      <alignment vertical="top"/>
    </xf>
    <xf numFmtId="49" fontId="47" fillId="0" borderId="0" xfId="0" applyFont="1" applyNumberFormat="1">
      <alignment vertical="top"/>
    </xf>
    <xf numFmtId="49" fontId="48" fillId="0" borderId="0" xfId="0" applyFont="1" applyNumberFormat="1">
      <alignment vertical="top"/>
    </xf>
    <xf numFmtId="49" fontId="47" fillId="0" borderId="0" xfId="0" applyFont="1" applyNumberFormat="1">
      <alignment vertical="top"/>
    </xf>
    <xf numFmtId="0" fontId="47" fillId="0" borderId="0" xfId="0" applyFont="1" applyNumberFormat="1">
      <alignment horizontal="center" vertical="top"/>
    </xf>
    <xf numFmtId="49" fontId="47" fillId="0" borderId="0" xfId="0" applyFont="1" applyNumberFormat="1">
      <alignment vertical="top"/>
    </xf>
    <xf numFmtId="0" fontId="47" fillId="0" borderId="0" xfId="0" applyFont="1" applyNumberFormat="1">
      <alignment vertical="top"/>
    </xf>
    <xf numFmtId="0" fontId="74" fillId="0" borderId="0" xfId="0" applyFont="1" applyNumberFormat="1">
      <alignment vertical="top"/>
    </xf>
    <xf numFmtId="0" fontId="87" fillId="0" borderId="0" xfId="0" applyFont="1" applyNumberFormat="1">
      <alignment vertical="top"/>
    </xf>
    <xf numFmtId="49" fontId="48" fillId="0" borderId="36" xfId="0" applyFont="1" applyBorder="1" applyNumberFormat="1">
      <alignment horizontal="center" vertical="center" wrapText="1"/>
    </xf>
    <xf numFmtId="0" fontId="47" fillId="0" borderId="0" xfId="0" applyFont="1" applyNumberFormat="1">
      <alignment horizontal="center" vertical="center" wrapText="1"/>
    </xf>
    <xf numFmtId="0" fontId="22" fillId="0" borderId="23" xfId="0" applyFont="1" applyBorder="1" applyNumberFormat="1">
      <alignment horizontal="left" vertical="center" wrapText="1"/>
    </xf>
    <xf numFmtId="2" fontId="22" fillId="0" borderId="23" xfId="0" applyFont="1" applyBorder="1" applyNumberFormat="1">
      <alignment horizontal="center" vertical="center" wrapText="1"/>
    </xf>
    <xf numFmtId="0" fontId="22" fillId="0" borderId="12" xfId="0" applyFont="1" applyBorder="1" applyNumberFormat="1">
      <alignment horizontal="left" vertical="center" wrapText="1"/>
    </xf>
    <xf numFmtId="49" fontId="48" fillId="0" borderId="22" xfId="0" applyFont="1" applyBorder="1" applyNumberFormat="1">
      <alignment vertical="top"/>
    </xf>
    <xf numFmtId="0" fontId="48" fillId="0" borderId="0" xfId="0" applyFont="1" applyNumberFormat="1">
      <alignment horizontal="center" vertical="center" wrapText="1"/>
    </xf>
    <xf numFmtId="0" fontId="48" fillId="0" borderId="0" xfId="0" applyFont="1" applyNumberFormat="1">
      <alignment horizontal="center" vertical="center" wrapText="1"/>
    </xf>
    <xf numFmtId="0" fontId="48" fillId="0" borderId="12" xfId="0" applyFont="1" applyBorder="1" applyNumberFormat="1">
      <alignment horizontal="left" vertical="center" wrapText="1"/>
    </xf>
    <xf numFmtId="0" fontId="48" fillId="0" borderId="12" xfId="0" applyFont="1" applyBorder="1" applyNumberFormat="1">
      <alignment vertical="center" wrapText="1"/>
    </xf>
    <xf numFmtId="0" fontId="48" fillId="0" borderId="22" xfId="0" applyFont="1" applyBorder="1" applyNumberFormat="1">
      <alignment vertical="center" wrapText="1"/>
    </xf>
    <xf numFmtId="49" fontId="40" fillId="37" borderId="14" xfId="0" applyFont="1" applyFill="1" applyBorder="1" applyNumberFormat="1">
      <alignment horizontal="left" vertical="center"/>
    </xf>
    <xf numFmtId="49" fontId="40" fillId="37" borderId="15" xfId="0" applyFont="1" applyFill="1" applyBorder="1" applyNumberFormat="1">
      <alignment horizontal="left" vertical="center" indent="1"/>
    </xf>
    <xf numFmtId="49" fontId="40" fillId="37" borderId="15" xfId="0" applyFont="1" applyFill="1" applyBorder="1" applyNumberFormat="1">
      <alignment horizontal="left" vertical="center"/>
    </xf>
    <xf numFmtId="49" fontId="40" fillId="37" borderId="13" xfId="0" applyFont="1" applyFill="1" applyBorder="1" applyNumberFormat="1">
      <alignment horizontal="left" vertical="center" indent="1"/>
    </xf>
    <xf numFmtId="0" fontId="22" fillId="0" borderId="23" xfId="0" applyFont="1" applyBorder="1" applyNumberFormat="1">
      <alignment horizontal="left" vertical="center" wrapText="1"/>
    </xf>
    <xf numFmtId="0" fontId="22" fillId="0" borderId="12" xfId="0" applyFont="1" applyBorder="1" applyNumberFormat="1">
      <alignment horizontal="left" vertical="center" wrapText="1"/>
    </xf>
    <xf numFmtId="0" fontId="47" fillId="0" borderId="0" xfId="0" applyFont="1" applyNumberFormat="1">
      <alignment horizontal="center" vertical="top"/>
    </xf>
    <xf numFmtId="0" fontId="48" fillId="0" borderId="0" xfId="0" applyFont="1" applyNumberFormat="1">
      <alignment horizontal="center" vertical="center" wrapText="1"/>
    </xf>
    <xf numFmtId="49" fontId="48" fillId="0" borderId="23" xfId="0" applyFont="1" applyBorder="1" applyNumberFormat="1">
      <alignment horizontal="center" vertical="center" wrapText="1"/>
    </xf>
    <xf numFmtId="49" fontId="40" fillId="0" borderId="19" xfId="0" applyFont="1" applyBorder="1" applyNumberFormat="1">
      <alignment horizontal="right" vertical="center"/>
    </xf>
    <xf numFmtId="0" fontId="22" fillId="0" borderId="0" xfId="0" applyFont="1" applyNumberFormat="1">
      <alignment horizontal="right" vertical="center" wrapText="1"/>
    </xf>
    <xf numFmtId="0" fontId="0" fillId="0" borderId="0" xfId="0" applyFont="1" applyNumberFormat="1">
      <alignment vertical="center"/>
    </xf>
    <xf numFmtId="0" fontId="45" fillId="0" borderId="0" xfId="0" applyFont="1" applyNumberFormat="1">
      <alignment horizontal="right" vertical="top" wrapText="1"/>
    </xf>
    <xf numFmtId="0" fontId="45" fillId="0" borderId="0" xfId="0" applyFont="1" applyNumberFormat="1">
      <alignment horizontal="left" vertical="top" wrapText="1"/>
    </xf>
    <xf numFmtId="49" fontId="32" fillId="0" borderId="0" xfId="0" applyFont="1" applyNumberFormat="1">
      <alignment horizontal="center" vertical="center" wrapText="1"/>
    </xf>
    <xf numFmtId="0" fontId="47" fillId="55" borderId="12" xfId="0" applyFont="1" applyFill="1" applyBorder="1" applyNumberFormat="1">
      <alignment horizontal="left" vertical="center" wrapText="1"/>
    </xf>
    <xf numFmtId="0" fontId="22" fillId="54" borderId="12" xfId="0" applyFont="1" applyFill="1" applyBorder="1" applyNumberFormat="1">
      <alignment vertical="center"/>
    </xf>
    <xf numFmtId="49" fontId="0" fillId="7" borderId="12" xfId="0" applyFont="1" applyFill="1" applyBorder="1" applyNumberFormat="1">
      <alignment horizontal="center" vertical="center" wrapText="1"/>
    </xf>
    <xf numFmtId="49" fontId="0" fillId="7" borderId="12" xfId="0" applyFont="1" applyFill="1" applyBorder="1" applyNumberFormat="1">
      <alignment horizontal="center" vertical="center" wrapText="1"/>
    </xf>
    <xf numFmtId="49" fontId="36"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3" xfId="0" applyFont="1" applyBorder="1" applyNumberFormat="1">
      <alignment horizontal="center" vertical="center" wrapText="1"/>
    </xf>
    <xf numFmtId="49" fontId="126" fillId="0" borderId="17" xfId="0" applyFont="1" applyBorder="1" applyNumberFormat="1">
      <alignment horizontal="center" vertical="center" wrapText="1"/>
    </xf>
    <xf numFmtId="49" fontId="126" fillId="0" borderId="12" xfId="0" applyFont="1" applyBorder="1" applyNumberFormat="1">
      <alignment horizontal="center" vertical="center" wrapText="1"/>
    </xf>
    <xf numFmtId="0" fontId="22" fillId="34" borderId="14" xfId="0" applyFont="1" applyFill="1" applyBorder="1" applyNumberFormat="1">
      <alignment horizontal="left" vertical="top" wrapText="1"/>
    </xf>
    <xf numFmtId="0" fontId="48" fillId="0" borderId="14" xfId="0" applyFont="1" applyBorder="1" applyNumberFormat="1">
      <alignment vertical="center" wrapText="1"/>
    </xf>
    <xf numFmtId="0" fontId="22" fillId="0" borderId="15" xfId="0" applyFont="1" applyBorder="1" applyNumberFormat="1">
      <alignment horizontal="right" vertical="center" wrapText="1" indent="1"/>
    </xf>
    <xf numFmtId="0" fontId="22" fillId="0" borderId="19" xfId="0" applyFont="1" applyBorder="1" applyNumberFormat="1">
      <alignment horizontal="right" vertical="center" wrapText="1" indent="1"/>
    </xf>
    <xf numFmtId="0" fontId="22" fillId="0" borderId="12" xfId="0" applyFont="1" applyBorder="1" applyNumberFormat="1">
      <alignment horizontal="center" vertical="center" wrapText="1"/>
    </xf>
    <xf numFmtId="0" fontId="22" fillId="0" borderId="14" xfId="0" applyFont="1" applyBorder="1" applyNumberFormat="1">
      <alignment horizontal="center" vertical="center" wrapText="1"/>
    </xf>
    <xf numFmtId="0" fontId="22" fillId="0" borderId="12" xfId="0" applyFont="1" applyBorder="1" applyNumberFormat="1">
      <alignment horizontal="center" vertical="center" wrapText="1"/>
    </xf>
    <xf numFmtId="0" fontId="91" fillId="0" borderId="0" xfId="0" applyFont="1" applyNumberFormat="1">
      <alignment horizontal="center" vertical="center" wrapText="1"/>
    </xf>
    <xf numFmtId="49" fontId="22" fillId="0" borderId="0" xfId="0" applyFont="1" applyNumberFormat="1">
      <alignment horizontal="center" vertical="center" wrapText="1"/>
    </xf>
    <xf numFmtId="49" fontId="22" fillId="0" borderId="28" xfId="0" applyFont="1" applyBorder="1" applyNumberFormat="1">
      <alignment horizontal="center" vertical="center" wrapText="1"/>
    </xf>
    <xf numFmtId="0" fontId="22" fillId="0" borderId="12" xfId="0" applyFont="1" applyBorder="1" applyNumberFormat="1">
      <alignment horizontal="left" vertical="center" wrapText="1"/>
    </xf>
    <xf numFmtId="49" fontId="53" fillId="36" borderId="14" xfId="0" applyFont="1" applyFill="1" applyBorder="1" applyNumberFormat="1">
      <alignment horizontal="left" vertical="center" wrapText="1"/>
      <protection locked="0"/>
    </xf>
    <xf numFmtId="49" fontId="22" fillId="0" borderId="57" xfId="0" applyFont="1" applyBorder="1" applyNumberFormat="1">
      <alignment horizontal="center" vertical="center" wrapText="1"/>
    </xf>
    <xf numFmtId="0" fontId="22" fillId="0" borderId="17" xfId="0" applyFont="1" applyBorder="1" applyNumberFormat="1">
      <alignment horizontal="left" vertical="center" wrapText="1"/>
    </xf>
    <xf numFmtId="0" fontId="22" fillId="0" borderId="17" xfId="0" applyFont="1" applyBorder="1" applyNumberFormat="1">
      <alignment horizontal="center" vertical="center" wrapText="1"/>
    </xf>
    <xf numFmtId="4" fontId="22" fillId="39" borderId="37" xfId="0" applyFont="1" applyFill="1" applyBorder="1" applyNumberFormat="1">
      <alignment horizontal="right" vertical="center" wrapText="1"/>
      <protection locked="0"/>
    </xf>
    <xf numFmtId="4" fontId="22" fillId="39" borderId="17" xfId="0" applyFont="1" applyFill="1" applyBorder="1" applyNumberFormat="1">
      <alignment horizontal="right" vertical="center" wrapText="1"/>
      <protection locked="0"/>
    </xf>
    <xf numFmtId="0" fontId="47" fillId="37" borderId="15" xfId="0" applyFont="1" applyFill="1" applyBorder="1" applyNumberFormat="1">
      <alignment vertical="center" wrapText="1"/>
    </xf>
    <xf numFmtId="49" fontId="22" fillId="0" borderId="58" xfId="0" applyFont="1" applyBorder="1" applyNumberFormat="1">
      <alignment horizontal="center" vertical="center" wrapText="1"/>
    </xf>
    <xf numFmtId="0" fontId="22" fillId="0" borderId="15" xfId="0" applyFont="1" applyBorder="1" applyNumberFormat="1">
      <alignment horizontal="center" vertical="center" wrapText="1"/>
    </xf>
    <xf numFmtId="4" fontId="22" fillId="39" borderId="14" xfId="0" applyFont="1" applyFill="1" applyBorder="1" applyNumberFormat="1">
      <alignment horizontal="right" vertical="center" wrapText="1"/>
      <protection locked="0"/>
    </xf>
    <xf numFmtId="49" fontId="22" fillId="0" borderId="59" xfId="0" applyFont="1" applyBorder="1" applyNumberFormat="1">
      <alignment horizontal="center" vertical="center" wrapText="1"/>
    </xf>
    <xf numFmtId="3" fontId="22" fillId="39" borderId="14" xfId="0" applyFont="1" applyFill="1" applyBorder="1" applyNumberFormat="1">
      <alignment horizontal="right" vertical="center" wrapText="1"/>
      <protection locked="0"/>
    </xf>
    <xf numFmtId="0" fontId="22" fillId="0" borderId="17" xfId="0" applyFont="1" applyBorder="1" applyNumberFormat="1">
      <alignment horizontal="left" vertical="center" wrapText="1"/>
    </xf>
    <xf numFmtId="0" fontId="22" fillId="0" borderId="37" xfId="0" applyFont="1" applyBorder="1" applyNumberFormat="1">
      <alignment horizontal="center" vertical="center" wrapText="1"/>
    </xf>
    <xf numFmtId="49" fontId="22" fillId="0" borderId="12" xfId="0" applyFont="1" applyBorder="1" applyNumberFormat="1">
      <alignment horizontal="center" vertical="center" wrapText="1"/>
    </xf>
    <xf numFmtId="0" fontId="22" fillId="0" borderId="12" xfId="0" applyFont="1" applyBorder="1" applyNumberFormat="1">
      <alignment horizontal="left" vertical="center" wrapText="1"/>
    </xf>
    <xf numFmtId="49" fontId="53" fillId="39" borderId="14" xfId="0" applyFont="1" applyFill="1" applyBorder="1" applyNumberFormat="1">
      <alignment horizontal="left" vertical="center" wrapText="1"/>
      <protection locked="0"/>
    </xf>
    <xf numFmtId="0" fontId="22" fillId="0" borderId="0" xfId="0" applyFont="1" applyNumberFormat="1">
      <alignment horizontal="left" vertical="center" wrapText="1" indent="2"/>
    </xf>
    <xf numFmtId="49" fontId="121" fillId="0" borderId="0" xfId="0" applyFont="1" applyNumberFormat="1">
      <alignment horizontal="center" vertical="center" wrapText="1"/>
    </xf>
    <xf numFmtId="49" fontId="0" fillId="35" borderId="12" xfId="0" applyFont="1" applyFill="1" applyBorder="1" applyNumberFormat="1">
      <alignment horizontal="center" vertical="center" wrapText="1"/>
    </xf>
    <xf numFmtId="49" fontId="0" fillId="39" borderId="12" xfId="0" applyFont="1" applyFill="1" applyBorder="1" applyNumberFormat="1">
      <alignment horizontal="left" vertical="center" wrapText="1" indent="1"/>
      <protection locked="0"/>
    </xf>
    <xf numFmtId="0" fontId="22" fillId="0" borderId="12" xfId="0" applyFont="1" applyBorder="1" applyNumberFormat="1">
      <alignment vertical="top" wrapText="1"/>
    </xf>
    <xf numFmtId="0" fontId="22" fillId="35" borderId="0" xfId="0" applyFont="1" applyFill="1" applyNumberFormat="1">
      <alignment horizontal="right" vertical="center" wrapText="1"/>
    </xf>
    <xf numFmtId="0" fontId="64" fillId="0" borderId="0" xfId="0" applyFont="1" applyNumberFormat="1">
      <alignment vertical="center" wrapText="1"/>
    </xf>
    <xf numFmtId="0" fontId="22" fillId="35" borderId="0" xfId="0" applyFont="1" applyFill="1" applyNumberFormat="1">
      <alignment horizontal="right" vertical="center"/>
    </xf>
    <xf numFmtId="0" fontId="22" fillId="35" borderId="14" xfId="0" applyFont="1" applyFill="1" applyBorder="1" applyNumberFormat="1">
      <alignment horizontal="center" vertical="center" wrapText="1"/>
    </xf>
    <xf numFmtId="0" fontId="22" fillId="35" borderId="15" xfId="0" applyFont="1" applyFill="1" applyBorder="1" applyNumberFormat="1">
      <alignment horizontal="center" vertical="center" wrapText="1"/>
    </xf>
    <xf numFmtId="0" fontId="22" fillId="35" borderId="20" xfId="0" applyFont="1" applyFill="1" applyBorder="1" applyNumberFormat="1">
      <alignment horizontal="center" vertical="center" wrapText="1"/>
    </xf>
    <xf numFmtId="0" fontId="22" fillId="35" borderId="12" xfId="0" applyFont="1" applyFill="1" applyBorder="1" applyNumberFormat="1">
      <alignment horizontal="center" vertical="center"/>
    </xf>
    <xf numFmtId="0" fontId="22" fillId="35" borderId="12" xfId="0" applyFont="1" applyFill="1" applyBorder="1" applyNumberFormat="1">
      <alignment horizontal="center" vertical="center" wrapText="1"/>
    </xf>
    <xf numFmtId="0" fontId="0" fillId="0" borderId="12" xfId="0" applyFont="1" applyBorder="1" applyNumberFormat="1">
      <alignment horizontal="center" vertical="center" wrapText="1"/>
    </xf>
    <xf numFmtId="0" fontId="0" fillId="0" borderId="14" xfId="0" applyFont="1" applyBorder="1" applyNumberFormat="1">
      <alignment horizontal="center" vertical="center" wrapText="1"/>
    </xf>
    <xf numFmtId="0" fontId="0" fillId="0" borderId="12" xfId="0" applyFont="1" applyBorder="1" applyNumberFormat="1">
      <alignment horizontal="center" vertical="center" wrapText="1"/>
    </xf>
    <xf numFmtId="0" fontId="0" fillId="0" borderId="12" xfId="0" applyFont="1" applyBorder="1" applyNumberFormat="1">
      <alignment horizontal="left" vertical="top" wrapText="1"/>
    </xf>
    <xf numFmtId="0" fontId="0" fillId="0" borderId="12" xfId="0" applyFont="1" applyBorder="1" applyNumberFormat="1">
      <alignment horizontal="left" vertical="center" wrapText="1"/>
    </xf>
    <xf numFmtId="49" fontId="22" fillId="0" borderId="0" xfId="0" applyFont="1" applyNumberFormat="1">
      <alignment vertical="top"/>
    </xf>
    <xf numFmtId="0" fontId="22" fillId="37" borderId="14" xfId="0" applyFont="1" applyFill="1" applyBorder="1" applyNumberFormat="1">
      <alignment vertical="center" wrapText="1"/>
    </xf>
    <xf numFmtId="49" fontId="44" fillId="37" borderId="13" xfId="0" applyFont="1" applyFill="1" applyBorder="1" applyNumberFormat="1">
      <alignment horizontal="center" vertical="top"/>
    </xf>
    <xf numFmtId="49" fontId="40" fillId="0" borderId="19" xfId="0" applyFont="1" applyBorder="1" applyNumberFormat="1">
      <alignment horizontal="left" vertical="center"/>
    </xf>
    <xf numFmtId="49" fontId="40" fillId="0" borderId="19" xfId="0" applyFont="1" applyBorder="1" applyNumberFormat="1">
      <alignment horizontal="left" vertical="center" indent="2"/>
    </xf>
    <xf numFmtId="49" fontId="44" fillId="0" borderId="19" xfId="0" applyFont="1" applyBorder="1" applyNumberFormat="1">
      <alignment horizontal="center" vertical="top"/>
    </xf>
    <xf numFmtId="0" fontId="22" fillId="0" borderId="0" xfId="0" applyFont="1" applyNumberFormat="1">
      <alignment horizontal="left" vertical="top" wrapText="1"/>
    </xf>
    <xf numFmtId="0" fontId="22" fillId="0" borderId="0" xfId="0" applyFont="1" applyNumberFormat="1">
      <alignment horizontal="right" vertical="top" wrapText="1"/>
    </xf>
    <xf numFmtId="0" fontId="22" fillId="0" borderId="0" xfId="0" applyFont="1" applyNumberFormat="1">
      <alignment horizontal="left" vertical="top" wrapText="1"/>
    </xf>
    <xf numFmtId="49" fontId="22" fillId="0" borderId="0" xfId="0" applyFont="1" applyNumberFormat="1">
      <alignment vertical="center" wrapText="1"/>
    </xf>
    <xf numFmtId="49" fontId="22" fillId="0" borderId="0" xfId="0" applyFont="1" applyNumberFormat="1">
      <alignment vertical="center" wrapText="1"/>
    </xf>
    <xf numFmtId="49" fontId="22" fillId="0" borderId="0" xfId="0" applyFont="1" applyNumberFormat="1">
      <alignment vertical="center" wrapText="1"/>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34" borderId="14" xfId="0" applyFont="1" applyFill="1" applyBorder="1" applyNumberFormat="1">
      <alignment horizontal="left" vertical="top" wrapText="1"/>
    </xf>
    <xf numFmtId="0" fontId="48" fillId="0" borderId="15" xfId="0" applyFont="1" applyBorder="1" applyNumberFormat="1">
      <alignment horizontal="right" vertical="center" wrapText="1" indent="1"/>
    </xf>
    <xf numFmtId="0" fontId="48" fillId="0" borderId="13" xfId="0" applyFont="1" applyBorder="1" applyNumberFormat="1">
      <alignment horizontal="right" vertical="center" wrapText="1" indent="1"/>
    </xf>
    <xf numFmtId="0" fontId="48" fillId="0" borderId="14" xfId="0" applyFont="1" applyBorder="1" applyNumberFormat="1">
      <alignment horizontal="left" vertical="top" wrapText="1"/>
    </xf>
    <xf numFmtId="0" fontId="22" fillId="0" borderId="15" xfId="0" applyFont="1" applyBorder="1" applyNumberFormat="1">
      <alignment horizontal="right" vertical="center" wrapText="1" indent="1"/>
    </xf>
    <xf numFmtId="0" fontId="22" fillId="0" borderId="12" xfId="0" applyFont="1" applyBorder="1" applyNumberFormat="1">
      <alignment horizontal="center" vertical="center" wrapText="1"/>
    </xf>
    <xf numFmtId="0" fontId="22" fillId="0" borderId="12" xfId="0" applyFont="1" applyBorder="1" applyNumberFormat="1">
      <alignment horizontal="left" vertical="center" wrapText="1"/>
    </xf>
    <xf numFmtId="0" fontId="22" fillId="0" borderId="12" xfId="0" applyFont="1" applyBorder="1" applyNumberFormat="1">
      <alignment horizontal="left" vertical="center" wrapText="1" indent="1"/>
    </xf>
    <xf numFmtId="0" fontId="22" fillId="0" borderId="13" xfId="0" applyFont="1" applyBorder="1" applyNumberFormat="1">
      <alignment horizontal="center" vertical="center" wrapText="1"/>
    </xf>
    <xf numFmtId="0" fontId="22" fillId="0" borderId="13" xfId="0" applyFont="1" applyBorder="1" applyNumberFormat="1">
      <alignment horizontal="center" vertical="center" wrapText="1"/>
    </xf>
    <xf numFmtId="0" fontId="22" fillId="0" borderId="17" xfId="0" applyFont="1" applyBorder="1" applyNumberFormat="1">
      <alignment horizontal="center" vertical="center" wrapText="1"/>
    </xf>
    <xf numFmtId="49" fontId="40" fillId="37" borderId="19" xfId="0" applyFont="1" applyFill="1" applyBorder="1" applyNumberFormat="1">
      <alignment horizontal="left" vertical="center" indent="2"/>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34" borderId="14" xfId="0" applyFont="1" applyFill="1" applyBorder="1" applyNumberFormat="1">
      <alignment horizontal="left" vertical="top" wrapText="1"/>
    </xf>
    <xf numFmtId="0" fontId="22" fillId="0" borderId="15" xfId="0" applyFont="1" applyBorder="1" applyNumberFormat="1">
      <alignment horizontal="right" vertical="center" wrapText="1" indent="1"/>
    </xf>
    <xf numFmtId="0" fontId="22" fillId="0" borderId="12" xfId="0" applyFont="1" applyBorder="1" applyNumberFormat="1">
      <alignment horizontal="center" vertical="center" wrapText="1"/>
    </xf>
    <xf numFmtId="0" fontId="22" fillId="0" borderId="17" xfId="0" applyFont="1" applyBorder="1" applyNumberFormat="1">
      <alignment horizontal="left" vertical="center" wrapText="1"/>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0" fontId="22" fillId="0" borderId="17" xfId="0" applyFont="1" applyBorder="1" applyNumberFormat="1">
      <alignment horizontal="left" vertical="center" wrapText="1" indent="1"/>
    </xf>
    <xf numFmtId="0" fontId="22" fillId="0" borderId="17" xfId="0" applyFont="1" applyBorder="1" applyNumberFormat="1">
      <alignment horizontal="center" vertical="center" wrapText="1"/>
    </xf>
    <xf numFmtId="49" fontId="0" fillId="0" borderId="12" xfId="0" applyFont="1" applyBorder="1" applyNumberFormat="1">
      <alignment vertical="center" wrapText="1"/>
    </xf>
    <xf numFmtId="49" fontId="0" fillId="0" borderId="12" xfId="0" applyFont="1" applyBorder="1" applyNumberFormat="1">
      <alignment horizontal="left" vertical="center" wrapText="1" indent="1"/>
    </xf>
    <xf numFmtId="49" fontId="47" fillId="0" borderId="0" xfId="0" applyFont="1" applyNumberFormat="1">
      <alignment horizontal="center" vertical="center" wrapText="1"/>
    </xf>
    <xf numFmtId="49" fontId="47" fillId="0" borderId="0" xfId="0" applyFont="1" applyNumberFormat="1">
      <alignment horizontal="center" vertical="center" wrapText="1"/>
    </xf>
    <xf numFmtId="0" fontId="48" fillId="0" borderId="27" xfId="0" applyFont="1" applyBorder="1" applyNumberFormat="1">
      <alignment vertical="center" wrapText="1"/>
    </xf>
    <xf numFmtId="0" fontId="22" fillId="34" borderId="14" xfId="0" applyFont="1" applyFill="1" applyBorder="1" applyNumberFormat="1">
      <alignment horizontal="left" vertical="top" wrapText="1"/>
    </xf>
    <xf numFmtId="0" fontId="22" fillId="34" borderId="13" xfId="0" applyFont="1" applyFill="1" applyBorder="1" applyNumberFormat="1">
      <alignment horizontal="left" vertical="top" wrapText="1"/>
    </xf>
    <xf numFmtId="49" fontId="47" fillId="0" borderId="0" xfId="0" applyFont="1" applyNumberFormat="1">
      <alignment horizontal="center" vertical="center" wrapText="1"/>
    </xf>
    <xf numFmtId="49" fontId="47" fillId="0" borderId="0" xfId="0" applyFont="1" applyNumberFormat="1">
      <alignment horizontal="center" vertical="center" wrapText="1"/>
    </xf>
    <xf numFmtId="0" fontId="22" fillId="0" borderId="0" xfId="0" applyFont="1" applyNumberFormat="1">
      <alignment vertical="top" wrapText="1"/>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14" xfId="0" applyFont="1" applyBorder="1" applyNumberFormat="1">
      <alignment horizontal="center" vertical="center" wrapText="1"/>
    </xf>
    <xf numFmtId="0" fontId="22" fillId="0" borderId="0" xfId="0" applyFont="1" applyNumberFormat="1">
      <alignment horizontal="left" vertical="top" wrapText="1"/>
    </xf>
    <xf numFmtId="49" fontId="48" fillId="0" borderId="0" xfId="0" applyFont="1" applyNumberFormat="1">
      <alignment horizontal="center" vertical="center" wrapText="1"/>
    </xf>
    <xf numFmtId="0" fontId="48" fillId="0" borderId="0" xfId="0" applyFont="1" applyNumberFormat="1">
      <alignment horizontal="center" vertical="center" wrapText="1"/>
    </xf>
    <xf numFmtId="49" fontId="22" fillId="57" borderId="0" xfId="0" applyFont="1" applyFill="1" applyNumberFormat="1">
      <alignment horizontal="center" vertical="center" textRotation="90" wrapText="1"/>
    </xf>
    <xf numFmtId="49" fontId="22" fillId="0" borderId="12" xfId="0" applyFont="1" applyBorder="1" applyNumberFormat="1">
      <alignment horizontal="center" vertical="center" wrapText="1"/>
    </xf>
    <xf numFmtId="0" fontId="22" fillId="0" borderId="12" xfId="0" applyFont="1" applyBorder="1" applyNumberFormat="1">
      <alignment horizontal="left"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0" fontId="71" fillId="0" borderId="22" xfId="0" applyFont="1" applyBorder="1" applyNumberFormat="1">
      <alignment vertical="center" wrapText="1"/>
    </xf>
    <xf numFmtId="49"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49" fontId="22" fillId="36" borderId="12" xfId="0" applyFont="1" applyFill="1" applyBorder="1" applyNumberFormat="1">
      <alignment horizontal="left" vertical="center" wrapText="1"/>
      <protection locked="0"/>
    </xf>
    <xf numFmtId="3" fontId="22" fillId="36" borderId="14" xfId="0" applyFont="1" applyFill="1" applyBorder="1" applyNumberFormat="1">
      <alignment horizontal="right" vertical="center" wrapText="1"/>
      <protection locked="0"/>
    </xf>
    <xf numFmtId="4" fontId="22" fillId="36" borderId="14" xfId="0" applyFont="1" applyFill="1" applyBorder="1" applyNumberFormat="1">
      <alignment horizontal="right" vertical="center" wrapText="1"/>
      <protection locked="0"/>
    </xf>
    <xf numFmtId="49" fontId="22" fillId="39" borderId="12"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37" fillId="0" borderId="0" xfId="0" applyFont="1" applyNumberFormat="1">
      <alignment horizontal="center" vertical="center" wrapText="1"/>
    </xf>
    <xf numFmtId="0" fontId="22" fillId="0" borderId="17" xfId="0" applyFont="1" applyBorder="1" applyNumberFormat="1">
      <alignment horizontal="center" vertical="center" wrapText="1"/>
    </xf>
    <xf numFmtId="0" fontId="22" fillId="0" borderId="14" xfId="0" applyFont="1" applyBorder="1" applyNumberFormat="1">
      <alignment horizontal="center" vertical="center" wrapText="1"/>
    </xf>
    <xf numFmtId="0" fontId="83" fillId="0" borderId="0" xfId="0" applyFont="1" applyNumberFormat="1">
      <alignment vertical="center" wrapText="1"/>
    </xf>
    <xf numFmtId="0" fontId="22" fillId="0" borderId="12" xfId="0" applyFont="1" applyBorder="1" applyNumberFormat="1">
      <alignment horizontal="left" vertical="center" wrapText="1" indent="2"/>
    </xf>
    <xf numFmtId="49" fontId="22" fillId="36" borderId="14" xfId="0" applyFont="1" applyFill="1" applyBorder="1" applyNumberFormat="1">
      <alignment horizontal="left" vertical="center" wrapText="1"/>
      <protection locked="0"/>
    </xf>
    <xf numFmtId="0" fontId="22" fillId="0" borderId="0" xfId="0" applyFont="1" applyNumberFormat="1">
      <alignment vertical="top" wrapText="1"/>
    </xf>
    <xf numFmtId="0" fontId="22" fillId="0" borderId="0" xfId="0" applyFont="1" applyNumberFormat="1">
      <alignment vertical="top"/>
    </xf>
    <xf numFmtId="0" fontId="22" fillId="0" borderId="0" xfId="0" applyFont="1" applyNumberFormat="1">
      <alignment vertical="top" wrapText="1"/>
    </xf>
    <xf numFmtId="0" fontId="22" fillId="0" borderId="0" xfId="0" applyFont="1" applyNumberFormat="1">
      <alignment vertical="top"/>
    </xf>
    <xf numFmtId="49" fontId="53" fillId="0" borderId="12" xfId="0" applyFont="1" applyBorder="1" applyNumberFormat="1">
      <alignment horizontal="left" vertical="center" wrapText="1"/>
    </xf>
    <xf numFmtId="49" fontId="22" fillId="0" borderId="32" xfId="0" applyFont="1" applyBorder="1" applyNumberFormat="1">
      <alignment horizontal="center" vertical="center" wrapText="1"/>
    </xf>
    <xf numFmtId="0" fontId="22" fillId="0" borderId="32" xfId="0" applyFont="1" applyBorder="1" applyNumberFormat="1">
      <alignment horizontal="left" vertical="center" wrapText="1"/>
    </xf>
    <xf numFmtId="4" fontId="22" fillId="0" borderId="40" xfId="0" applyFont="1" applyBorder="1" applyNumberFormat="1">
      <alignment horizontal="center" vertical="center" wrapText="1"/>
    </xf>
    <xf numFmtId="49" fontId="53" fillId="0" borderId="30" xfId="0" applyFont="1" applyBorder="1" applyNumberFormat="1">
      <alignment horizontal="left" vertical="center" wrapText="1"/>
    </xf>
    <xf numFmtId="49" fontId="22" fillId="0" borderId="31" xfId="0" applyFont="1" applyBorder="1" applyNumberFormat="1">
      <alignment horizontal="center" vertical="center" wrapText="1"/>
    </xf>
    <xf numFmtId="0" fontId="22" fillId="0" borderId="33" xfId="0" applyFont="1" applyBorder="1" applyNumberFormat="1">
      <alignment horizontal="left" vertical="center" wrapText="1" indent="1"/>
    </xf>
    <xf numFmtId="4" fontId="22" fillId="39" borderId="31" xfId="0" applyFont="1" applyFill="1" applyBorder="1" applyNumberFormat="1">
      <alignment horizontal="right" vertical="center" wrapText="1"/>
      <protection locked="0"/>
    </xf>
    <xf numFmtId="49" fontId="53" fillId="0" borderId="14" xfId="0" applyFont="1" applyBorder="1" applyNumberFormat="1">
      <alignment horizontal="left" vertical="center" wrapText="1"/>
    </xf>
    <xf numFmtId="4" fontId="22" fillId="0" borderId="17"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0" fontId="22" fillId="0" borderId="33" xfId="0" applyFont="1" applyBorder="1" applyNumberFormat="1">
      <alignment horizontal="left" vertical="center" wrapText="1"/>
    </xf>
    <xf numFmtId="49" fontId="53" fillId="0" borderId="15" xfId="0" applyFont="1" applyBorder="1" applyNumberFormat="1">
      <alignment horizontal="left" vertical="center" wrapText="1"/>
    </xf>
    <xf numFmtId="0" fontId="22" fillId="0" borderId="31" xfId="0" applyFont="1" applyBorder="1" applyNumberFormat="1">
      <alignment horizontal="left" vertical="center" wrapText="1" indent="1"/>
    </xf>
    <xf numFmtId="4" fontId="22" fillId="0" borderId="32" xfId="0" applyFont="1" applyBorder="1" applyNumberFormat="1">
      <alignment horizontal="center" vertical="center" wrapText="1"/>
    </xf>
    <xf numFmtId="0" fontId="22" fillId="0" borderId="31" xfId="0" applyFont="1" applyBorder="1" applyNumberFormat="1">
      <alignment horizontal="left" vertical="center" wrapText="1"/>
    </xf>
    <xf numFmtId="0" fontId="22" fillId="0" borderId="31" xfId="0" applyFont="1" applyBorder="1" applyNumberFormat="1">
      <alignment horizontal="left" vertical="center" wrapText="1" indent="2"/>
    </xf>
    <xf numFmtId="4" fontId="22" fillId="0" borderId="31" xfId="0" applyFont="1" applyBorder="1" applyNumberFormat="1">
      <alignment horizontal="center" vertical="center" wrapText="1"/>
    </xf>
    <xf numFmtId="49" fontId="22" fillId="0" borderId="34" xfId="0" applyFont="1" applyBorder="1" applyNumberFormat="1">
      <alignment horizontal="center" vertical="center" wrapText="1"/>
    </xf>
    <xf numFmtId="49" fontId="53" fillId="39" borderId="12" xfId="0" applyFont="1" applyFill="1" applyBorder="1" applyNumberFormat="1">
      <alignment horizontal="left" vertical="center" wrapText="1"/>
      <protection locked="0"/>
    </xf>
    <xf numFmtId="0" fontId="22" fillId="0" borderId="35" xfId="0" applyFont="1" applyBorder="1" applyNumberFormat="1">
      <alignment horizontal="left" vertical="center" wrapText="1"/>
    </xf>
    <xf numFmtId="4" fontId="22" fillId="0" borderId="35" xfId="0" applyFont="1" applyBorder="1" applyNumberFormat="1">
      <alignment horizontal="center" vertical="center" wrapText="1"/>
    </xf>
    <xf numFmtId="49" fontId="53" fillId="0" borderId="37" xfId="0" applyFont="1" applyBorder="1" applyNumberFormat="1">
      <alignment horizontal="left" vertical="center" wrapText="1"/>
    </xf>
    <xf numFmtId="49" fontId="22" fillId="0" borderId="33" xfId="0" applyFont="1" applyBorder="1" applyNumberFormat="1">
      <alignment horizontal="center" vertical="center" wrapText="1"/>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 fontId="22" fillId="39" borderId="34" xfId="0" applyFont="1" applyFill="1" applyBorder="1" applyNumberFormat="1">
      <alignment horizontal="right" vertical="center" wrapText="1"/>
      <protection locked="0"/>
    </xf>
    <xf numFmtId="49" fontId="47" fillId="0" borderId="0" xfId="0" applyFont="1" applyNumberFormat="1">
      <alignment horizontal="center" vertical="center" wrapText="1"/>
    </xf>
    <xf numFmtId="0" fontId="47" fillId="0" borderId="0" xfId="0" applyFont="1" applyNumberFormat="1">
      <alignment horizontal="center" vertical="center" wrapText="1"/>
    </xf>
    <xf numFmtId="49" fontId="22" fillId="0" borderId="0" xfId="0" applyFont="1" applyNumberFormat="1">
      <alignment vertical="center" wrapText="1"/>
    </xf>
    <xf numFmtId="0" fontId="36" fillId="0" borderId="24" xfId="0" applyFont="1" applyBorder="1" applyNumberFormat="1">
      <alignment horizontal="center" vertical="center" wrapText="1"/>
    </xf>
    <xf numFmtId="0" fontId="0" fillId="0" borderId="14" xfId="0" applyFont="1" applyBorder="1" applyNumberFormat="1">
      <alignment horizontal="center" vertical="center"/>
    </xf>
    <xf numFmtId="0" fontId="22" fillId="0" borderId="13" xfId="0" applyFont="1" applyBorder="1" applyNumberFormat="1">
      <alignment horizontal="center" vertical="center" wrapText="1"/>
    </xf>
    <xf numFmtId="504" fontId="0" fillId="36"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0" fontId="22" fillId="0" borderId="0" xfId="0" applyFont="1" applyNumberFormat="1">
      <alignment horizontal="left" vertical="center" wrapText="1"/>
    </xf>
    <xf numFmtId="0" fontId="22" fillId="34" borderId="14" xfId="0" applyFont="1" applyFill="1" applyBorder="1" applyNumberFormat="1">
      <alignment horizontal="left" vertical="top" wrapText="1" indent="1"/>
    </xf>
    <xf numFmtId="0" fontId="22" fillId="34" borderId="13" xfId="0" applyFont="1" applyFill="1" applyBorder="1" applyNumberFormat="1">
      <alignment horizontal="left" vertical="top" wrapText="1" indent="1"/>
    </xf>
    <xf numFmtId="0" fontId="22" fillId="0" borderId="15" xfId="0" applyFont="1" applyBorder="1" applyNumberFormat="1">
      <alignment horizontal="right" vertical="center" wrapText="1" indent="1"/>
    </xf>
    <xf numFmtId="0" fontId="22" fillId="0" borderId="13" xfId="0" applyFont="1" applyBorder="1" applyNumberFormat="1">
      <alignment horizontal="right" vertical="center" wrapText="1" indent="1"/>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14" xfId="0" applyFont="1" applyBorder="1" applyNumberFormat="1">
      <alignment horizontal="center" vertical="center" wrapText="1"/>
    </xf>
    <xf numFmtId="0" fontId="36" fillId="0" borderId="0" xfId="0" applyFont="1" applyNumberFormat="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0" borderId="13" xfId="0" applyFont="1" applyBorder="1" applyNumberFormat="1">
      <alignment horizontal="center" vertical="center" wrapText="1"/>
    </xf>
    <xf numFmtId="0" fontId="22" fillId="0" borderId="13" xfId="0" applyFont="1" applyBorder="1" applyNumberFormat="1">
      <alignment horizontal="center" vertical="center" wrapText="1"/>
    </xf>
    <xf numFmtId="0" fontId="22" fillId="37" borderId="19" xfId="0" applyFont="1" applyFill="1" applyBorder="1" applyNumberFormat="1">
      <alignment vertical="center" wrapText="1"/>
    </xf>
    <xf numFmtId="0" fontId="22" fillId="0" borderId="15" xfId="0" applyFont="1" applyBorder="1" applyNumberFormat="1">
      <alignment horizontal="center" vertical="center" wrapText="1"/>
    </xf>
    <xf numFmtId="49" fontId="22" fillId="40" borderId="12" xfId="0" applyFont="1" applyFill="1" applyBorder="1" applyNumberFormat="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pplyNumberFormat="1">
      <alignment horizontal="center" vertical="center" wrapText="1"/>
    </xf>
    <xf numFmtId="0" fontId="22" fillId="0" borderId="13" xfId="0" applyFont="1" applyBorder="1" applyNumberFormat="1">
      <alignment vertical="center" wrapText="1"/>
    </xf>
    <xf numFmtId="0" fontId="22" fillId="37" borderId="27" xfId="0" applyFont="1" applyFill="1" applyBorder="1" applyNumberFormat="1">
      <alignment vertical="center" wrapText="1"/>
    </xf>
    <xf numFmtId="0" fontId="36" fillId="0" borderId="0" xfId="0" applyFont="1" applyNumberFormat="1">
      <alignment horizontal="center" vertical="center" wrapText="1"/>
    </xf>
    <xf numFmtId="0" fontId="36" fillId="0" borderId="0" xfId="0" applyFont="1" applyNumberFormat="1">
      <alignment horizontal="center" vertical="center" wrapText="1"/>
    </xf>
    <xf numFmtId="0" fontId="83" fillId="0" borderId="0" xfId="0" applyFont="1" applyNumberFormat="1">
      <alignment vertical="center" wrapText="1"/>
    </xf>
    <xf numFmtId="49" fontId="47" fillId="0" borderId="0" xfId="0" applyFont="1" applyNumberFormat="1">
      <alignment horizontal="center" vertical="center" wrapText="1"/>
    </xf>
    <xf numFmtId="0" fontId="22" fillId="0" borderId="0" xfId="0" applyFont="1" applyNumberFormat="1">
      <alignment vertical="center" wrapText="1"/>
    </xf>
    <xf numFmtId="49" fontId="47" fillId="0" borderId="0" xfId="0" applyFont="1" applyNumberFormat="1">
      <alignment horizontal="center" vertical="center" wrapText="1"/>
    </xf>
    <xf numFmtId="0" fontId="22" fillId="0" borderId="0" xfId="0" applyFont="1" applyNumberFormat="1">
      <alignment vertical="center" wrapText="1"/>
    </xf>
    <xf numFmtId="49" fontId="47" fillId="0" borderId="0" xfId="0" applyFont="1" applyNumberFormat="1">
      <alignment horizontal="center" vertical="center" wrapText="1"/>
    </xf>
    <xf numFmtId="49" fontId="98" fillId="0" borderId="0" xfId="0" applyFont="1" applyNumberFormat="1">
      <alignment horizontal="center" vertical="center" wrapText="1"/>
    </xf>
    <xf numFmtId="0" fontId="0" fillId="35" borderId="14" xfId="0" applyFont="1" applyFill="1" applyBorder="1" applyNumberFormat="1">
      <alignment horizontal="center" vertical="center" wrapText="1"/>
    </xf>
    <xf numFmtId="0" fontId="0" fillId="35" borderId="15" xfId="0" applyFont="1" applyFill="1" applyBorder="1" applyNumberFormat="1">
      <alignment horizontal="center" vertical="center" wrapText="1"/>
    </xf>
    <xf numFmtId="0" fontId="0" fillId="35" borderId="13" xfId="0" applyFont="1" applyFill="1" applyBorder="1" applyNumberFormat="1">
      <alignment horizontal="center" vertical="center" wrapText="1"/>
    </xf>
    <xf numFmtId="0" fontId="0" fillId="35" borderId="17" xfId="0" applyFont="1" applyFill="1" applyBorder="1" applyNumberFormat="1">
      <alignment horizontal="center" vertical="center" wrapText="1"/>
    </xf>
    <xf numFmtId="0" fontId="22" fillId="35" borderId="17" xfId="0" applyFont="1" applyFill="1" applyBorder="1" applyNumberFormat="1">
      <alignment horizontal="center" vertical="center" wrapText="1"/>
    </xf>
    <xf numFmtId="0" fontId="0" fillId="35" borderId="17" xfId="0" applyFont="1" applyFill="1" applyBorder="1" applyNumberFormat="1">
      <alignment horizontal="center" vertical="center" wrapText="1"/>
    </xf>
    <xf numFmtId="0" fontId="0" fillId="35" borderId="37" xfId="0" applyFont="1" applyFill="1" applyBorder="1" applyNumberFormat="1">
      <alignment horizontal="center" vertical="center" wrapText="1"/>
    </xf>
    <xf numFmtId="0" fontId="22" fillId="0" borderId="12" xfId="0" applyFont="1" applyBorder="1" applyNumberFormat="1">
      <alignment horizontal="center" vertical="center" wrapText="1"/>
    </xf>
    <xf numFmtId="0" fontId="48" fillId="0" borderId="0" xfId="0" applyFont="1" applyNumberFormat="1">
      <alignment horizontal="center" vertical="center" wrapText="1"/>
    </xf>
    <xf numFmtId="49" fontId="48" fillId="0" borderId="12" xfId="0" applyFont="1" applyBorder="1" applyNumberFormat="1">
      <alignment horizontal="center" vertical="center" wrapText="1"/>
    </xf>
    <xf numFmtId="0" fontId="0" fillId="0" borderId="12" xfId="0" applyFont="1" applyBorder="1" applyNumberFormat="1">
      <alignment horizontal="left" vertical="center" wrapText="1" indent="1"/>
    </xf>
    <xf numFmtId="49" fontId="0" fillId="0" borderId="12" xfId="0" applyFont="1" applyBorder="1" applyNumberFormat="1">
      <alignment horizontal="center" vertical="center" wrapText="1"/>
    </xf>
    <xf numFmtId="49" fontId="22" fillId="0" borderId="12" xfId="0" applyFont="1" applyBorder="1" applyNumberFormat="1">
      <alignment horizontal="left" vertical="center" wrapText="1"/>
    </xf>
    <xf numFmtId="49" fontId="48" fillId="0" borderId="0" xfId="0" applyFont="1" applyNumberFormat="1">
      <alignment horizontal="center" vertical="center" wrapText="1"/>
    </xf>
    <xf numFmtId="49" fontId="22" fillId="0" borderId="14" xfId="0" applyFont="1" applyBorder="1" applyNumberFormat="1">
      <alignment horizontal="center" vertical="center" wrapText="1"/>
    </xf>
    <xf numFmtId="49" fontId="40" fillId="37" borderId="14" xfId="0" applyFont="1" applyFill="1" applyBorder="1" applyNumberFormat="1">
      <alignment horizontal="left" vertical="center" indent="1"/>
    </xf>
    <xf numFmtId="0" fontId="22" fillId="37" borderId="29" xfId="0" applyFont="1" applyFill="1" applyBorder="1" applyNumberFormat="1">
      <alignment vertical="center" wrapText="1"/>
    </xf>
    <xf numFmtId="0" fontId="47" fillId="0" borderId="0" xfId="0" applyFont="1" applyNumberFormat="1">
      <alignment vertical="center" wrapText="1"/>
    </xf>
    <xf numFmtId="0" fontId="47" fillId="0" borderId="0" xfId="0" applyFont="1" applyNumberFormat="1">
      <alignment vertical="center" wrapText="1"/>
    </xf>
    <xf numFmtId="0" fontId="47" fillId="0" borderId="0" xfId="0" applyFont="1" applyNumberFormat="1">
      <alignment vertical="center" wrapText="1"/>
    </xf>
    <xf numFmtId="0" fontId="32" fillId="0" borderId="0" xfId="0" applyFont="1" applyNumberFormat="1">
      <alignment vertical="center" wrapText="1"/>
    </xf>
    <xf numFmtId="0" fontId="32" fillId="0" borderId="0" xfId="0" applyFont="1" applyNumberFormat="1">
      <alignment vertical="center" wrapText="1"/>
    </xf>
    <xf numFmtId="0" fontId="32" fillId="0" borderId="0" xfId="0" applyFont="1" applyNumberFormat="1">
      <alignment vertical="center" wrapText="1"/>
    </xf>
    <xf numFmtId="0" fontId="22" fillId="0" borderId="0" xfId="0" applyFont="1" applyNumberFormat="1">
      <alignment horizontal="left" vertical="center" wrapText="1" indent="3"/>
    </xf>
    <xf numFmtId="0" fontId="22" fillId="35" borderId="0" xfId="0" applyFont="1" applyFill="1" applyNumberFormat="1">
      <alignment vertical="center" wrapText="1"/>
    </xf>
    <xf numFmtId="0" fontId="22" fillId="35" borderId="39" xfId="0" applyFont="1" applyFill="1" applyBorder="1" applyNumberFormat="1">
      <alignment vertical="center" wrapText="1"/>
    </xf>
    <xf numFmtId="0" fontId="22" fillId="35" borderId="39" xfId="0" applyFont="1" applyFill="1" applyBorder="1" applyNumberFormat="1">
      <alignment vertical="center" wrapText="1"/>
    </xf>
    <xf numFmtId="49" fontId="73" fillId="0" borderId="39" xfId="0" applyFont="1" applyBorder="1" applyNumberFormat="1">
      <alignment vertical="top"/>
    </xf>
    <xf numFmtId="49" fontId="73" fillId="0" borderId="39" xfId="0" applyFont="1" applyBorder="1" applyNumberFormat="1">
      <alignment vertical="top"/>
    </xf>
    <xf numFmtId="0" fontId="50" fillId="35" borderId="39" xfId="0" applyFont="1" applyFill="1" applyBorder="1" applyNumberFormat="1">
      <alignment horizontal="center" wrapText="1"/>
    </xf>
    <xf numFmtId="0" fontId="50" fillId="35" borderId="39" xfId="0" applyFont="1" applyFill="1" applyBorder="1" applyNumberFormat="1">
      <alignment horizontal="center" wrapText="1"/>
    </xf>
    <xf numFmtId="0" fontId="22" fillId="35" borderId="39" xfId="0" applyFont="1" applyFill="1" applyBorder="1" applyNumberFormat="1">
      <alignment vertical="center" wrapText="1"/>
    </xf>
    <xf numFmtId="0" fontId="22" fillId="35" borderId="39" xfId="0" applyFont="1" applyFill="1" applyBorder="1" applyNumberFormat="1">
      <alignment vertical="center" wrapText="1"/>
    </xf>
    <xf numFmtId="49" fontId="22" fillId="0" borderId="0" xfId="0" applyFont="1" applyNumberFormat="1">
      <alignment vertical="top"/>
    </xf>
    <xf numFmtId="0" fontId="22" fillId="0" borderId="60" xfId="0" applyFont="1" applyBorder="1" applyNumberFormat="1">
      <alignment horizontal="center" vertical="center"/>
    </xf>
    <xf numFmtId="0" fontId="22" fillId="0" borderId="61" xfId="0" applyFont="1" applyBorder="1" applyNumberFormat="1">
      <alignment horizontal="center" vertical="center"/>
    </xf>
    <xf numFmtId="0" fontId="22" fillId="0" borderId="67" xfId="0" applyFont="1" applyBorder="1" applyNumberFormat="1">
      <alignment horizontal="center" vertical="center"/>
    </xf>
    <xf numFmtId="0" fontId="22" fillId="0" borderId="38" xfId="0" applyFont="1" applyBorder="1" applyNumberFormat="1">
      <alignment vertical="center" wrapText="1"/>
    </xf>
    <xf numFmtId="0" fontId="22" fillId="35" borderId="12" xfId="0" applyFont="1" applyFill="1" applyBorder="1" applyNumberFormat="1">
      <alignment horizontal="center" vertical="center" wrapText="1"/>
    </xf>
    <xf numFmtId="0" fontId="22" fillId="35" borderId="37" xfId="0" applyFont="1" applyFill="1" applyBorder="1" applyNumberFormat="1">
      <alignment horizontal="center" vertical="center" wrapText="1"/>
    </xf>
    <xf numFmtId="0" fontId="22" fillId="35" borderId="20" xfId="0" applyFont="1" applyFill="1" applyBorder="1" applyNumberFormat="1">
      <alignment horizontal="center" vertical="center" wrapText="1"/>
    </xf>
    <xf numFmtId="0" fontId="22" fillId="0" borderId="0" xfId="0" applyFont="1" applyNumberFormat="1">
      <alignment vertical="center" wrapText="1"/>
    </xf>
    <xf numFmtId="0" fontId="22" fillId="35" borderId="0" xfId="0" applyFont="1" applyFill="1" applyNumberFormat="1">
      <alignment vertical="center" wrapText="1"/>
    </xf>
    <xf numFmtId="0" fontId="22" fillId="35" borderId="22" xfId="0" applyFont="1" applyFill="1" applyBorder="1" applyNumberFormat="1">
      <alignment horizontal="center" vertical="center" wrapText="1"/>
    </xf>
    <xf numFmtId="0" fontId="22" fillId="35" borderId="24" xfId="0" applyFont="1" applyFill="1" applyBorder="1" applyNumberFormat="1">
      <alignment horizontal="center" vertical="center" wrapText="1"/>
    </xf>
    <xf numFmtId="49" fontId="22" fillId="0" borderId="0" xfId="0" applyFont="1" applyNumberFormat="1">
      <alignment vertical="top"/>
    </xf>
    <xf numFmtId="49" fontId="98" fillId="0" borderId="0" xfId="0" applyFont="1" applyNumberFormat="1">
      <alignment horizontal="center" vertical="center" wrapText="1"/>
    </xf>
    <xf numFmtId="0" fontId="22" fillId="35" borderId="0" xfId="0" applyFont="1" applyFill="1" applyNumberFormat="1">
      <alignment vertical="center" wrapText="1"/>
    </xf>
    <xf numFmtId="0" fontId="0" fillId="0" borderId="12" xfId="0" applyFont="1" applyBorder="1" applyNumberFormat="1">
      <alignment horizontal="center" vertical="center" wrapText="1"/>
    </xf>
    <xf numFmtId="49" fontId="22" fillId="0" borderId="0" xfId="0" applyFont="1" applyNumberFormat="1">
      <alignment vertical="top"/>
    </xf>
    <xf numFmtId="0" fontId="22" fillId="0" borderId="0" xfId="0" applyFont="1" applyNumberFormat="1">
      <alignment vertical="center" wrapText="1"/>
    </xf>
    <xf numFmtId="0" fontId="22" fillId="35" borderId="30" xfId="0" applyFont="1" applyFill="1" applyBorder="1" applyNumberFormat="1">
      <alignment horizontal="center" vertical="center" wrapText="1"/>
    </xf>
    <xf numFmtId="0" fontId="22" fillId="35" borderId="29" xfId="0" applyFont="1" applyFill="1" applyBorder="1" applyNumberFormat="1">
      <alignment horizontal="center" vertical="center" wrapText="1"/>
    </xf>
    <xf numFmtId="0" fontId="22" fillId="0" borderId="12" xfId="0" applyFont="1" applyBorder="1" applyNumberFormat="1">
      <alignment horizontal="center" vertical="center" wrapText="1"/>
    </xf>
    <xf numFmtId="0" fontId="0"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35" borderId="0" xfId="0" applyFont="1" applyFill="1" applyNumberFormat="1">
      <alignment vertical="center" wrapText="1"/>
    </xf>
    <xf numFmtId="0" fontId="22" fillId="0" borderId="0" xfId="0" applyFont="1" applyNumberFormat="1">
      <alignment vertical="center" wrapText="1"/>
    </xf>
    <xf numFmtId="0" fontId="22" fillId="0" borderId="0" xfId="0" applyFont="1" applyNumberFormat="1">
      <alignment vertical="center" wrapText="1"/>
    </xf>
    <xf numFmtId="0" fontId="22" fillId="0" borderId="0" xfId="0" applyFont="1" applyNumberFormat="1">
      <alignment vertical="center" wrapText="1"/>
    </xf>
    <xf numFmtId="0" fontId="22" fillId="0" borderId="0" xfId="0" applyFont="1" applyNumberFormat="1">
      <alignment vertical="center" wrapText="1"/>
    </xf>
    <xf numFmtId="0" fontId="22" fillId="0" borderId="0" xfId="0" applyFont="1" applyNumberFormat="1">
      <alignment vertical="center"/>
    </xf>
    <xf numFmtId="0" fontId="22" fillId="0" borderId="0" xfId="0" applyFont="1" applyNumberFormat="1">
      <alignment vertical="center"/>
    </xf>
    <xf numFmtId="49" fontId="22" fillId="0" borderId="0" xfId="0" applyFont="1" applyNumberFormat="1">
      <alignment vertical="top"/>
    </xf>
    <xf numFmtId="49" fontId="22" fillId="0" borderId="0" xfId="0" applyFont="1" applyNumberFormat="1">
      <alignment vertical="top"/>
    </xf>
    <xf numFmtId="49" fontId="22" fillId="0" borderId="0" xfId="0" applyFont="1" applyNumberFormat="1">
      <alignment vertical="top"/>
    </xf>
    <xf numFmtId="0" fontId="22" fillId="0" borderId="0" xfId="0" applyFont="1" applyNumberFormat="1">
      <alignment horizontal="left" vertical="center" wrapText="1"/>
    </xf>
    <xf numFmtId="0" fontId="22" fillId="0" borderId="0" xfId="0" applyFont="1" applyNumberFormat="1">
      <alignment vertical="center" wrapText="1"/>
    </xf>
    <xf numFmtId="0" fontId="22" fillId="0" borderId="0" xfId="0" applyFont="1" applyNumberFormat="1">
      <alignment vertical="center" wrapText="1"/>
    </xf>
    <xf numFmtId="0" fontId="22" fillId="35" borderId="0" xfId="0" applyFont="1" applyFill="1" applyNumberFormat="1">
      <alignment vertical="center" wrapText="1"/>
    </xf>
    <xf numFmtId="0" fontId="22" fillId="35" borderId="19" xfId="0" applyFont="1" applyFill="1" applyBorder="1" applyNumberFormat="1">
      <alignment vertical="center" wrapText="1"/>
    </xf>
    <xf numFmtId="49" fontId="22" fillId="0" borderId="0" xfId="0" applyFont="1" applyNumberFormat="1">
      <alignment vertical="top"/>
    </xf>
    <xf numFmtId="49" fontId="48" fillId="0" borderId="0" xfId="0" applyFont="1" applyNumberFormat="1">
      <alignment vertical="top"/>
    </xf>
    <xf numFmtId="0" fontId="48" fillId="0" borderId="39" xfId="0" applyFont="1" applyBorder="1" applyNumberFormat="1">
      <alignment vertical="center" wrapText="1"/>
    </xf>
    <xf numFmtId="0" fontId="22" fillId="0" borderId="73" xfId="0" applyFont="1" applyBorder="1" applyNumberFormat="1">
      <alignment horizontal="center" vertical="center"/>
    </xf>
    <xf numFmtId="0" fontId="22" fillId="0" borderId="43" xfId="0" applyFont="1" applyBorder="1" applyNumberFormat="1">
      <alignment horizontal="center" vertical="center"/>
    </xf>
    <xf numFmtId="0" fontId="22" fillId="0" borderId="38" xfId="0" applyFont="1" applyBorder="1" applyNumberFormat="1">
      <alignment vertical="center"/>
    </xf>
    <xf numFmtId="49" fontId="0" fillId="0" borderId="17" xfId="0" applyFont="1" applyBorder="1" applyNumberFormat="1">
      <alignment horizontal="center"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22" fillId="0" borderId="22" xfId="0" applyFont="1" applyBorder="1" applyNumberFormat="1">
      <alignment vertical="top"/>
    </xf>
    <xf numFmtId="49" fontId="0" fillId="0" borderId="36" xfId="0" applyFont="1" applyBorder="1" applyNumberFormat="1">
      <alignment horizontal="center" vertical="center" wrapText="1"/>
    </xf>
    <xf numFmtId="0" fontId="0" fillId="34" borderId="12" xfId="0" applyFont="1" applyFill="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xf>
    <xf numFmtId="49" fontId="0" fillId="34" borderId="12" xfId="0" applyFont="1" applyFill="1" applyBorder="1" applyNumberFormat="1">
      <alignment horizontal="center" vertical="center"/>
    </xf>
    <xf numFmtId="0" fontId="22" fillId="0" borderId="22" xfId="0" applyFont="1" applyBorder="1" applyNumberFormat="1">
      <alignment vertical="center" wrapText="1"/>
    </xf>
    <xf numFmtId="49" fontId="0" fillId="0" borderId="12" xfId="0" applyFont="1" applyBorder="1" applyNumberFormat="1">
      <alignment horizontal="center" vertical="center" wrapText="1"/>
    </xf>
    <xf numFmtId="49" fontId="0" fillId="0" borderId="12" xfId="0" applyFont="1" applyBorder="1" applyNumberFormat="1">
      <alignment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 fontId="0" fillId="36"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horizontal="left" vertical="center" wrapText="1"/>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49" fontId="45" fillId="0" borderId="0" xfId="0" applyFont="1" applyNumberFormat="1">
      <alignment vertical="center"/>
    </xf>
    <xf numFmtId="49" fontId="99" fillId="0" borderId="0" xfId="0" applyFont="1" applyNumberFormat="1">
      <alignment vertical="center"/>
    </xf>
    <xf numFmtId="49" fontId="45" fillId="0" borderId="0" xfId="0" applyFont="1" applyNumberFormat="1">
      <alignment vertical="center"/>
    </xf>
    <xf numFmtId="49" fontId="45" fillId="0" borderId="0" xfId="0" applyFont="1" applyNumberFormat="1">
      <alignment vertical="center"/>
    </xf>
    <xf numFmtId="49" fontId="45" fillId="0" borderId="0" xfId="0" applyFont="1" applyNumberFormat="1">
      <alignment vertical="center"/>
    </xf>
    <xf numFmtId="49" fontId="99" fillId="0" borderId="0" xfId="0" applyFont="1" applyNumberFormat="1">
      <alignment vertical="center" wrapText="1"/>
    </xf>
    <xf numFmtId="49" fontId="45" fillId="0" borderId="0" xfId="0" applyFont="1" applyNumberFormat="1">
      <alignment vertical="center" wrapText="1"/>
    </xf>
    <xf numFmtId="49" fontId="45" fillId="0" borderId="0" xfId="0" applyFont="1" applyNumberFormat="1">
      <alignment vertical="top"/>
    </xf>
    <xf numFmtId="49" fontId="45" fillId="0" borderId="0" xfId="0" applyFont="1" applyNumberFormat="1">
      <alignment vertical="center" wrapText="1"/>
    </xf>
    <xf numFmtId="49" fontId="45" fillId="0" borderId="0" xfId="0" applyFont="1" applyNumberFormat="1">
      <alignment vertical="center" wrapText="1"/>
    </xf>
    <xf numFmtId="49" fontId="22" fillId="0" borderId="0" xfId="0" applyFont="1" applyNumberFormat="1">
      <alignment horizontal="center" vertical="top" wrapText="1"/>
    </xf>
    <xf numFmtId="49" fontId="32" fillId="0" borderId="0" xfId="0" applyFont="1" applyNumberFormat="1">
      <alignment horizontal="center" vertical="top" wrapText="1"/>
    </xf>
    <xf numFmtId="49" fontId="22" fillId="35" borderId="0" xfId="0" applyFont="1" applyFill="1" applyNumberFormat="1">
      <alignment horizontal="center" vertical="top" wrapText="1"/>
    </xf>
    <xf numFmtId="0" fontId="22" fillId="0" borderId="20" xfId="0" applyFont="1" applyBorder="1" applyNumberFormat="1">
      <alignment horizontal="left" vertical="top" wrapText="1"/>
    </xf>
    <xf numFmtId="49" fontId="22" fillId="0" borderId="0" xfId="0" applyFont="1" applyNumberFormat="1">
      <alignment horizontal="center" vertical="top" wrapText="1"/>
    </xf>
    <xf numFmtId="49" fontId="22" fillId="0" borderId="0" xfId="0" applyFont="1" applyNumberFormat="1">
      <alignment horizontal="center" vertical="center" wrapText="1"/>
    </xf>
    <xf numFmtId="49" fontId="32" fillId="0" borderId="0" xfId="0" applyFont="1" applyNumberFormat="1">
      <alignment horizontal="center" vertical="center" wrapText="1"/>
    </xf>
    <xf numFmtId="49" fontId="22" fillId="35" borderId="0" xfId="0" applyFont="1" applyFill="1" applyNumberFormat="1">
      <alignment horizontal="center" vertical="center" wrapText="1"/>
    </xf>
    <xf numFmtId="49" fontId="22" fillId="0" borderId="0" xfId="0" applyFont="1" applyNumberFormat="1">
      <alignment horizontal="center" vertical="center" wrapText="1"/>
    </xf>
    <xf numFmtId="49" fontId="45" fillId="0" borderId="0" xfId="0" applyFont="1" applyNumberFormat="1">
      <alignment horizontal="center" vertical="center" wrapText="1"/>
    </xf>
    <xf numFmtId="49" fontId="99" fillId="0" borderId="0" xfId="0" applyFont="1" applyNumberFormat="1">
      <alignment horizontal="center" vertical="center" wrapText="1"/>
    </xf>
    <xf numFmtId="49" fontId="45" fillId="0" borderId="0" xfId="0" applyFont="1" applyNumberFormat="1">
      <alignment horizontal="center" vertical="center" wrapText="1"/>
    </xf>
    <xf numFmtId="0" fontId="45" fillId="0" borderId="0" xfId="0" applyFont="1" applyNumberFormat="1">
      <alignment horizontal="center" vertical="center" wrapText="1"/>
    </xf>
    <xf numFmtId="49" fontId="45" fillId="0" borderId="0" xfId="0" applyFont="1" applyNumberFormat="1">
      <alignment horizontal="center" vertical="center" wrapText="1"/>
    </xf>
    <xf numFmtId="49" fontId="99" fillId="0" borderId="0" xfId="0" applyFont="1" applyNumberFormat="1">
      <alignment horizontal="center" vertical="center" wrapText="1"/>
    </xf>
    <xf numFmtId="49" fontId="22" fillId="0" borderId="0" xfId="0" applyFont="1" applyNumberFormat="1">
      <alignment horizontal="center" vertical="center" wrapText="1"/>
    </xf>
    <xf numFmtId="0" fontId="22" fillId="0" borderId="0" xfId="0" applyFont="1" applyNumberFormat="1">
      <alignment horizontal="center" vertical="center" wrapText="1"/>
    </xf>
    <xf numFmtId="0" fontId="22" fillId="49" borderId="14" xfId="0" applyFont="1" applyFill="1" applyBorder="1" applyNumberFormat="1">
      <alignment horizontal="center" vertical="center" wrapText="1"/>
    </xf>
    <xf numFmtId="0" fontId="22" fillId="49" borderId="15" xfId="0" applyFont="1" applyFill="1" applyBorder="1" applyNumberFormat="1">
      <alignment horizontal="center" vertical="center" wrapText="1"/>
    </xf>
    <xf numFmtId="0" fontId="22" fillId="49" borderId="13" xfId="0" applyFont="1" applyFill="1" applyBorder="1" applyNumberFormat="1">
      <alignment horizontal="center" vertical="center" wrapText="1"/>
    </xf>
    <xf numFmtId="49" fontId="47" fillId="47" borderId="14" xfId="0" applyFont="1" applyFill="1" applyBorder="1" applyNumberFormat="1">
      <alignment horizontal="center" vertical="center" wrapText="1"/>
    </xf>
    <xf numFmtId="49" fontId="47" fillId="47" borderId="15" xfId="0" applyFont="1" applyFill="1" applyBorder="1" applyNumberFormat="1">
      <alignment horizontal="center" vertical="center" wrapText="1"/>
    </xf>
    <xf numFmtId="49" fontId="47" fillId="47" borderId="13" xfId="0" applyFont="1" applyFill="1" applyBorder="1" applyNumberFormat="1">
      <alignment horizontal="center" vertical="center" wrapText="1"/>
    </xf>
    <xf numFmtId="49" fontId="47" fillId="50" borderId="14" xfId="0" applyFont="1" applyFill="1" applyBorder="1" applyNumberFormat="1">
      <alignment horizontal="center" vertical="center" wrapText="1"/>
    </xf>
    <xf numFmtId="49" fontId="47" fillId="50" borderId="15" xfId="0" applyFont="1" applyFill="1" applyBorder="1" applyNumberFormat="1">
      <alignment horizontal="center" vertical="center" wrapText="1"/>
    </xf>
    <xf numFmtId="49" fontId="47" fillId="50" borderId="13"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49" fontId="45" fillId="35" borderId="0" xfId="0" applyFont="1" applyFill="1" applyNumberFormat="1">
      <alignment vertical="center" wrapText="1"/>
    </xf>
    <xf numFmtId="49" fontId="22" fillId="35" borderId="12"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0" fontId="22" fillId="41" borderId="12" xfId="0" applyFont="1" applyFill="1" applyBorder="1" applyNumberFormat="1">
      <alignment horizontal="center" vertical="center" wrapText="1"/>
    </xf>
    <xf numFmtId="0" fontId="22" fillId="41" borderId="14" xfId="0" applyFont="1" applyFill="1" applyBorder="1" applyNumberFormat="1">
      <alignment horizontal="center" vertical="center" wrapText="1"/>
    </xf>
    <xf numFmtId="0" fontId="22" fillId="35" borderId="13" xfId="0" applyFont="1" applyFill="1" applyBorder="1" applyNumberFormat="1">
      <alignment horizontal="center" vertical="center" wrapText="1"/>
    </xf>
    <xf numFmtId="0" fontId="22" fillId="41" borderId="13" xfId="0" applyFont="1" applyFill="1" applyBorder="1" applyNumberFormat="1">
      <alignment horizontal="center" vertical="center" wrapText="1"/>
    </xf>
    <xf numFmtId="49" fontId="22" fillId="0" borderId="0" xfId="0" applyFont="1" applyNumberFormat="1">
      <alignment vertical="center" wrapText="1"/>
    </xf>
    <xf numFmtId="49" fontId="45" fillId="0" borderId="0" xfId="0" applyFont="1" applyNumberFormat="1">
      <alignment vertical="top"/>
    </xf>
    <xf numFmtId="0" fontId="22" fillId="35" borderId="29" xfId="0" applyFont="1" applyFill="1" applyBorder="1" applyNumberFormat="1">
      <alignment horizontal="center" vertical="center" wrapText="1"/>
    </xf>
    <xf numFmtId="0" fontId="22" fillId="35" borderId="12" xfId="0" applyFont="1" applyFill="1" applyBorder="1" applyNumberFormat="1">
      <alignment horizontal="center" vertical="center" wrapText="1"/>
    </xf>
    <xf numFmtId="49" fontId="22" fillId="41" borderId="27" xfId="0" applyFont="1" applyFill="1" applyBorder="1" applyNumberFormat="1">
      <alignment horizontal="center" vertical="center" wrapText="1"/>
    </xf>
    <xf numFmtId="49" fontId="45" fillId="35" borderId="0" xfId="0" applyFont="1" applyFill="1" applyNumberFormat="1">
      <alignment vertical="center"/>
    </xf>
    <xf numFmtId="49" fontId="36" fillId="0" borderId="12" xfId="0" applyFont="1" applyBorder="1" applyNumberFormat="1">
      <alignment horizontal="center" vertical="center"/>
    </xf>
    <xf numFmtId="49" fontId="36" fillId="41" borderId="12" xfId="0" applyFont="1" applyFill="1" applyBorder="1" applyNumberFormat="1">
      <alignment horizontal="center" vertical="center"/>
    </xf>
    <xf numFmtId="0" fontId="36" fillId="0" borderId="12" xfId="0" applyFont="1" applyBorder="1" applyNumberFormat="1">
      <alignment horizontal="center" vertical="center"/>
    </xf>
    <xf numFmtId="49" fontId="36" fillId="0" borderId="23" xfId="0" applyFont="1" applyBorder="1" applyNumberFormat="1">
      <alignment horizontal="center" vertical="center"/>
    </xf>
    <xf numFmtId="49" fontId="22" fillId="0" borderId="0" xfId="0" applyFont="1" applyNumberFormat="1">
      <alignment vertical="center"/>
    </xf>
    <xf numFmtId="49" fontId="99" fillId="0" borderId="0" xfId="0" applyFont="1" applyNumberFormat="1">
      <alignment vertical="center"/>
    </xf>
    <xf numFmtId="49" fontId="47"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pplyNumberFormat="1">
      <alignment horizontal="right" vertical="center"/>
    </xf>
    <xf numFmtId="0" fontId="22" fillId="0" borderId="17" xfId="0" applyFont="1" applyBorder="1" applyNumberFormat="1">
      <alignment horizontal="center" vertical="center"/>
    </xf>
    <xf numFmtId="0" fontId="22" fillId="0" borderId="12" xfId="0" applyFont="1" applyBorder="1" applyNumberFormat="1">
      <alignment horizontal="right" vertical="center"/>
    </xf>
    <xf numFmtId="49" fontId="22" fillId="0" borderId="0" xfId="0" applyFont="1" applyNumberFormat="1">
      <alignment vertical="center"/>
    </xf>
    <xf numFmtId="49" fontId="45" fillId="0" borderId="0" xfId="0" applyFont="1" applyNumberFormat="1">
      <alignment vertical="top"/>
    </xf>
    <xf numFmtId="4" fontId="45" fillId="35" borderId="0" xfId="0" applyFont="1" applyFill="1" applyNumberFormat="1">
      <alignment vertical="center"/>
    </xf>
    <xf numFmtId="49" fontId="45" fillId="0" borderId="0" xfId="0" applyFont="1" applyNumberFormat="1">
      <alignment vertical="center" wrapText="1"/>
    </xf>
    <xf numFmtId="49" fontId="45" fillId="0" borderId="0" xfId="0" applyFont="1" applyNumberFormat="1">
      <alignment vertical="top"/>
    </xf>
    <xf numFmtId="0" fontId="45" fillId="0" borderId="0" xfId="0" applyFont="1" applyNumberFormat="1">
      <alignment vertical="center" wrapText="1"/>
    </xf>
    <xf numFmtId="49" fontId="94" fillId="0" borderId="0" xfId="0" applyFont="1" applyNumberFormat="1">
      <alignment vertical="center" wrapText="1"/>
    </xf>
    <xf numFmtId="49" fontId="45" fillId="0" borderId="0" xfId="0" applyFont="1" applyNumberFormat="1">
      <alignment vertical="center" wrapText="1"/>
    </xf>
    <xf numFmtId="49" fontId="99" fillId="0" borderId="0" xfId="0" applyFont="1" applyNumberFormat="1">
      <alignment vertical="center" wrapText="1"/>
    </xf>
    <xf numFmtId="49" fontId="99" fillId="0" borderId="0" xfId="0" applyFont="1" applyNumberFormat="1">
      <alignment vertical="center" wrapText="1"/>
    </xf>
    <xf numFmtId="0" fontId="36" fillId="0" borderId="0" xfId="0" applyFont="1" applyNumberFormat="1">
      <alignment horizontal="center" vertical="center" wrapText="1"/>
    </xf>
    <xf numFmtId="0" fontId="22" fillId="0" borderId="12" xfId="0" applyFont="1" applyBorder="1" applyNumberFormat="1">
      <alignment horizontal="center" vertical="center" wrapText="1"/>
    </xf>
    <xf numFmtId="0" fontId="22" fillId="34" borderId="14" xfId="0" applyFont="1" applyFill="1" applyBorder="1" applyNumberFormat="1">
      <alignment horizontal="left" vertical="top" wrapText="1" indent="1"/>
    </xf>
    <xf numFmtId="0" fontId="22" fillId="0" borderId="14" xfId="0" applyFont="1" applyBorder="1" applyNumberFormat="1">
      <alignment horizontal="center" vertical="center" wrapText="1"/>
    </xf>
    <xf numFmtId="0" fontId="22" fillId="0" borderId="12" xfId="0" applyFont="1" applyBorder="1" applyNumberFormat="1">
      <alignment horizontal="left" vertical="top" wrapText="1"/>
    </xf>
    <xf numFmtId="3" fontId="22" fillId="39" borderId="14" xfId="0" applyFont="1" applyFill="1" applyBorder="1" applyNumberFormat="1">
      <alignment vertical="center" wrapText="1"/>
      <protection locked="0"/>
    </xf>
    <xf numFmtId="0" fontId="22" fillId="0" borderId="12" xfId="0" applyFont="1" applyBorder="1" applyNumberFormat="1">
      <alignment vertical="top" wrapText="1"/>
    </xf>
    <xf numFmtId="0" fontId="22" fillId="0" borderId="12" xfId="0" applyFont="1" applyBorder="1" applyNumberFormat="1">
      <alignment horizontal="left" vertical="top" wrapText="1"/>
    </xf>
    <xf numFmtId="4" fontId="22" fillId="34" borderId="14" xfId="0" applyFont="1" applyFill="1" applyBorder="1" applyNumberFormat="1">
      <alignment horizontal="right" vertical="center" wrapText="1"/>
    </xf>
    <xf numFmtId="0" fontId="47" fillId="0" borderId="12" xfId="0" applyFont="1" applyBorder="1" applyNumberFormat="1">
      <alignment vertical="top" wrapText="1"/>
    </xf>
    <xf numFmtId="49" fontId="22" fillId="39" borderId="12" xfId="0" applyFont="1" applyFill="1" applyBorder="1" applyNumberFormat="1">
      <alignment horizontal="left" vertical="center" wrapText="1" indent="1"/>
      <protection locked="0"/>
    </xf>
    <xf numFmtId="0" fontId="39" fillId="35" borderId="0" xfId="0" applyFont="1" applyFill="1" applyNumberFormat="1">
      <alignment vertical="center" wrapText="1"/>
    </xf>
    <xf numFmtId="0" fontId="22" fillId="35" borderId="0" xfId="0" applyFont="1" applyFill="1" applyNumberFormat="1">
      <alignment vertical="center" wrapText="1"/>
    </xf>
    <xf numFmtId="0" fontId="22" fillId="0" borderId="20" xfId="0" applyFont="1" applyBorder="1" applyNumberFormat="1">
      <alignment horizontal="left" vertical="top" wrapText="1" indent="1"/>
    </xf>
    <xf numFmtId="0" fontId="22" fillId="0" borderId="17" xfId="0" applyFont="1" applyBorder="1" applyNumberFormat="1">
      <alignment horizontal="left" vertical="top" wrapText="1" indent="1"/>
    </xf>
    <xf numFmtId="0" fontId="22" fillId="0" borderId="37" xfId="0" applyFont="1" applyBorder="1" applyNumberFormat="1">
      <alignment horizontal="left" vertical="top" wrapText="1" indent="1"/>
    </xf>
    <xf numFmtId="49" fontId="22" fillId="0" borderId="0" xfId="0" applyFont="1" applyNumberFormat="1">
      <alignment vertical="center" wrapText="1"/>
    </xf>
    <xf numFmtId="0" fontId="22" fillId="0" borderId="29" xfId="0" applyFont="1" applyBorder="1" applyNumberFormat="1">
      <alignment horizontal="left" vertical="center" wrapText="1" indent="1"/>
    </xf>
    <xf numFmtId="0" fontId="22" fillId="0" borderId="23" xfId="0" applyFont="1" applyBorder="1" applyNumberFormat="1">
      <alignment horizontal="left" vertical="center" wrapText="1" indent="1"/>
    </xf>
    <xf numFmtId="0" fontId="22" fillId="0" borderId="30" xfId="0" applyFont="1" applyBorder="1" applyNumberFormat="1">
      <alignment horizontal="left" vertical="center" wrapText="1" indent="1"/>
    </xf>
    <xf numFmtId="0" fontId="22" fillId="35" borderId="0" xfId="0" applyFont="1" applyFill="1" applyNumberFormat="1">
      <alignment horizontal="center" vertical="center" wrapText="1"/>
    </xf>
    <xf numFmtId="49" fontId="22" fillId="0" borderId="0" xfId="0" applyFont="1" applyNumberFormat="1">
      <alignment vertical="center" wrapText="1"/>
    </xf>
    <xf numFmtId="0" fontId="22" fillId="35" borderId="0" xfId="0" applyFont="1" applyFill="1" applyNumberFormat="1">
      <alignment horizontal="center" vertical="center" wrapText="1"/>
    </xf>
    <xf numFmtId="0" fontId="22" fillId="35" borderId="12" xfId="0" applyFont="1" applyFill="1" applyBorder="1" applyNumberFormat="1">
      <alignment horizontal="center" vertical="center" wrapText="1"/>
    </xf>
    <xf numFmtId="0" fontId="0" fillId="0" borderId="12" xfId="0" applyFont="1" applyBorder="1" applyNumberFormat="1">
      <alignment horizontal="center" vertical="center" wrapText="1"/>
    </xf>
    <xf numFmtId="49" fontId="36" fillId="35" borderId="0" xfId="0" applyFont="1" applyFill="1" applyNumberFormat="1">
      <alignment horizontal="center" vertical="center" wrapText="1"/>
    </xf>
    <xf numFmtId="49" fontId="22" fillId="0" borderId="0" xfId="0" applyFont="1" applyNumberFormat="1">
      <alignment vertical="top"/>
    </xf>
    <xf numFmtId="49" fontId="0" fillId="35" borderId="12" xfId="0" applyFont="1" applyFill="1" applyBorder="1" applyNumberFormat="1">
      <alignment horizontal="center" vertical="center" wrapText="1"/>
    </xf>
    <xf numFmtId="0" fontId="0" fillId="0" borderId="12" xfId="0" applyFont="1" applyBorder="1" applyNumberFormat="1">
      <alignment vertical="center" wrapText="1"/>
    </xf>
    <xf numFmtId="0" fontId="0" fillId="0" borderId="12" xfId="0" applyFont="1" applyBorder="1" applyNumberFormat="1">
      <alignment horizontal="center" vertical="center" wrapText="1"/>
    </xf>
    <xf numFmtId="0" fontId="22" fillId="0" borderId="12" xfId="0" applyFont="1" applyBorder="1" applyNumberFormat="1">
      <alignment vertical="center" wrapText="1"/>
    </xf>
    <xf numFmtId="0" fontId="0" fillId="0" borderId="12" xfId="0" applyFont="1" applyBorder="1" applyNumberFormat="1">
      <alignment horizontal="left" vertical="center" wrapText="1" indent="1"/>
    </xf>
    <xf numFmtId="0" fontId="0" fillId="39" borderId="12" xfId="0" applyFont="1" applyFill="1" applyBorder="1" applyNumberFormat="1">
      <alignment horizontal="left" vertical="center" wrapText="1" indent="2"/>
      <protection locked="0"/>
    </xf>
    <xf numFmtId="49" fontId="53" fillId="39" borderId="12" xfId="0" applyFont="1" applyFill="1" applyBorder="1" applyNumberFormat="1">
      <alignment horizontal="left" vertical="center" wrapText="1"/>
      <protection locked="0"/>
    </xf>
    <xf numFmtId="0" fontId="22" fillId="37" borderId="14" xfId="0" applyFont="1" applyFill="1" applyBorder="1" applyNumberFormat="1">
      <alignment vertical="center" wrapText="1"/>
    </xf>
    <xf numFmtId="49" fontId="40" fillId="37" borderId="15" xfId="0" applyFont="1" applyFill="1" applyBorder="1" applyNumberFormat="1">
      <alignment horizontal="left" vertical="center" indent="2"/>
    </xf>
    <xf numFmtId="49" fontId="44" fillId="37" borderId="13" xfId="0" applyFont="1" applyFill="1" applyBorder="1" applyNumberFormat="1">
      <alignment horizontal="center" vertical="top"/>
    </xf>
    <xf numFmtId="0" fontId="47" fillId="0" borderId="0" xfId="0" applyFont="1" applyNumberFormat="1">
      <alignment vertical="center" wrapText="1"/>
    </xf>
    <xf numFmtId="0" fontId="39" fillId="35" borderId="0" xfId="0" applyFont="1" applyFill="1" applyNumberFormat="1">
      <alignment vertical="center" wrapText="1"/>
    </xf>
    <xf numFmtId="49" fontId="44" fillId="37" borderId="15" xfId="0" applyFont="1" applyFill="1" applyBorder="1" applyNumberFormat="1">
      <alignment horizontal="center" vertical="top"/>
    </xf>
    <xf numFmtId="0" fontId="48" fillId="0" borderId="0" xfId="0" applyFont="1" applyNumberFormat="1">
      <alignment vertical="center"/>
    </xf>
    <xf numFmtId="0" fontId="22" fillId="0" borderId="0" xfId="0" applyFont="1" applyNumberFormat="1">
      <alignment vertical="center" wrapText="1"/>
    </xf>
    <xf numFmtId="49" fontId="0" fillId="35" borderId="12" xfId="0" applyFont="1" applyFill="1" applyBorder="1" applyNumberFormat="1">
      <alignment horizontal="center" vertical="center" wrapText="1"/>
    </xf>
    <xf numFmtId="0" fontId="0" fillId="0" borderId="12" xfId="0" applyFont="1" applyBorder="1" applyNumberFormat="1">
      <alignment horizontal="left" vertical="center" wrapText="1" indent="1"/>
    </xf>
    <xf numFmtId="0" fontId="0" fillId="35" borderId="12" xfId="0" applyFont="1" applyFill="1" applyBorder="1" applyNumberFormat="1">
      <alignment horizontal="center" vertical="center" wrapText="1"/>
    </xf>
    <xf numFmtId="0" fontId="0" fillId="0" borderId="12" xfId="0" applyFont="1" applyBorder="1" applyNumberFormat="1">
      <alignment horizontal="left" vertical="center" wrapText="1" indent="1"/>
    </xf>
    <xf numFmtId="49" fontId="67" fillId="0" borderId="12" xfId="0" applyFont="1" applyBorder="1" applyNumberFormat="1">
      <alignment horizontal="center" vertical="center" wrapText="1"/>
    </xf>
    <xf numFmtId="0" fontId="67" fillId="0" borderId="12" xfId="0" applyFont="1" applyBorder="1" applyNumberFormat="1">
      <alignment horizontal="left" vertical="center" wrapText="1" indent="2"/>
    </xf>
    <xf numFmtId="49" fontId="70" fillId="0" borderId="14" xfId="0" applyFont="1" applyBorder="1" applyNumberFormat="1">
      <alignment horizontal="left" vertical="center" wrapText="1"/>
    </xf>
    <xf numFmtId="0" fontId="22" fillId="0" borderId="17" xfId="0" applyFont="1" applyBorder="1" applyNumberFormat="1">
      <alignment vertical="top" wrapText="1"/>
    </xf>
    <xf numFmtId="49" fontId="40" fillId="37" borderId="15" xfId="0" applyFont="1" applyFill="1" applyBorder="1" applyNumberFormat="1">
      <alignment horizontal="left" vertical="center" indent="1"/>
    </xf>
    <xf numFmtId="0" fontId="22" fillId="0" borderId="23" xfId="0" applyFont="1" applyBorder="1" applyNumberFormat="1">
      <alignment vertical="top" wrapText="1"/>
    </xf>
    <xf numFmtId="49" fontId="0" fillId="35" borderId="12" xfId="0" applyFont="1" applyFill="1" applyBorder="1" applyNumberFormat="1">
      <alignment horizontal="center" vertical="center" wrapText="1"/>
    </xf>
    <xf numFmtId="0" fontId="0" fillId="0" borderId="12" xfId="0" applyFont="1" applyBorder="1" applyNumberFormat="1">
      <alignment horizontal="center" vertical="center" wrapText="1"/>
    </xf>
    <xf numFmtId="0" fontId="22" fillId="0" borderId="12" xfId="0" applyFont="1" applyBorder="1" applyNumberFormat="1">
      <alignment vertical="center" wrapText="1"/>
    </xf>
    <xf numFmtId="0" fontId="0" fillId="0" borderId="12" xfId="0" applyFont="1" applyBorder="1" applyNumberFormat="1">
      <alignment horizontal="left" vertical="center" wrapText="1" indent="1"/>
    </xf>
    <xf numFmtId="0" fontId="22" fillId="0" borderId="0" xfId="0" applyFont="1" applyNumberFormat="1">
      <alignment vertical="top" wrapText="1"/>
    </xf>
    <xf numFmtId="49" fontId="22" fillId="0" borderId="0" xfId="0" applyFont="1" applyNumberFormat="1">
      <alignment vertical="center" wrapText="1"/>
    </xf>
    <xf numFmtId="0" fontId="39" fillId="0" borderId="0" xfId="0" applyFont="1" applyNumberFormat="1">
      <alignment vertical="center" wrapText="1"/>
    </xf>
    <xf numFmtId="49" fontId="47" fillId="0" borderId="0" xfId="0" applyFont="1" applyNumberFormat="1">
      <alignment vertical="top"/>
    </xf>
    <xf numFmtId="0" fontId="0" fillId="39" borderId="12" xfId="0" applyFont="1" applyFill="1" applyBorder="1" applyNumberFormat="1">
      <alignment horizontal="left" vertical="center" wrapText="1" indent="1"/>
      <protection locked="0"/>
    </xf>
    <xf numFmtId="49" fontId="53" fillId="39" borderId="12" xfId="0" applyFont="1" applyFill="1" applyBorder="1" applyNumberFormat="1">
      <alignment horizontal="left" vertical="center" wrapText="1"/>
      <protection locked="0"/>
    </xf>
    <xf numFmtId="0" fontId="0" fillId="0" borderId="12" xfId="0" applyFont="1" applyBorder="1" applyNumberFormat="1">
      <alignment horizontal="left" vertical="center" wrapText="1" indent="1"/>
    </xf>
    <xf numFmtId="0" fontId="0" fillId="39" borderId="12" xfId="0" applyFont="1" applyFill="1" applyBorder="1" applyNumberFormat="1">
      <alignment horizontal="left" vertical="center" wrapText="1"/>
      <protection locked="0"/>
    </xf>
    <xf numFmtId="0" fontId="0" fillId="0" borderId="12" xfId="0" applyFont="1" applyBorder="1" applyNumberFormat="1">
      <alignment horizontal="left" vertical="center" wrapText="1" indent="2"/>
    </xf>
    <xf numFmtId="49" fontId="22" fillId="40" borderId="12" xfId="0" applyFont="1" applyFill="1" applyBorder="1" applyNumberFormat="1">
      <alignment horizontal="left" vertical="center" wrapText="1"/>
    </xf>
    <xf numFmtId="0" fontId="0" fillId="0" borderId="12" xfId="0" applyFont="1" applyBorder="1" applyNumberFormat="1">
      <alignment horizontal="left" vertical="center" wrapText="1"/>
    </xf>
    <xf numFmtId="504" fontId="0" fillId="39" borderId="12" xfId="0" applyFont="1" applyFill="1" applyBorder="1" applyNumberFormat="1">
      <alignment horizontal="left" vertical="center" wrapText="1"/>
      <protection locked="0"/>
    </xf>
    <xf numFmtId="0" fontId="22" fillId="0" borderId="12" xfId="0" applyFont="1" applyBorder="1" applyNumberFormat="1">
      <alignment horizontal="left" vertical="top" wrapText="1"/>
    </xf>
    <xf numFmtId="0" fontId="0" fillId="0" borderId="12" xfId="0" applyFont="1" applyBorder="1" applyNumberFormat="1">
      <alignment horizontal="left" vertical="center" wrapText="1"/>
    </xf>
    <xf numFmtId="0" fontId="22" fillId="0" borderId="12" xfId="0" applyFont="1" applyBorder="1" applyNumberFormat="1">
      <alignment horizontal="left" vertical="center" wrapText="1"/>
    </xf>
    <xf numFmtId="0" fontId="0" fillId="0" borderId="12" xfId="0" applyFont="1" applyBorder="1" applyNumberFormat="1">
      <alignment horizontal="left" vertical="center" wrapText="1"/>
    </xf>
    <xf numFmtId="0" fontId="22" fillId="0" borderId="12" xfId="0" applyFont="1" applyBorder="1" applyNumberFormat="1">
      <alignment vertical="top" wrapText="1"/>
    </xf>
    <xf numFmtId="49" fontId="40" fillId="37" borderId="15" xfId="0" applyFont="1" applyFill="1" applyBorder="1" applyNumberFormat="1">
      <alignment horizontal="left" vertical="center" indent="2"/>
    </xf>
    <xf numFmtId="49" fontId="40" fillId="37" borderId="15" xfId="0" applyFont="1" applyFill="1" applyBorder="1" applyNumberFormat="1">
      <alignment horizontal="left" vertical="center" indent="3"/>
    </xf>
    <xf numFmtId="49" fontId="22" fillId="40" borderId="12" xfId="0" applyFont="1" applyFill="1" applyBorder="1" applyNumberFormat="1">
      <alignment horizontal="left" vertical="center" wrapText="1"/>
    </xf>
    <xf numFmtId="49" fontId="22" fillId="0" borderId="0" xfId="0" applyFont="1" applyNumberFormat="1">
      <alignment vertical="top"/>
    </xf>
    <xf numFmtId="49" fontId="48" fillId="0" borderId="0" xfId="0" applyFont="1" applyNumberFormat="1">
      <alignment vertical="top"/>
    </xf>
    <xf numFmtId="49" fontId="22" fillId="0" borderId="0" xfId="0" applyFont="1" applyNumberFormat="1">
      <alignment vertical="top"/>
    </xf>
    <xf numFmtId="49" fontId="22" fillId="0" borderId="0" xfId="0" applyFont="1" applyNumberFormat="1">
      <alignment vertical="top" wrapText="1"/>
    </xf>
    <xf numFmtId="49" fontId="22" fillId="0" borderId="0" xfId="0" applyFont="1" applyNumberFormat="1">
      <alignment vertical="top"/>
    </xf>
    <xf numFmtId="0" fontId="0" fillId="0" borderId="13" xfId="0" applyFont="1" applyBorder="1" applyNumberFormat="1">
      <alignment horizontal="center" vertical="center" wrapText="1"/>
    </xf>
    <xf numFmtId="504" fontId="0" fillId="39" borderId="13" xfId="0" applyFont="1" applyFill="1" applyBorder="1" applyNumberFormat="1">
      <alignment horizontal="left" vertical="center" wrapText="1"/>
      <protection locked="0"/>
    </xf>
    <xf numFmtId="504" fontId="0" fillId="39" borderId="14" xfId="0" applyFont="1" applyFill="1" applyBorder="1" applyNumberFormat="1">
      <alignment horizontal="left" vertical="center" wrapText="1"/>
      <protection locked="0"/>
    </xf>
    <xf numFmtId="0" fontId="22" fillId="40" borderId="12" xfId="0" applyFont="1" applyFill="1" applyBorder="1" applyNumberFormat="1">
      <alignment horizontal="left" vertical="center" wrapText="1"/>
    </xf>
    <xf numFmtId="0" fontId="0" fillId="0" borderId="36" xfId="0" applyFont="1" applyBorder="1" applyNumberFormat="1">
      <alignment horizontal="center" vertical="center" wrapText="1"/>
    </xf>
    <xf numFmtId="0" fontId="0" fillId="0" borderId="13" xfId="0" applyFont="1" applyBorder="1" applyNumberFormat="1">
      <alignment horizontal="center" vertical="center" wrapText="1"/>
    </xf>
    <xf numFmtId="0" fontId="22" fillId="0" borderId="0" xfId="0" applyFont="1" applyNumberFormat="1">
      <alignment horizontal="left" vertical="center" wrapText="1" indent="1"/>
    </xf>
    <xf numFmtId="0" fontId="22" fillId="0" borderId="0" xfId="0" applyFont="1" applyNumberFormat="1">
      <alignment vertical="center" wrapText="1"/>
    </xf>
    <xf numFmtId="0" fontId="0" fillId="0" borderId="12" xfId="0" applyFont="1" applyBorder="1" applyNumberFormat="1">
      <alignment horizontal="center" vertical="center" wrapText="1"/>
    </xf>
    <xf numFmtId="0" fontId="22" fillId="0" borderId="15" xfId="0" applyFont="1" applyBorder="1" applyNumberFormat="1">
      <alignment horizontal="left" vertical="top" wrapText="1" indent="1"/>
    </xf>
    <xf numFmtId="0" fontId="46" fillId="0" borderId="0" xfId="0" applyFont="1" applyNumberFormat="1">
      <alignment vertical="center" wrapText="1"/>
    </xf>
    <xf numFmtId="0" fontId="0" fillId="35" borderId="14" xfId="0" applyFont="1" applyFill="1" applyBorder="1" applyNumberFormat="1">
      <alignment horizontal="right" vertical="center" wrapText="1" indent="1"/>
    </xf>
    <xf numFmtId="0" fontId="71" fillId="0" borderId="0" xfId="0" applyFont="1" applyNumberFormat="1">
      <alignment vertical="center" wrapText="1"/>
    </xf>
    <xf numFmtId="49" fontId="36" fillId="35" borderId="0" xfId="0" applyFont="1" applyFill="1" applyNumberFormat="1">
      <alignment horizontal="center" vertical="center" wrapText="1"/>
    </xf>
    <xf numFmtId="49" fontId="36" fillId="35" borderId="19" xfId="0" applyFont="1" applyFill="1" applyBorder="1" applyNumberFormat="1">
      <alignment horizontal="center" vertical="center" wrapText="1"/>
    </xf>
    <xf numFmtId="49" fontId="0" fillId="35" borderId="17" xfId="0" applyFont="1" applyFill="1" applyBorder="1" applyNumberFormat="1">
      <alignment horizontal="center" vertical="center" wrapText="1"/>
    </xf>
    <xf numFmtId="0" fontId="0" fillId="0" borderId="17" xfId="0" applyFont="1" applyBorder="1" applyNumberFormat="1">
      <alignment horizontal="left" vertical="center" wrapText="1"/>
    </xf>
    <xf numFmtId="0" fontId="0" fillId="0" borderId="17" xfId="0" applyFont="1" applyBorder="1" applyNumberFormat="1">
      <alignment horizontal="left" vertical="center" wrapText="1"/>
    </xf>
    <xf numFmtId="0" fontId="22" fillId="0" borderId="12" xfId="0" applyFont="1" applyBorder="1" applyNumberFormat="1">
      <alignment horizontal="left" vertical="center" wrapText="1"/>
    </xf>
    <xf numFmtId="0" fontId="39" fillId="35" borderId="0" xfId="0" applyFont="1" applyFill="1" applyNumberFormat="1">
      <alignment horizontal="center" vertical="top" wrapText="1"/>
    </xf>
    <xf numFmtId="0" fontId="0" fillId="34" borderId="14" xfId="0" applyFont="1" applyFill="1" applyBorder="1" applyNumberFormat="1">
      <alignment horizontal="left" vertical="center" wrapText="1" indent="1"/>
    </xf>
    <xf numFmtId="0" fontId="0" fillId="0" borderId="13" xfId="0" applyFont="1" applyBorder="1" applyNumberFormat="1">
      <alignment horizontal="center" vertical="center" wrapText="1"/>
    </xf>
    <xf numFmtId="0" fontId="0" fillId="0" borderId="13" xfId="0" applyFont="1" applyBorder="1" applyNumberFormat="1">
      <alignment horizontal="center" vertical="center" wrapText="1"/>
    </xf>
    <xf numFmtId="49" fontId="40" fillId="37" borderId="27" xfId="0" applyFont="1" applyFill="1" applyBorder="1" applyNumberFormat="1">
      <alignment horizontal="left" vertical="center" indent="2"/>
    </xf>
    <xf numFmtId="49" fontId="40" fillId="37" borderId="15" xfId="0" applyFont="1" applyFill="1" applyBorder="1" applyNumberFormat="1">
      <alignment horizontal="left" vertical="center"/>
    </xf>
    <xf numFmtId="0" fontId="39" fillId="35" borderId="24" xfId="0" applyFont="1" applyFill="1" applyBorder="1" applyNumberFormat="1">
      <alignment horizontal="center" vertical="top" wrapText="1"/>
    </xf>
    <xf numFmtId="49" fontId="0" fillId="35" borderId="23" xfId="0" applyFont="1" applyFill="1" applyBorder="1" applyNumberFormat="1">
      <alignment horizontal="center" vertical="center" wrapText="1"/>
    </xf>
    <xf numFmtId="0" fontId="0" fillId="34" borderId="23" xfId="0" applyFont="1" applyFill="1" applyBorder="1" applyNumberFormat="1">
      <alignment horizontal="left" vertical="center" wrapText="1" indent="1"/>
    </xf>
    <xf numFmtId="504" fontId="0" fillId="39" borderId="13" xfId="0" applyFont="1" applyFill="1" applyBorder="1" applyNumberFormat="1">
      <alignment horizontal="left" vertical="center" wrapText="1"/>
      <protection locked="0"/>
    </xf>
    <xf numFmtId="504" fontId="0" fillId="39" borderId="14" xfId="0" applyFont="1" applyFill="1" applyBorder="1" applyNumberFormat="1">
      <alignment horizontal="left" vertical="center" wrapText="1"/>
      <protection locked="0"/>
    </xf>
    <xf numFmtId="0" fontId="0" fillId="0" borderId="13" xfId="0" applyFont="1" applyBorder="1" applyNumberFormat="1">
      <alignment horizontal="center" vertical="center" wrapText="1"/>
    </xf>
    <xf numFmtId="49" fontId="0" fillId="35" borderId="14" xfId="0" applyFont="1" applyFill="1" applyBorder="1" applyNumberFormat="1">
      <alignment horizontal="center" vertical="center" wrapText="1"/>
    </xf>
    <xf numFmtId="49" fontId="27" fillId="39" borderId="12" xfId="0" applyFont="1" applyFill="1" applyBorder="1" applyNumberFormat="1">
      <alignment horizontal="left" vertical="center" wrapText="1"/>
      <protection locked="0"/>
    </xf>
    <xf numFmtId="0" fontId="22" fillId="0" borderId="36" xfId="0" applyFont="1" applyBorder="1" applyNumberFormat="1">
      <alignment horizontal="left" vertical="top" wrapText="1"/>
    </xf>
    <xf numFmtId="49" fontId="22" fillId="0" borderId="0" xfId="0" applyFont="1" applyNumberFormat="1">
      <alignment vertical="top"/>
    </xf>
    <xf numFmtId="49" fontId="22" fillId="0" borderId="19" xfId="0" applyFont="1" applyBorder="1" applyNumberFormat="1">
      <alignment vertical="top"/>
    </xf>
    <xf numFmtId="0" fontId="46" fillId="0" borderId="0" xfId="0" applyFont="1" applyNumberFormat="1">
      <alignment horizontal="right" vertical="top" wrapText="1"/>
    </xf>
    <xf numFmtId="49" fontId="22" fillId="0" borderId="0" xfId="0" applyFont="1" applyNumberFormat="1">
      <alignment vertical="top" wrapText="1"/>
    </xf>
    <xf numFmtId="0" fontId="22" fillId="0" borderId="0" xfId="0" applyFont="1" applyNumberFormat="1">
      <alignment vertical="top" wrapText="1"/>
    </xf>
    <xf numFmtId="49" fontId="22" fillId="0" borderId="0" xfId="0" applyFont="1" applyNumberFormat="1">
      <alignment vertical="top"/>
    </xf>
    <xf numFmtId="0" fontId="22" fillId="35" borderId="12" xfId="0" applyFont="1" applyFill="1" applyBorder="1" applyNumberFormat="1">
      <alignment horizontal="center" vertical="center" wrapText="1"/>
    </xf>
    <xf numFmtId="49" fontId="27" fillId="39" borderId="12" xfId="0" applyFont="1" applyFill="1" applyBorder="1" applyNumberFormat="1">
      <alignment horizontal="left" vertical="center" wrapText="1"/>
      <protection locked="0"/>
    </xf>
    <xf numFmtId="0" fontId="37" fillId="35" borderId="0" xfId="0" applyFont="1" applyFill="1" applyNumberFormat="1">
      <alignment horizontal="center" vertical="center" wrapText="1"/>
    </xf>
    <xf numFmtId="0" fontId="0" fillId="0" borderId="12" xfId="0" applyFont="1" applyBorder="1" applyNumberFormat="1">
      <alignment horizontal="left" vertical="center" wrapText="1"/>
    </xf>
    <xf numFmtId="0" fontId="22" fillId="0" borderId="19" xfId="0" applyFont="1" applyBorder="1" applyNumberFormat="1">
      <alignment vertical="center" wrapText="1"/>
    </xf>
    <xf numFmtId="0" fontId="22" fillId="0" borderId="19" xfId="0" applyFont="1" applyBorder="1" applyNumberFormat="1">
      <alignment horizontal="left" vertical="top" wrapText="1"/>
    </xf>
    <xf numFmtId="49" fontId="22" fillId="0" borderId="0" xfId="0" applyFont="1" applyNumberFormat="1">
      <alignment vertical="center" wrapText="1"/>
    </xf>
    <xf numFmtId="0" fontId="83" fillId="0" borderId="0" xfId="0" applyFont="1" applyNumberFormat="1">
      <alignment vertical="center" wrapText="1"/>
    </xf>
    <xf numFmtId="0" fontId="22" fillId="0" borderId="12" xfId="0" applyFont="1" applyBorder="1" applyNumberFormat="1">
      <alignment horizontal="center" vertical="center" wrapText="1"/>
    </xf>
    <xf numFmtId="0" fontId="22" fillId="0" borderId="12" xfId="0" applyFont="1" applyBorder="1" applyNumberFormat="1">
      <alignment horizontal="left" vertical="center" wrapText="1"/>
    </xf>
    <xf numFmtId="3" fontId="22" fillId="0" borderId="14" xfId="0" applyFont="1" applyBorder="1" applyNumberFormat="1">
      <alignment vertical="center" wrapText="1"/>
    </xf>
    <xf numFmtId="0" fontId="22" fillId="0" borderId="12" xfId="0" applyFont="1" applyBorder="1" applyNumberFormat="1">
      <alignment horizontal="center" vertical="center" wrapText="1"/>
    </xf>
    <xf numFmtId="0" fontId="22" fillId="0" borderId="17" xfId="0" applyFont="1" applyBorder="1" applyNumberFormat="1">
      <alignment horizontal="center" vertical="center" wrapText="1"/>
    </xf>
    <xf numFmtId="0" fontId="22" fillId="0" borderId="17" xfId="0" applyFont="1" applyBorder="1" applyNumberFormat="1">
      <alignment horizontal="center" vertical="center" wrapText="1"/>
    </xf>
    <xf numFmtId="0" fontId="22" fillId="0" borderId="12" xfId="0" applyFont="1" applyBorder="1" applyNumberFormat="1">
      <alignment horizontal="left" vertical="center" wrapText="1" indent="1"/>
    </xf>
    <xf numFmtId="49" fontId="22" fillId="0" borderId="12" xfId="0" applyFont="1" applyBorder="1" applyNumberFormat="1">
      <alignment horizontal="center" vertical="center" wrapText="1"/>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53" fillId="0" borderId="0" xfId="0" applyFont="1" applyNumberFormat="1">
      <alignment vertical="center" wrapText="1"/>
    </xf>
    <xf numFmtId="49" fontId="22" fillId="0" borderId="0" xfId="0" applyFont="1" applyNumberFormat="1">
      <alignment horizontal="center" vertical="top"/>
    </xf>
    <xf numFmtId="49" fontId="32" fillId="47" borderId="0" xfId="0" applyFont="1" applyFill="1" applyNumberFormat="1">
      <alignment horizontal="center" vertical="center"/>
    </xf>
    <xf numFmtId="49" fontId="22" fillId="0" borderId="12" xfId="0" applyFont="1" applyBorder="1" applyNumberFormat="1">
      <alignment horizontal="center" vertical="top"/>
    </xf>
    <xf numFmtId="49" fontId="47" fillId="47" borderId="0" xfId="0" applyFont="1" applyFill="1" applyNumberFormat="1">
      <alignment horizontal="center" vertical="center" wrapText="1"/>
    </xf>
    <xf numFmtId="0" fontId="0" fillId="49" borderId="12" xfId="0" applyFont="1" applyFill="1" applyBorder="1" applyNumberFormat="1">
      <alignment horizontal="center" vertical="center"/>
    </xf>
    <xf numFmtId="49" fontId="0" fillId="0" borderId="0" xfId="0" applyFont="1" applyNumberFormat="1">
      <alignment vertical="center"/>
    </xf>
    <xf numFmtId="49" fontId="47" fillId="47" borderId="12" xfId="0" applyFont="1" applyFill="1" applyBorder="1" applyNumberFormat="1">
      <alignment horizontal="center" vertical="center"/>
    </xf>
    <xf numFmtId="49" fontId="47"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horizontal="center" vertical="top"/>
    </xf>
    <xf numFmtId="49" fontId="22" fillId="0" borderId="0" xfId="0" applyFont="1" applyNumberFormat="1">
      <alignment vertical="top"/>
    </xf>
    <xf numFmtId="0" fontId="22" fillId="0" borderId="12" xfId="0" applyFont="1" applyBorder="1" applyNumberFormat="1">
      <alignment vertical="center"/>
    </xf>
    <xf numFmtId="0" fontId="0" fillId="0" borderId="12" xfId="0" applyFont="1" applyBorder="1" applyNumberFormat="1">
      <alignment vertical="center"/>
    </xf>
    <xf numFmtId="0" fontId="0" fillId="0" borderId="12" xfId="0" applyFont="1" applyBorder="1" applyNumberFormat="1">
      <alignment vertical="center"/>
    </xf>
    <xf numFmtId="0" fontId="0" fillId="0" borderId="14" xfId="0" applyFont="1" applyBorder="1" applyNumberFormat="1">
      <alignment vertical="center"/>
    </xf>
    <xf numFmtId="0" fontId="0" fillId="0" borderId="14" xfId="0" applyFont="1" applyBorder="1" applyNumberFormat="1">
      <alignment vertical="center"/>
    </xf>
    <xf numFmtId="0" fontId="22" fillId="0" borderId="14" xfId="0" applyFont="1" applyBorder="1" applyNumberFormat="1">
      <alignment horizontal="left" vertical="center"/>
    </xf>
    <xf numFmtId="49" fontId="22" fillId="0" borderId="44" xfId="0" applyFont="1" applyBorder="1" applyNumberFormat="1">
      <alignment vertical="center"/>
    </xf>
    <xf numFmtId="49" fontId="22" fillId="0" borderId="45" xfId="0" applyFont="1" applyBorder="1" applyNumberFormat="1">
      <alignment vertical="top"/>
    </xf>
    <xf numFmtId="49" fontId="22" fillId="0" borderId="16" xfId="0" applyFont="1" applyBorder="1" applyNumberFormat="1">
      <alignment vertical="top"/>
    </xf>
    <xf numFmtId="0" fontId="0" fillId="0" borderId="13" xfId="0" applyFont="1" applyBorder="1" applyNumberFormat="1">
      <alignment vertical="center"/>
    </xf>
    <xf numFmtId="0" fontId="0" fillId="0" borderId="12" xfId="0" applyFont="1" applyBorder="1" applyNumberFormat="1">
      <alignment horizontal="right" vertical="top"/>
    </xf>
    <xf numFmtId="0" fontId="0" fillId="0" borderId="12" xfId="0" applyFont="1" applyBorder="1" applyNumberFormat="1">
      <alignment vertical="top"/>
    </xf>
    <xf numFmtId="0" fontId="22" fillId="0" borderId="13" xfId="0" applyFont="1" applyBorder="1" applyNumberFormat="1">
      <alignment vertical="center"/>
    </xf>
    <xf numFmtId="49" fontId="22" fillId="0" borderId="12" xfId="0" applyFont="1" applyBorder="1" applyNumberFormat="1">
      <alignment vertical="center"/>
    </xf>
    <xf numFmtId="0" fontId="0" fillId="0" borderId="0" xfId="0" applyFont="1" applyNumberFormat="1">
      <alignment vertical="top"/>
    </xf>
    <xf numFmtId="0" fontId="22" fillId="0" borderId="12" xfId="0" applyFont="1" applyBorder="1" applyNumberFormat="1">
      <alignment vertical="top"/>
    </xf>
    <xf numFmtId="0" fontId="0" fillId="48" borderId="0" xfId="0" applyFont="1" applyFill="1" applyNumberFormat="1">
      <alignment horizontal="right" vertical="center"/>
    </xf>
    <xf numFmtId="49" fontId="32" fillId="0" borderId="0" xfId="0" applyFont="1" applyNumberFormat="1">
      <alignment horizontal="center" vertical="center"/>
    </xf>
    <xf numFmtId="49" fontId="0" fillId="0" borderId="0" xfId="0" applyFont="1" applyNumberFormat="1">
      <alignment vertical="top"/>
    </xf>
    <xf numFmtId="49" fontId="32" fillId="47" borderId="0" xfId="0" applyFont="1" applyFill="1" applyNumberFormat="1">
      <alignment horizontal="center" vertical="center"/>
    </xf>
    <xf numFmtId="0" fontId="22" fillId="0" borderId="0" xfId="0" applyFont="1" applyNumberFormat="1">
      <alignment vertical="center"/>
    </xf>
    <xf numFmtId="0" fontId="0" fillId="48" borderId="0" xfId="0" applyFont="1" applyFill="1" applyNumberFormat="1">
      <alignment horizontal="left" vertical="center"/>
    </xf>
    <xf numFmtId="0" fontId="0" fillId="0" borderId="0" xfId="0" applyFont="1" applyNumberFormat="1">
      <alignment horizontal="right" vertical="top"/>
    </xf>
    <xf numFmtId="0" fontId="0" fillId="0" borderId="0" xfId="0" applyFont="1" applyNumberFormat="1">
      <alignment vertical="top"/>
    </xf>
    <xf numFmtId="0" fontId="0" fillId="0" borderId="0" xfId="0" applyFont="1" applyNumberFormat="1">
      <alignment vertical="top"/>
    </xf>
    <xf numFmtId="0" fontId="0" fillId="0" borderId="0" xfId="0" applyFont="1" applyNumberFormat="1">
      <alignment horizontal="right" vertical="top"/>
    </xf>
    <xf numFmtId="0" fontId="0" fillId="0" borderId="0" xfId="0" applyFont="1" applyNumberFormat="1">
      <alignment vertical="top"/>
    </xf>
    <xf numFmtId="49" fontId="22" fillId="0" borderId="14" xfId="0" applyFont="1" applyBorder="1" applyNumberFormat="1">
      <alignment vertical="top"/>
    </xf>
    <xf numFmtId="0" fontId="0" fillId="48" borderId="0" xfId="0" applyFont="1" applyFill="1" applyNumberFormat="1">
      <alignment horizontal="right" vertical="center"/>
    </xf>
    <xf numFmtId="0" fontId="0" fillId="0" borderId="0" xfId="0" applyFont="1" applyNumberFormat="1">
      <alignment horizontal="left" vertical="center"/>
    </xf>
    <xf numFmtId="0" fontId="0" fillId="48" borderId="0" xfId="0" applyFont="1" applyFill="1" applyNumberFormat="1">
      <alignment horizontal="right" vertical="center"/>
    </xf>
    <xf numFmtId="0" fontId="0" fillId="48" borderId="0" xfId="0" applyFont="1" applyFill="1" applyNumberFormat="1">
      <alignment horizontal="left" vertical="center"/>
    </xf>
    <xf numFmtId="0" fontId="54" fillId="48" borderId="0" xfId="0" applyFont="1" applyFill="1" applyNumberFormat="1">
      <alignment horizontal="left" vertical="center"/>
    </xf>
    <xf numFmtId="0" fontId="0" fillId="0" borderId="0" xfId="0" applyFont="1" applyNumberFormat="1">
      <alignment vertical="center"/>
    </xf>
    <xf numFmtId="0" fontId="22" fillId="0" borderId="0" xfId="0" applyFont="1" applyNumberFormat="1">
      <alignment vertical="top"/>
    </xf>
    <xf numFmtId="0" fontId="54" fillId="0" borderId="0" xfId="0" applyFont="1" applyNumberFormat="1">
      <alignment horizontal="left" vertical="center"/>
    </xf>
    <xf numFmtId="49" fontId="0" fillId="0" borderId="14" xfId="0" applyFont="1" applyBorder="1" applyNumberFormat="1">
      <alignment vertical="top"/>
    </xf>
    <xf numFmtId="49" fontId="22" fillId="0" borderId="12" xfId="0" applyFont="1" applyBorder="1" applyNumberFormat="1">
      <alignment horizontal="right" vertical="top"/>
    </xf>
    <xf numFmtId="0" fontId="0" fillId="0" borderId="14" xfId="0" applyFont="1" applyBorder="1" applyNumberFormat="1">
      <alignment horizontal="left" vertical="center"/>
    </xf>
    <xf numFmtId="0" fontId="54" fillId="48" borderId="0" xfId="0" applyFont="1" applyFill="1" applyNumberFormat="1">
      <alignment horizontal="left" vertical="center"/>
    </xf>
    <xf numFmtId="49" fontId="22" fillId="0" borderId="17" xfId="0" applyFont="1" applyBorder="1" applyNumberFormat="1">
      <alignment horizontal="right" vertical="top"/>
    </xf>
    <xf numFmtId="0" fontId="0" fillId="0" borderId="17" xfId="0" applyFont="1" applyBorder="1" applyNumberFormat="1">
      <alignment vertical="top"/>
    </xf>
    <xf numFmtId="0" fontId="22" fillId="0" borderId="17" xfId="0" applyFont="1" applyBorder="1" applyNumberFormat="1">
      <alignment vertical="center"/>
    </xf>
    <xf numFmtId="49" fontId="22" fillId="0" borderId="31" xfId="0" applyFont="1" applyBorder="1" applyNumberFormat="1">
      <alignment horizontal="center" vertical="center"/>
    </xf>
    <xf numFmtId="49" fontId="22" fillId="0" borderId="12" xfId="0" applyFont="1" applyBorder="1" applyNumberFormat="1">
      <alignment horizontal="right" vertical="center"/>
    </xf>
    <xf numFmtId="49" fontId="22" fillId="0" borderId="12" xfId="0" applyFont="1" applyBorder="1" applyNumberFormat="1">
      <alignment vertical="top"/>
    </xf>
    <xf numFmtId="49" fontId="0" fillId="0" borderId="0" xfId="0" applyFont="1" applyNumberFormat="1">
      <alignment vertical="center"/>
    </xf>
    <xf numFmtId="0" fontId="22" fillId="48" borderId="0" xfId="0" applyFont="1" applyFill="1" applyNumberFormat="1">
      <alignment horizontal="left" vertical="center"/>
    </xf>
    <xf numFmtId="0" fontId="0" fillId="48" borderId="10" xfId="0" applyFont="1" applyFill="1" applyBorder="1" applyNumberFormat="1">
      <alignment horizontal="center"/>
    </xf>
    <xf numFmtId="49" fontId="104" fillId="0" borderId="16" xfId="0" applyFont="1" applyBorder="1" applyNumberFormat="1">
      <alignment vertical="top"/>
    </xf>
    <xf numFmtId="49" fontId="0" fillId="0" borderId="0" xfId="0" applyFont="1" applyNumberFormat="1">
      <alignment vertical="center"/>
    </xf>
    <xf numFmtId="49" fontId="45" fillId="54" borderId="0" xfId="0" applyFont="1" applyFill="1" applyNumberFormat="1">
      <alignment vertical="center" wrapText="1"/>
    </xf>
    <xf numFmtId="0" fontId="0" fillId="0" borderId="10" xfId="0" applyFont="1" applyBorder="1" applyNumberFormat="1">
      <alignment horizontal="center"/>
    </xf>
    <xf numFmtId="49" fontId="32" fillId="47" borderId="0" xfId="0" applyFont="1" applyFill="1" applyNumberFormat="1">
      <alignment horizontal="center" vertical="center" wrapText="1"/>
    </xf>
    <xf numFmtId="49" fontId="22" fillId="48" borderId="0" xfId="0" applyFont="1" applyFill="1" applyNumberFormat="1">
      <alignment horizontal="center" vertical="center"/>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pplyNumberFormat="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pplyNumberFormat="1">
      <alignment horizontal="center" vertical="center"/>
    </xf>
    <xf numFmtId="0" fontId="102" fillId="0" borderId="46" xfId="0" applyFont="1" applyBorder="1" applyNumberFormat="1">
      <alignment horizontal="center" vertical="center"/>
    </xf>
    <xf numFmtId="0" fontId="0" fillId="0" borderId="46" xfId="0" applyFont="1" applyBorder="1" applyNumberFormat="1">
      <alignment horizontal="center" vertical="center"/>
    </xf>
    <xf numFmtId="49" fontId="32"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pplyNumberFormat="1">
      <alignment vertical="top"/>
    </xf>
    <xf numFmtId="0" fontId="0" fillId="41" borderId="12" xfId="0" applyFont="1" applyFill="1" applyBorder="1" applyNumberFormat="1">
      <alignment horizontal="right" vertical="center"/>
    </xf>
    <xf numFmtId="49" fontId="22" fillId="41" borderId="23" xfId="0" applyFont="1" applyFill="1" applyBorder="1" applyNumberFormat="1">
      <alignment vertical="top"/>
    </xf>
    <xf numFmtId="49" fontId="22" fillId="41" borderId="12" xfId="0" applyFont="1" applyFill="1" applyBorder="1" applyNumberFormat="1">
      <alignment vertical="top"/>
    </xf>
    <xf numFmtId="49" fontId="22" fillId="0" borderId="14" xfId="0" applyFont="1" applyBorder="1" applyNumberFormat="1">
      <alignment horizontal="center" vertical="top"/>
    </xf>
    <xf numFmtId="49" fontId="22" fillId="0" borderId="13" xfId="0" applyFont="1" applyBorder="1" applyNumberFormat="1">
      <alignment horizontal="center" vertical="top"/>
    </xf>
    <xf numFmtId="0" fontId="22" fillId="34" borderId="30" xfId="0" applyFont="1" applyFill="1" applyBorder="1" applyNumberFormat="1">
      <alignment horizontal="center" vertical="top"/>
    </xf>
    <xf numFmtId="0" fontId="22" fillId="34" borderId="30" xfId="0" applyFont="1" applyFill="1" applyBorder="1" applyNumberFormat="1">
      <alignment horizontal="left" vertical="top"/>
    </xf>
    <xf numFmtId="0" fontId="0" fillId="0" borderId="32" xfId="0" applyFont="1" applyBorder="1" applyNumberFormat="1">
      <alignment horizontal="center" vertical="center"/>
    </xf>
    <xf numFmtId="0" fontId="0" fillId="0" borderId="34" xfId="0" applyFont="1" applyBorder="1" applyNumberFormat="1">
      <alignment horizontal="center" vertical="center"/>
    </xf>
    <xf numFmtId="0" fontId="22" fillId="0" borderId="12" xfId="0" applyFont="1" applyBorder="1" applyNumberFormat="1">
      <alignment horizontal="left" vertical="top"/>
    </xf>
    <xf numFmtId="49" fontId="22" fillId="0" borderId="0" xfId="0" applyFont="1" applyNumberFormat="1">
      <alignment horizontal="left" vertical="top"/>
    </xf>
    <xf numFmtId="0" fontId="0" fillId="0" borderId="33" xfId="0" applyFont="1" applyBorder="1" applyNumberFormat="1">
      <alignment horizontal="center" vertical="center"/>
    </xf>
    <xf numFmtId="49" fontId="32" fillId="47" borderId="14" xfId="0" applyFont="1" applyFill="1" applyBorder="1" applyNumberFormat="1">
      <alignment horizontal="right" vertical="center"/>
    </xf>
    <xf numFmtId="49" fontId="22" fillId="0" borderId="12" xfId="0" applyFont="1" applyBorder="1" applyNumberFormat="1">
      <alignment vertical="top"/>
    </xf>
    <xf numFmtId="49" fontId="0" fillId="0" borderId="0" xfId="0" applyFont="1" applyNumberFormat="1">
      <alignment vertical="center"/>
    </xf>
    <xf numFmtId="49" fontId="0" fillId="0" borderId="0" xfId="0" applyFont="1" applyNumberFormat="1">
      <alignment vertical="top"/>
    </xf>
    <xf numFmtId="0" fontId="0" fillId="48" borderId="0" xfId="0" applyFont="1" applyFill="1" applyNumberFormat="1">
      <alignment horizontal="right" vertical="top" wrapText="1"/>
    </xf>
    <xf numFmtId="0" fontId="22" fillId="0" borderId="0" xfId="0" applyFont="1" applyNumberFormat="1">
      <alignment horizontal="left" vertical="top" wrapText="1"/>
    </xf>
    <xf numFmtId="49" fontId="22" fillId="0" borderId="0" xfId="0" applyFont="1" applyNumberFormat="1">
      <alignment vertical="center"/>
    </xf>
    <xf numFmtId="49" fontId="0" fillId="0" borderId="0" xfId="0" applyFont="1" applyNumberFormat="1">
      <alignment vertical="center" wrapText="1"/>
    </xf>
    <xf numFmtId="49" fontId="0" fillId="0" borderId="0" xfId="0" applyFont="1" applyNumberFormat="1">
      <alignment vertical="center"/>
    </xf>
    <xf numFmtId="49" fontId="22" fillId="35" borderId="12" xfId="0" applyFont="1" applyFill="1" applyBorder="1" applyNumberFormat="1">
      <alignment horizontal="center" vertical="center"/>
    </xf>
    <xf numFmtId="49" fontId="22" fillId="39" borderId="12" xfId="0" applyFont="1" applyFill="1" applyBorder="1" applyNumberFormat="1">
      <alignment horizontal="left" vertical="center" wrapText="1"/>
      <protection locked="0"/>
    </xf>
    <xf numFmtId="0" fontId="22" fillId="39" borderId="12" xfId="0" applyFont="1" applyFill="1" applyBorder="1" applyNumberFormat="1">
      <alignment horizontal="center" vertical="center" wrapText="1"/>
      <protection locked="0"/>
    </xf>
    <xf numFmtId="0" fontId="47" fillId="35" borderId="0" xfId="0" applyFont="1" applyFill="1" applyNumberFormat="1"/>
    <xf numFmtId="49" fontId="22" fillId="35" borderId="12" xfId="0" applyFont="1" applyFill="1" applyBorder="1" applyNumberFormat="1">
      <alignment horizontal="center" vertical="center" wrapText="1"/>
    </xf>
    <xf numFmtId="0" fontId="0" fillId="35" borderId="12" xfId="0" applyFont="1" applyFill="1" applyBorder="1" applyNumberFormat="1">
      <alignment horizontal="center" vertical="center" wrapText="1"/>
    </xf>
    <xf numFmtId="0" fontId="22" fillId="34" borderId="12" xfId="0" applyFont="1" applyFill="1" applyBorder="1" applyNumberFormat="1">
      <alignment horizontal="left" vertical="center" wrapText="1"/>
    </xf>
    <xf numFmtId="0" fontId="68" fillId="35" borderId="0" xfId="0" applyFont="1" applyFill="1" applyNumberFormat="1"/>
    <xf numFmtId="0" fontId="22" fillId="35" borderId="12" xfId="0" applyFont="1" applyFill="1" applyBorder="1" applyNumberFormat="1">
      <alignment horizontal="left" vertical="center" wrapText="1"/>
    </xf>
    <xf numFmtId="0" fontId="22" fillId="0" borderId="12" xfId="0" applyFont="1" applyBorder="1" applyNumberFormat="1">
      <alignment horizontal="center" vertical="center" wrapText="1"/>
    </xf>
    <xf numFmtId="49" fontId="22" fillId="0" borderId="12" xfId="0" applyFont="1" applyBorder="1" applyNumberFormat="1">
      <alignment horizontal="center" vertical="center"/>
    </xf>
    <xf numFmtId="49" fontId="22" fillId="36" borderId="12" xfId="0" applyFont="1" applyFill="1" applyBorder="1" applyNumberFormat="1">
      <alignment horizontal="left" vertical="center" wrapText="1"/>
      <protection locked="0"/>
    </xf>
    <xf numFmtId="0" fontId="48" fillId="35" borderId="0" xfId="0" applyFont="1" applyFill="1" applyNumberFormat="1">
      <alignment horizontal="center" vertical="center" wrapText="1"/>
    </xf>
    <xf numFmtId="0" fontId="22" fillId="35" borderId="24" xfId="0" applyFont="1" applyFill="1" applyBorder="1" applyNumberFormat="1">
      <alignment horizontal="center" vertical="center" wrapText="1"/>
    </xf>
    <xf numFmtId="0" fontId="0" fillId="35" borderId="17" xfId="0" applyFont="1" applyFill="1" applyBorder="1" applyNumberFormat="1">
      <alignment horizontal="left" vertical="top" wrapText="1"/>
    </xf>
    <xf numFmtId="0" fontId="67" fillId="35" borderId="0" xfId="0" applyFont="1" applyFill="1" applyNumberFormat="1"/>
    <xf numFmtId="0" fontId="72" fillId="35" borderId="0" xfId="0" applyFont="1" applyFill="1" applyNumberFormat="1">
      <alignment vertical="center" wrapText="1"/>
    </xf>
    <xf numFmtId="0" fontId="48" fillId="35" borderId="12" xfId="0" applyFont="1" applyFill="1" applyBorder="1" applyNumberFormat="1">
      <alignment horizontal="center" vertical="center"/>
    </xf>
    <xf numFmtId="0" fontId="0" fillId="35" borderId="36" xfId="0" applyFont="1" applyFill="1" applyBorder="1" applyNumberFormat="1">
      <alignment horizontal="left" vertical="top" wrapText="1"/>
    </xf>
    <xf numFmtId="0" fontId="67" fillId="35" borderId="0" xfId="0" applyFont="1" applyFill="1" applyNumberFormat="1"/>
    <xf numFmtId="0" fontId="0" fillId="35" borderId="23" xfId="0" applyFont="1" applyFill="1" applyBorder="1" applyNumberFormat="1">
      <alignment horizontal="left" vertical="top" wrapText="1"/>
    </xf>
    <xf numFmtId="0" fontId="84" fillId="35" borderId="0" xfId="0" applyFont="1" applyFill="1" applyNumberFormat="1"/>
    <xf numFmtId="0" fontId="22" fillId="35" borderId="12" xfId="0" applyFont="1" applyFill="1" applyBorder="1" applyNumberFormat="1">
      <alignment horizontal="left" vertical="top" wrapText="1"/>
    </xf>
    <xf numFmtId="49" fontId="53" fillId="36" borderId="23" xfId="0" applyFont="1" applyFill="1" applyBorder="1" applyNumberFormat="1">
      <alignment horizontal="left" vertical="center" wrapText="1"/>
      <protection locked="0"/>
    </xf>
    <xf numFmtId="0" fontId="22" fillId="35" borderId="12" xfId="0" applyFont="1" applyFill="1" applyBorder="1" applyNumberFormat="1">
      <alignment vertical="top" wrapText="1"/>
    </xf>
    <xf numFmtId="0" fontId="22" fillId="0" borderId="12" xfId="0" applyFont="1" applyBorder="1" applyNumberFormat="1">
      <alignment horizontal="center" vertical="center" wrapText="1"/>
    </xf>
    <xf numFmtId="49" fontId="22" fillId="40" borderId="12" xfId="0" applyFont="1" applyFill="1" applyBorder="1" applyNumberFormat="1">
      <alignment horizontal="left" vertical="center" wrapText="1"/>
    </xf>
    <xf numFmtId="14" fontId="22" fillId="39" borderId="14" xfId="0" applyFont="1" applyFill="1" applyBorder="1" applyNumberFormat="1">
      <alignment horizontal="left" vertical="center" wrapText="1" indent="1"/>
      <protection locked="0"/>
    </xf>
    <xf numFmtId="0" fontId="47" fillId="0" borderId="36" xfId="0" applyFont="1" applyBorder="1" applyNumberFormat="1">
      <alignment horizontal="left" vertical="center" wrapText="1" indent="1"/>
    </xf>
    <xf numFmtId="0" fontId="112" fillId="0" borderId="0" xfId="0" applyFont="1" applyNumberFormat="1">
      <alignment vertical="center"/>
    </xf>
    <xf numFmtId="0" fontId="37" fillId="0" borderId="0" xfId="0" applyFont="1" applyNumberFormat="1">
      <alignment horizontal="center" vertical="center" wrapText="1"/>
    </xf>
    <xf numFmtId="4" fontId="22" fillId="0" borderId="17" xfId="0" applyFont="1" applyBorder="1" applyNumberFormat="1">
      <alignment horizontal="center" vertical="center" wrapText="1"/>
    </xf>
    <xf numFmtId="501" fontId="22" fillId="0" borderId="37" xfId="0" applyFont="1" applyBorder="1" applyNumberFormat="1">
      <alignment horizontal="center" vertical="center" wrapText="1"/>
    </xf>
    <xf numFmtId="501"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14" fontId="22" fillId="40" borderId="12" xfId="0" applyFont="1" applyFill="1" applyBorder="1" applyNumberFormat="1">
      <alignment horizontal="left" vertical="center" wrapText="1"/>
    </xf>
    <xf numFmtId="14" fontId="22" fillId="39" borderId="12" xfId="0" applyFont="1" applyFill="1" applyBorder="1" applyNumberFormat="1">
      <alignment horizontal="left" vertical="center" wrapText="1" indent="1"/>
      <protection locked="0"/>
    </xf>
    <xf numFmtId="49" fontId="50"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0" fillId="37" borderId="29" xfId="0" applyFont="1" applyFill="1" applyBorder="1" applyNumberFormat="1">
      <alignment horizontal="right" vertical="center" wrapText="1"/>
    </xf>
    <xf numFmtId="0" fontId="112" fillId="0" borderId="0" xfId="0" applyFont="1" applyNumberFormat="1">
      <alignment vertical="center" wrapText="1"/>
    </xf>
    <xf numFmtId="49" fontId="0" fillId="0" borderId="0" xfId="0" applyFont="1" applyNumberFormat="1">
      <alignment vertical="top"/>
    </xf>
    <xf numFmtId="0" fontId="22" fillId="0" borderId="14" xfId="0" applyFont="1" applyBorder="1" applyNumberFormat="1">
      <alignment horizontal="center" vertical="center" wrapText="1"/>
    </xf>
    <xf numFmtId="0" fontId="22" fillId="34" borderId="12" xfId="0" applyFont="1" applyFill="1" applyBorder="1" applyNumberFormat="1">
      <alignment horizontal="left" vertical="center" wrapText="1" indent="1"/>
    </xf>
    <xf numFmtId="504" fontId="0" fillId="39" borderId="15" xfId="0" applyFont="1" applyFill="1" applyBorder="1" applyNumberFormat="1">
      <alignment horizontal="left" vertical="center" wrapText="1" indent="1"/>
      <protection locked="0"/>
    </xf>
    <xf numFmtId="505" fontId="22" fillId="39" borderId="12" xfId="0" applyFont="1" applyFill="1" applyBorder="1" applyNumberFormat="1">
      <alignment horizontal="left" vertical="center" wrapText="1" indent="1"/>
      <protection locked="0"/>
    </xf>
    <xf numFmtId="504" fontId="48" fillId="0" borderId="0" xfId="0" applyFont="1" applyNumberFormat="1">
      <alignment horizontal="center" vertical="center" wrapText="1"/>
    </xf>
    <xf numFmtId="501" fontId="22" fillId="0" borderId="17" xfId="0" applyFont="1" applyBorder="1" applyNumberFormat="1">
      <alignment horizontal="center" vertical="center" wrapText="1"/>
    </xf>
    <xf numFmtId="501" fontId="22" fillId="0" borderId="14" xfId="0" applyFont="1" applyBorder="1" applyNumberFormat="1">
      <alignment horizontal="center" vertical="center" wrapText="1"/>
    </xf>
    <xf numFmtId="501" fontId="22" fillId="0" borderId="15" xfId="0" applyFont="1" applyBorder="1" applyNumberFormat="1">
      <alignment horizontal="center" vertical="center" wrapText="1"/>
    </xf>
    <xf numFmtId="501" fontId="22" fillId="0" borderId="13" xfId="0" applyFont="1" applyBorder="1" applyNumberFormat="1">
      <alignment horizontal="center" vertical="center" wrapText="1"/>
    </xf>
    <xf numFmtId="4" fontId="22" fillId="0" borderId="36" xfId="0" applyFont="1" applyBorder="1" applyNumberFormat="1">
      <alignment horizontal="center" vertical="center" wrapText="1"/>
    </xf>
    <xf numFmtId="501" fontId="22" fillId="0" borderId="23" xfId="0" applyFont="1" applyBorder="1" applyNumberFormat="1">
      <alignment horizontal="center" vertical="center" wrapText="1"/>
    </xf>
    <xf numFmtId="501" fontId="22" fillId="0" borderId="23" xfId="0" applyFont="1" applyBorder="1" applyNumberFormat="1">
      <alignment horizontal="center" vertical="center" wrapText="1"/>
    </xf>
    <xf numFmtId="0" fontId="22" fillId="0" borderId="23" xfId="0" applyFont="1" applyBorder="1" applyNumberFormat="1">
      <alignment horizontal="center" vertical="center" wrapText="1"/>
    </xf>
    <xf numFmtId="0" fontId="22" fillId="34" borderId="23" xfId="0" applyFont="1" applyFill="1" applyBorder="1" applyNumberFormat="1">
      <alignment horizontal="left" vertical="center" wrapText="1" indent="1"/>
    </xf>
    <xf numFmtId="14" fontId="22" fillId="39" borderId="23" xfId="0" applyFont="1" applyFill="1" applyBorder="1" applyNumberFormat="1">
      <alignment horizontal="left" vertical="center" wrapText="1" indent="1"/>
      <protection locked="0"/>
    </xf>
    <xf numFmtId="0" fontId="22" fillId="0" borderId="29" xfId="0" applyFont="1" applyBorder="1" applyNumberFormat="1">
      <alignment horizontal="left" vertical="top" wrapText="1"/>
    </xf>
    <xf numFmtId="0" fontId="22" fillId="0" borderId="12" xfId="0" applyFont="1" applyBorder="1" applyNumberFormat="1">
      <alignment horizontal="center" vertical="center" wrapText="1"/>
    </xf>
    <xf numFmtId="0" fontId="22" fillId="34" borderId="12" xfId="0" applyFont="1" applyFill="1" applyBorder="1" applyNumberFormat="1">
      <alignment horizontal="left" vertical="center" wrapText="1" indent="1"/>
    </xf>
    <xf numFmtId="0" fontId="48" fillId="0" borderId="0" xfId="0" applyFont="1" applyNumberFormat="1">
      <alignment horizontal="center" vertical="center" wrapText="1"/>
    </xf>
    <xf numFmtId="0" fontId="22" fillId="0" borderId="0" xfId="0" applyFont="1" applyNumberFormat="1">
      <alignment horizontal="right" vertical="center" wrapText="1"/>
    </xf>
    <xf numFmtId="0" fontId="22" fillId="0" borderId="0" xfId="0" applyFont="1" applyNumberFormat="1">
      <alignment horizontal="left" vertical="center" wrapText="1" indent="1"/>
    </xf>
    <xf numFmtId="501" fontId="22" fillId="0" borderId="23" xfId="0" applyFont="1" applyBorder="1" applyNumberFormat="1">
      <alignment horizontal="center" vertical="center" wrapText="1"/>
    </xf>
    <xf numFmtId="0" fontId="22" fillId="0" borderId="23" xfId="0" applyFont="1" applyBorder="1" applyNumberFormat="1">
      <alignment horizontal="left" vertical="center" wrapText="1" indent="1"/>
    </xf>
    <xf numFmtId="14" fontId="22" fillId="0" borderId="23" xfId="0" applyFont="1" applyBorder="1" applyNumberFormat="1">
      <alignment horizontal="left" vertical="center" wrapText="1" inden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0" borderId="14" xfId="0" applyFont="1" applyBorder="1" applyNumberFormat="1">
      <alignment horizontal="center" vertical="center" wrapText="1"/>
    </xf>
    <xf numFmtId="49" fontId="22" fillId="39" borderId="12" xfId="0" applyFont="1" applyFill="1" applyBorder="1" applyNumberFormat="1">
      <alignment horizontal="left" vertical="center" wrapText="1"/>
      <protection locked="0"/>
    </xf>
    <xf numFmtId="49" fontId="22" fillId="40" borderId="12" xfId="0" applyFont="1" applyFill="1" applyBorder="1" applyNumberFormat="1">
      <alignment horizontal="left" vertical="center" wrapText="1"/>
    </xf>
    <xf numFmtId="49" fontId="53" fillId="37" borderId="27" xfId="0" applyFont="1" applyFill="1" applyBorder="1" applyNumberFormat="1">
      <alignment horizontal="left" vertical="center" wrapText="1"/>
    </xf>
    <xf numFmtId="49" fontId="53" fillId="37" borderId="29" xfId="0" applyFont="1" applyFill="1" applyBorder="1" applyNumberFormat="1">
      <alignment horizontal="left" vertical="center" wrapText="1"/>
    </xf>
    <xf numFmtId="0" fontId="22" fillId="35" borderId="36" xfId="0" applyFont="1" applyFill="1" applyBorder="1" applyNumberFormat="1">
      <alignment vertical="center" wrapText="1"/>
    </xf>
    <xf numFmtId="0" fontId="48" fillId="0" borderId="0" xfId="0" applyFont="1" applyNumberFormat="1">
      <alignment horizontal="center" vertical="center" wrapText="1"/>
    </xf>
    <xf numFmtId="0" fontId="48" fillId="0" borderId="27" xfId="0" applyFont="1" applyBorder="1" applyNumberFormat="1">
      <alignment horizontal="center" vertical="center" wrapText="1"/>
    </xf>
    <xf numFmtId="0" fontId="48" fillId="0" borderId="0" xfId="0" applyFont="1" applyNumberFormat="1">
      <alignment horizontal="center" vertical="center" wrapText="1"/>
    </xf>
    <xf numFmtId="0" fontId="48" fillId="0" borderId="0" xfId="0" applyFont="1" applyNumberFormat="1">
      <alignment horizontal="center" vertical="center" wrapText="1"/>
    </xf>
    <xf numFmtId="0" fontId="22" fillId="35" borderId="22" xfId="0" applyFont="1" applyFill="1" applyBorder="1" applyNumberFormat="1">
      <alignment vertical="center" wrapText="1"/>
    </xf>
    <xf numFmtId="0" fontId="36" fillId="0" borderId="12" xfId="0" applyFont="1" applyBorder="1" applyNumberFormat="1">
      <alignment horizontal="center" vertical="center" wrapText="1"/>
    </xf>
    <xf numFmtId="0" fontId="22" fillId="0" borderId="15" xfId="0" applyFont="1" applyBorder="1" applyNumberFormat="1">
      <alignment horizontal="center" vertical="center" wrapText="1"/>
    </xf>
    <xf numFmtId="0" fontId="22" fillId="0" borderId="15" xfId="0" applyFont="1" applyBorder="1" applyNumberFormat="1">
      <alignment horizontal="left" vertical="center" wrapText="1"/>
    </xf>
    <xf numFmtId="0" fontId="42" fillId="0" borderId="0" xfId="0" applyFont="1" applyNumberFormat="1">
      <alignment horizontal="center" vertical="center" wrapText="1"/>
    </xf>
    <xf numFmtId="0" fontId="22" fillId="0" borderId="0" xfId="0" applyFont="1" applyNumberFormat="1">
      <alignment horizontal="center" vertical="center" wrapText="1"/>
    </xf>
    <xf numFmtId="501" fontId="45" fillId="0" borderId="19" xfId="0" applyFont="1" applyBorder="1" applyNumberFormat="1">
      <alignment horizontal="center" vertical="center" wrapText="1"/>
    </xf>
    <xf numFmtId="501" fontId="45" fillId="0" borderId="19" xfId="0" applyFont="1" applyBorder="1" applyNumberFormat="1">
      <alignment horizontal="center" vertical="center" wrapText="1"/>
    </xf>
    <xf numFmtId="501" fontId="45" fillId="0" borderId="20" xfId="0" applyFont="1" applyBorder="1" applyNumberFormat="1">
      <alignment horizontal="center" vertical="center" wrapText="1"/>
    </xf>
    <xf numFmtId="0" fontId="48" fillId="0" borderId="0" xfId="0" applyFont="1" applyNumberFormat="1">
      <alignment horizontal="center" vertical="center"/>
    </xf>
    <xf numFmtId="0" fontId="42" fillId="0" borderId="0" xfId="0" applyFont="1" applyNumberFormat="1">
      <alignment horizontal="center" vertical="center" wrapText="1"/>
    </xf>
    <xf numFmtId="501" fontId="22" fillId="0" borderId="12" xfId="0" applyFont="1" applyBorder="1" applyNumberFormat="1">
      <alignment horizontal="center" vertical="center" wrapText="1"/>
    </xf>
    <xf numFmtId="501" fontId="22" fillId="0" borderId="36" xfId="0" applyFont="1" applyBorder="1" applyNumberFormat="1">
      <alignment horizontal="center" vertical="center" wrapText="1"/>
    </xf>
    <xf numFmtId="501" fontId="22" fillId="0" borderId="12" xfId="0" applyFont="1" applyBorder="1" applyNumberFormat="1">
      <alignment horizontal="center" vertical="center" wrapText="1"/>
    </xf>
    <xf numFmtId="0" fontId="22" fillId="34" borderId="29" xfId="0" applyFont="1" applyFill="1" applyBorder="1" applyNumberFormat="1">
      <alignment horizontal="left" vertical="center" wrapText="1"/>
    </xf>
    <xf numFmtId="14" fontId="22" fillId="40" borderId="23" xfId="0" applyFont="1" applyFill="1" applyBorder="1" applyNumberFormat="1">
      <alignment horizontal="left" vertical="center" wrapText="1"/>
    </xf>
    <xf numFmtId="49" fontId="22" fillId="40" borderId="30" xfId="0" applyFont="1" applyFill="1" applyBorder="1" applyNumberFormat="1">
      <alignment horizontal="left" vertical="center" wrapText="1"/>
    </xf>
    <xf numFmtId="0" fontId="22" fillId="0" borderId="23" xfId="0" applyFont="1" applyBorder="1" applyNumberFormat="1">
      <alignment horizontal="center" vertical="center" wrapText="1"/>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22" fillId="0" borderId="12" xfId="0" applyFont="1" applyBorder="1" applyNumberFormat="1">
      <alignment horizontal="left" vertical="top" wrapText="1"/>
    </xf>
    <xf numFmtId="49" fontId="22" fillId="40" borderId="23" xfId="0" applyFont="1" applyFill="1" applyBorder="1" applyNumberFormat="1">
      <alignment horizontal="left" vertical="center" wrapText="1"/>
    </xf>
    <xf numFmtId="49" fontId="127" fillId="0" borderId="12" xfId="0" applyFont="1" applyBorder="1" applyNumberFormat="1">
      <alignment horizontal="left" vertical="top" wrapText="1"/>
    </xf>
    <xf numFmtId="49" fontId="22" fillId="0" borderId="0" xfId="0" applyFont="1" applyNumberFormat="1">
      <alignment vertical="top"/>
    </xf>
    <xf numFmtId="0" fontId="32" fillId="0" borderId="0" xfId="0" applyFont="1" applyNumberFormat="1">
      <alignment vertical="center" wrapText="1"/>
    </xf>
    <xf numFmtId="0" fontId="37" fillId="35" borderId="0" xfId="0" applyFont="1" applyFill="1" applyNumberFormat="1">
      <alignment horizontal="center" vertical="center" wrapText="1"/>
    </xf>
    <xf numFmtId="0" fontId="22" fillId="35" borderId="0" xfId="0" applyFont="1" applyFill="1" applyNumberFormat="1"/>
    <xf numFmtId="49" fontId="22" fillId="0" borderId="0" xfId="0" applyFont="1" applyNumberFormat="1">
      <alignment vertical="top"/>
    </xf>
    <xf numFmtId="49" fontId="37" fillId="0" borderId="0" xfId="0" applyFont="1" applyNumberFormat="1">
      <alignment horizontal="center" vertical="center"/>
    </xf>
    <xf numFmtId="0" fontId="43" fillId="35" borderId="0" xfId="0" applyFont="1" applyFill="1" applyNumberFormat="1">
      <alignment horizontal="center" vertical="center" wrapText="1"/>
    </xf>
    <xf numFmtId="0" fontId="32" fillId="35" borderId="0" xfId="0" applyFont="1" applyFill="1" applyNumberFormat="1"/>
    <xf numFmtId="49" fontId="32" fillId="0" borderId="0" xfId="0" applyFont="1" applyNumberFormat="1">
      <alignment vertical="top"/>
    </xf>
    <xf numFmtId="0" fontId="22" fillId="35" borderId="12" xfId="0" applyFont="1" applyFill="1" applyBorder="1" applyNumberFormat="1">
      <alignment horizontal="center" vertical="center" wrapText="1"/>
    </xf>
    <xf numFmtId="49" fontId="47" fillId="0" borderId="0" xfId="0" applyFont="1" applyNumberFormat="1">
      <alignment vertical="top"/>
    </xf>
    <xf numFmtId="49" fontId="22" fillId="0" borderId="0" xfId="0" applyFont="1" applyNumberFormat="1">
      <alignment vertical="top"/>
    </xf>
    <xf numFmtId="49" fontId="37" fillId="0" borderId="0" xfId="0" applyFont="1" applyNumberFormat="1">
      <alignment horizontal="center" vertical="center" wrapText="1"/>
    </xf>
    <xf numFmtId="49" fontId="22" fillId="0" borderId="12" xfId="0" applyFont="1" applyBorder="1" applyNumberFormat="1">
      <alignment horizontal="center" vertical="center" wrapText="1"/>
    </xf>
    <xf numFmtId="49" fontId="22" fillId="39" borderId="12" xfId="0" applyFont="1" applyFill="1" applyBorder="1" applyNumberFormat="1">
      <alignment horizontal="left" vertical="center" wrapText="1"/>
      <protection locked="0"/>
    </xf>
    <xf numFmtId="0" fontId="48" fillId="0" borderId="0" xfId="0" applyFont="1" applyNumberFormat="1">
      <alignment vertical="top"/>
    </xf>
    <xf numFmtId="49" fontId="48" fillId="0" borderId="0" xfId="0" applyFont="1" applyNumberFormat="1">
      <alignment vertical="top"/>
    </xf>
    <xf numFmtId="49" fontId="22" fillId="0" borderId="0" xfId="0" applyFont="1" applyNumberFormat="1">
      <alignment vertical="top"/>
    </xf>
    <xf numFmtId="49" fontId="40" fillId="37" borderId="15" xfId="0" applyFont="1" applyFill="1" applyBorder="1" applyNumberFormat="1">
      <alignment horizontal="left" vertical="center"/>
    </xf>
    <xf numFmtId="49" fontId="44" fillId="37" borderId="15" xfId="0" applyFont="1" applyFill="1" applyBorder="1" applyNumberFormat="1">
      <alignment horizontal="center" vertical="top"/>
    </xf>
    <xf numFmtId="49" fontId="22" fillId="0" borderId="0" xfId="0" applyFont="1" applyNumberFormat="1">
      <alignment horizontal="left" vertical="top" wrapText="1"/>
    </xf>
    <xf numFmtId="49" fontId="37" fillId="0" borderId="0" xfId="0" applyFont="1" applyNumberFormat="1">
      <alignment horizontal="center" vertical="center"/>
    </xf>
    <xf numFmtId="0" fontId="22" fillId="0" borderId="0" xfId="0" applyFont="1" applyNumberFormat="1"/>
    <xf numFmtId="0" fontId="37" fillId="35" borderId="0" xfId="0" applyFont="1" applyFill="1" applyNumberFormat="1">
      <alignment horizontal="center" vertical="center"/>
    </xf>
    <xf numFmtId="0" fontId="22" fillId="35" borderId="0" xfId="0" applyFont="1" applyFill="1" applyNumberFormat="1"/>
    <xf numFmtId="0" fontId="22" fillId="0" borderId="13" xfId="0" applyFont="1" applyBorder="1" applyNumberFormat="1">
      <alignment horizontal="left" vertical="center" wrapText="1" indent="1"/>
    </xf>
    <xf numFmtId="0" fontId="22" fillId="0" borderId="14" xfId="0" applyFont="1" applyBorder="1" applyNumberFormat="1">
      <alignment horizontal="left" vertical="center" wrapText="1" indent="1"/>
    </xf>
    <xf numFmtId="0" fontId="64" fillId="0" borderId="0" xfId="0" applyFont="1" applyNumberFormat="1"/>
    <xf numFmtId="0" fontId="22" fillId="0" borderId="12" xfId="0" applyFont="1" applyBorder="1" applyNumberFormat="1">
      <alignment horizontal="center" vertical="center" wrapText="1"/>
    </xf>
    <xf numFmtId="0" fontId="22" fillId="35" borderId="17" xfId="0" applyFont="1" applyFill="1" applyBorder="1" applyNumberFormat="1">
      <alignment horizontal="center" vertical="center"/>
    </xf>
    <xf numFmtId="49" fontId="22" fillId="0" borderId="17" xfId="0" applyFont="1" applyBorder="1" applyNumberFormat="1">
      <alignment horizontal="left" vertical="center" wrapText="1"/>
    </xf>
    <xf numFmtId="0" fontId="37" fillId="35" borderId="0" xfId="0" applyFont="1" applyFill="1" applyNumberFormat="1">
      <alignment horizontal="center" vertical="center" wrapText="1"/>
    </xf>
    <xf numFmtId="0" fontId="22" fillId="35" borderId="12" xfId="0" applyFont="1" applyFill="1" applyBorder="1" applyNumberFormat="1">
      <alignment horizontal="center" vertical="center"/>
    </xf>
    <xf numFmtId="49" fontId="22" fillId="39" borderId="12" xfId="0" applyFont="1" applyFill="1" applyBorder="1" applyNumberFormat="1">
      <alignment horizontal="left" vertical="center" wrapText="1"/>
      <protection locked="0"/>
    </xf>
    <xf numFmtId="49" fontId="50" fillId="37" borderId="14" xfId="0" applyFont="1" applyFill="1" applyBorder="1" applyNumberFormat="1">
      <alignment horizontal="center" vertical="center"/>
    </xf>
    <xf numFmtId="49" fontId="40" fillId="37" borderId="13" xfId="0" applyFont="1" applyFill="1" applyBorder="1" applyNumberFormat="1">
      <alignment horizontal="left" vertical="center"/>
    </xf>
    <xf numFmtId="49" fontId="45" fillId="0" borderId="0" xfId="0" applyFont="1" applyNumberFormat="1">
      <alignment horizontal="right" vertical="top"/>
    </xf>
    <xf numFmtId="49" fontId="22" fillId="0" borderId="0" xfId="0" applyFont="1" applyNumberFormat="1">
      <alignment horizontal="left" vertical="top" wrapText="1"/>
    </xf>
    <xf numFmtId="49" fontId="45" fillId="0" borderId="0" xfId="0" applyFont="1" applyNumberFormat="1">
      <alignment vertical="top"/>
    </xf>
    <xf numFmtId="0" fontId="37" fillId="0" borderId="0" xfId="0" applyFont="1" applyNumberFormat="1">
      <alignment horizontal="center" vertical="center"/>
    </xf>
    <xf numFmtId="0" fontId="22" fillId="0" borderId="0" xfId="0" applyFont="1" applyNumberFormat="1"/>
    <xf numFmtId="0" fontId="37" fillId="0" borderId="0" xfId="0" applyFont="1" applyNumberFormat="1">
      <alignment horizontal="center" vertical="center"/>
    </xf>
    <xf numFmtId="0" fontId="22" fillId="0" borderId="0" xfId="0" applyFont="1" applyNumberFormat="1"/>
    <xf numFmtId="49" fontId="22" fillId="0" borderId="12" xfId="0" applyFont="1" applyBorder="1" applyNumberFormat="1">
      <alignment horizontal="left" vertical="center" wrapText="1"/>
    </xf>
    <xf numFmtId="49" fontId="40" fillId="37" borderId="13" xfId="0" applyFont="1" applyFill="1" applyBorder="1" applyNumberFormat="1">
      <alignment horizontal="left" vertical="center"/>
    </xf>
    <xf numFmtId="49" fontId="0" fillId="0" borderId="0" xfId="0" applyFont="1" applyNumberFormat="1">
      <alignment vertical="top"/>
    </xf>
    <xf numFmtId="49" fontId="0" fillId="0" borderId="15" xfId="0" applyFont="1" applyBorder="1" applyNumberFormat="1">
      <alignment horizontal="left" vertical="center" indent="1"/>
    </xf>
    <xf numFmtId="49" fontId="0" fillId="0" borderId="15" xfId="0" applyFont="1" applyBorder="1" applyNumberFormat="1">
      <alignment horizontal="left" vertical="center" indent="1"/>
    </xf>
    <xf numFmtId="49" fontId="65" fillId="0" borderId="0" xfId="0" applyFont="1" applyNumberFormat="1">
      <alignment vertical="top"/>
    </xf>
    <xf numFmtId="49" fontId="0" fillId="0" borderId="25" xfId="0" applyFont="1" applyBorder="1" applyNumberFormat="1">
      <alignment horizontal="center" vertical="center"/>
    </xf>
    <xf numFmtId="49" fontId="0" fillId="0" borderId="25" xfId="0" applyFont="1" applyBorder="1" applyNumberFormat="1">
      <alignment horizontal="center" vertical="center"/>
    </xf>
    <xf numFmtId="49" fontId="0" fillId="38" borderId="0" xfId="0" applyFont="1" applyFill="1" applyNumberFormat="1">
      <alignment vertical="top"/>
    </xf>
    <xf numFmtId="49" fontId="0" fillId="38" borderId="0" xfId="0" applyFont="1" applyFill="1" applyNumberFormat="1">
      <alignment vertical="top"/>
    </xf>
    <xf numFmtId="0" fontId="37" fillId="35" borderId="0" xfId="0" applyFont="1" applyFill="1" applyNumberFormat="1">
      <alignment horizontal="center" vertical="center" wrapText="1"/>
    </xf>
    <xf numFmtId="0" fontId="37" fillId="35" borderId="0" xfId="0" applyFont="1" applyFill="1" applyNumberFormat="1">
      <alignment horizontal="center"/>
    </xf>
    <xf numFmtId="49" fontId="22" fillId="36" borderId="12" xfId="0" applyFont="1" applyFill="1" applyBorder="1" applyNumberFormat="1">
      <alignment horizontal="left" vertical="center" wrapText="1"/>
      <protection locked="0"/>
    </xf>
    <xf numFmtId="0" fontId="37" fillId="0" borderId="0" xfId="0" applyFont="1" applyNumberFormat="1">
      <alignment horizontal="center" vertical="center" wrapText="1"/>
    </xf>
    <xf numFmtId="0" fontId="22" fillId="0" borderId="12" xfId="0" applyFont="1" applyBorder="1" applyNumberFormat="1">
      <alignment horizontal="center" vertical="center" wrapText="1"/>
    </xf>
    <xf numFmtId="0" fontId="48" fillId="0" borderId="12" xfId="0" applyFont="1" applyBorder="1" applyNumberFormat="1">
      <alignment horizontal="center" vertical="center"/>
    </xf>
    <xf numFmtId="0" fontId="22" fillId="0" borderId="23" xfId="0" applyFont="1" applyBorder="1" applyNumberFormat="1">
      <alignment horizontal="center" vertical="center" wrapText="1"/>
    </xf>
    <xf numFmtId="0" fontId="47" fillId="0" borderId="23" xfId="0" applyFont="1" applyBorder="1" applyNumberFormat="1">
      <alignment horizontal="center" vertical="center" wrapText="1"/>
    </xf>
    <xf numFmtId="0" fontId="47" fillId="0" borderId="0" xfId="0" applyFont="1" applyNumberFormat="1">
      <alignment horizontal="center" vertical="center" wrapText="1"/>
    </xf>
    <xf numFmtId="0" fontId="47" fillId="0" borderId="12" xfId="0" applyFont="1" applyBorder="1" applyNumberFormat="1">
      <alignment horizontal="center" vertical="center" wrapText="1"/>
    </xf>
    <xf numFmtId="14" fontId="22" fillId="40" borderId="12" xfId="0" applyFont="1" applyFill="1" applyBorder="1" applyNumberFormat="1">
      <alignment horizontal="left" vertical="center" wrapText="1" indent="1"/>
    </xf>
    <xf numFmtId="49" fontId="22" fillId="34" borderId="12" xfId="0" applyFont="1" applyFill="1" applyBorder="1" applyNumberFormat="1">
      <alignment horizontal="center" vertical="center" wrapText="1"/>
    </xf>
    <xf numFmtId="49" fontId="52" fillId="38" borderId="0" xfId="0" applyFont="1" applyFill="1" applyNumberFormat="1">
      <alignment vertical="top"/>
    </xf>
    <xf numFmtId="49" fontId="52" fillId="0" borderId="0" xfId="0" applyFont="1" applyNumberFormat="1">
      <alignment vertical="top"/>
    </xf>
    <xf numFmtId="0" fontId="36" fillId="0" borderId="24" xfId="0" applyFont="1" applyBorder="1" applyNumberFormat="1">
      <alignment horizontal="center" vertical="center" wrapText="1"/>
    </xf>
    <xf numFmtId="14" fontId="81" fillId="0" borderId="17" xfId="0" applyFont="1" applyBorder="1" applyNumberFormat="1">
      <alignment horizontal="center" vertical="center" wrapText="1"/>
    </xf>
    <xf numFmtId="0" fontId="75" fillId="0" borderId="12" xfId="0" applyFont="1" applyBorder="1" applyNumberFormat="1">
      <alignment horizontal="left" vertical="center" wrapText="1" indent="1"/>
    </xf>
    <xf numFmtId="0" fontId="81" fillId="0" borderId="17" xfId="0" applyFont="1" applyBorder="1" applyNumberFormat="1">
      <alignment horizontal="center" vertical="center" wrapText="1"/>
    </xf>
    <xf numFmtId="49" fontId="22" fillId="0" borderId="12" xfId="0" applyFont="1" applyBorder="1" applyNumberFormat="1">
      <alignment horizontal="center" vertical="center" wrapText="1"/>
    </xf>
    <xf numFmtId="0" fontId="74" fillId="0" borderId="0" xfId="0" applyFont="1" applyNumberFormat="1">
      <alignment vertical="center"/>
    </xf>
    <xf numFmtId="14" fontId="81" fillId="0" borderId="36" xfId="0" applyFont="1" applyBorder="1" applyNumberFormat="1">
      <alignment horizontal="center" vertical="center" wrapText="1"/>
    </xf>
    <xf numFmtId="0" fontId="75" fillId="0" borderId="12" xfId="0" applyFont="1" applyBorder="1" applyNumberFormat="1">
      <alignment horizontal="left" vertical="top" indent="1"/>
    </xf>
    <xf numFmtId="49" fontId="0" fillId="0" borderId="12" xfId="0" applyFont="1" applyBorder="1" applyNumberFormat="1">
      <alignment vertical="top"/>
    </xf>
    <xf numFmtId="0" fontId="36" fillId="0" borderId="12" xfId="0" applyFont="1" applyBorder="1" applyNumberFormat="1">
      <alignment horizontal="center" vertical="center" wrapText="1"/>
    </xf>
    <xf numFmtId="0" fontId="22" fillId="40" borderId="12" xfId="0" applyFont="1" applyFill="1" applyBorder="1" applyNumberFormat="1">
      <alignment horizontal="left" vertical="center" wrapText="1" indent="1"/>
    </xf>
    <xf numFmtId="0" fontId="36" fillId="0" borderId="12" xfId="0" applyFont="1" applyBorder="1" applyNumberFormat="1">
      <alignment horizontal="center" vertical="center" wrapText="1"/>
    </xf>
    <xf numFmtId="49" fontId="22" fillId="0" borderId="13" xfId="0" applyFont="1" applyBorder="1" applyNumberFormat="1">
      <alignment horizontal="center" vertical="center" wrapText="1"/>
    </xf>
    <xf numFmtId="49" fontId="75" fillId="39" borderId="12" xfId="0" applyFont="1" applyFill="1" applyBorder="1" applyNumberFormat="1">
      <alignment horizontal="left" vertical="center" wrapText="1" indent="1"/>
      <protection locked="0"/>
    </xf>
    <xf numFmtId="49" fontId="22" fillId="35" borderId="0" xfId="0" applyFont="1" applyFill="1" applyNumberFormat="1">
      <alignment horizontal="center" vertical="center" wrapText="1"/>
    </xf>
    <xf numFmtId="0" fontId="22" fillId="35" borderId="0" xfId="0" applyFont="1" applyFill="1" applyNumberFormat="1">
      <alignment horizontal="center" vertical="top" wrapText="1"/>
    </xf>
    <xf numFmtId="49" fontId="22" fillId="40" borderId="14" xfId="0" applyFont="1" applyFill="1" applyBorder="1" applyNumberFormat="1">
      <alignment horizontal="left" vertical="center" wrapText="1"/>
    </xf>
    <xf numFmtId="49" fontId="0" fillId="0" borderId="12" xfId="0" applyFont="1" applyBorder="1" applyNumberFormat="1">
      <alignment vertical="top"/>
    </xf>
    <xf numFmtId="0" fontId="0" fillId="0" borderId="12" xfId="0" applyFont="1" applyBorder="1" applyNumberFormat="1">
      <alignment horizontal="center" vertical="center" wrapText="1"/>
    </xf>
    <xf numFmtId="49" fontId="0" fillId="39" borderId="12" xfId="0" applyFont="1" applyFill="1" applyBorder="1" applyNumberFormat="1">
      <alignment horizontal="left" vertical="center" wrapText="1"/>
      <protection locked="0"/>
    </xf>
    <xf numFmtId="49" fontId="22" fillId="0" borderId="0" xfId="0" applyFont="1" applyNumberFormat="1">
      <alignment vertical="top"/>
    </xf>
    <xf numFmtId="0" fontId="37" fillId="35" borderId="0" xfId="0" applyFont="1" applyFill="1" applyNumberFormat="1">
      <alignment vertical="top" wrapText="1"/>
    </xf>
    <xf numFmtId="0" fontId="22" fillId="35" borderId="14" xfId="0" applyFont="1" applyFill="1" applyBorder="1" applyNumberFormat="1">
      <alignment horizontal="center" vertical="center" wrapText="1"/>
    </xf>
    <xf numFmtId="0" fontId="48" fillId="35" borderId="12" xfId="0" applyFont="1" applyFill="1" applyBorder="1" applyNumberFormat="1">
      <alignment horizontal="center" vertical="center" wrapText="1"/>
    </xf>
    <xf numFmtId="14" fontId="22" fillId="40" borderId="29" xfId="0" applyFont="1" applyFill="1" applyBorder="1" applyNumberFormat="1">
      <alignment horizontal="left" vertical="center" wrapText="1"/>
    </xf>
    <xf numFmtId="49" fontId="122" fillId="39" borderId="12" xfId="0" applyFont="1" applyFill="1" applyBorder="1" applyNumberFormat="1">
      <alignment horizontal="left" vertical="center" wrapText="1"/>
      <protection locked="0"/>
    </xf>
    <xf numFmtId="49" fontId="0" fillId="0" borderId="12" xfId="0" applyFont="1" applyBorder="1" applyNumberFormat="1">
      <alignment horizontal="center" vertical="center" wrapText="1"/>
    </xf>
    <xf numFmtId="0" fontId="22" fillId="40" borderId="14" xfId="0" applyFont="1" applyFill="1" applyBorder="1" applyNumberFormat="1">
      <alignment horizontal="left" vertical="center" wrapText="1"/>
    </xf>
    <xf numFmtId="0" fontId="0" fillId="0" borderId="23" xfId="0" applyFont="1" applyBorder="1" applyNumberFormat="1">
      <alignment horizontal="center" vertical="center" wrapText="1"/>
    </xf>
    <xf numFmtId="49" fontId="37" fillId="0" borderId="0" xfId="0" applyFont="1" applyNumberFormat="1">
      <alignment horizontal="center" vertical="center" wrapText="1"/>
    </xf>
    <xf numFmtId="504"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49" fontId="0" fillId="35" borderId="12" xfId="0" applyFont="1" applyFill="1" applyBorder="1" applyNumberFormat="1">
      <alignment horizontal="center" vertical="center" wrapText="1"/>
    </xf>
    <xf numFmtId="0" fontId="0" fillId="39" borderId="14" xfId="0" applyFont="1" applyFill="1" applyBorder="1" applyNumberFormat="1">
      <alignment horizontal="left" vertical="center" wrapText="1" indent="2"/>
      <protection locked="0"/>
    </xf>
    <xf numFmtId="0" fontId="37" fillId="0" borderId="24" xfId="0" applyFont="1" applyBorder="1" applyNumberFormat="1">
      <alignment horizontal="center" vertical="center" wrapText="1"/>
    </xf>
    <xf numFmtId="49" fontId="22" fillId="0" borderId="12" xfId="0" applyFont="1" applyBorder="1" applyNumberFormat="1">
      <alignment horizontal="center" vertical="top" wrapText="1"/>
    </xf>
    <xf numFmtId="0" fontId="0" fillId="34" borderId="12" xfId="0" applyFont="1" applyFill="1" applyBorder="1" applyNumberFormat="1">
      <alignment horizontal="left" vertical="top" wrapText="1" indent="1"/>
    </xf>
    <xf numFmtId="49" fontId="22" fillId="40" borderId="17" xfId="0" applyFont="1" applyFill="1" applyBorder="1" applyNumberFormat="1">
      <alignment horizontal="center" vertical="top" wrapText="1"/>
    </xf>
    <xf numFmtId="504" fontId="0" fillId="39" borderId="12" xfId="0" applyFont="1" applyFill="1" applyBorder="1" applyNumberFormat="1">
      <alignment horizontal="center" vertical="top" wrapText="1"/>
      <protection locked="0"/>
    </xf>
    <xf numFmtId="504" fontId="0" fillId="36"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22" fillId="39" borderId="12" xfId="0" applyFont="1" applyFill="1" applyBorder="1" applyNumberFormat="1">
      <alignment horizontal="left" vertical="top" wrapText="1"/>
      <protection locked="0"/>
    </xf>
    <xf numFmtId="49" fontId="0" fillId="34" borderId="12" xfId="0" applyFont="1" applyFill="1" applyBorder="1" applyNumberFormat="1">
      <alignment horizontal="center" vertical="top" wrapText="1"/>
    </xf>
    <xf numFmtId="0" fontId="22" fillId="34" borderId="12" xfId="0" applyFont="1" applyFill="1" applyBorder="1" applyNumberFormat="1">
      <alignment horizontal="center" vertical="top" wrapText="1"/>
    </xf>
    <xf numFmtId="0" fontId="22" fillId="36" borderId="12" xfId="0" applyFont="1" applyFill="1" applyBorder="1" applyNumberFormat="1">
      <alignment horizontal="left" vertical="top" wrapText="1"/>
      <protection locked="0"/>
    </xf>
    <xf numFmtId="49" fontId="22" fillId="40" borderId="12" xfId="0" applyFont="1" applyFill="1" applyBorder="1" applyNumberFormat="1">
      <alignment horizontal="center" vertical="top" wrapText="1"/>
    </xf>
    <xf numFmtId="0" fontId="22" fillId="0" borderId="36" xfId="0" applyFont="1" applyBorder="1" applyNumberFormat="1">
      <alignment horizontal="center" vertical="center" wrapText="1"/>
    </xf>
    <xf numFmtId="0" fontId="22" fillId="0" borderId="12" xfId="0" applyFont="1" applyBorder="1" applyNumberFormat="1">
      <alignment horizontal="center" vertical="center" wrapText="1"/>
    </xf>
    <xf numFmtId="49" fontId="22" fillId="39" borderId="17" xfId="0" applyFont="1" applyFill="1" applyBorder="1" applyNumberFormat="1">
      <alignment horizontal="left" vertical="center" wrapText="1" indent="1"/>
      <protection locked="0"/>
    </xf>
    <xf numFmtId="0" fontId="22" fillId="0" borderId="24" xfId="0" applyFont="1" applyBorder="1" applyNumberFormat="1">
      <alignment vertical="top" wrapText="1"/>
    </xf>
    <xf numFmtId="49" fontId="22" fillId="40" borderId="23" xfId="0" applyFont="1" applyFill="1" applyBorder="1" applyNumberFormat="1">
      <alignment horizontal="center" vertical="top" wrapText="1"/>
    </xf>
    <xf numFmtId="49" fontId="0" fillId="39"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40" borderId="14" xfId="0" applyFont="1" applyFill="1" applyBorder="1" applyNumberFormat="1">
      <alignment horizontal="center" vertical="top" wrapText="1"/>
    </xf>
    <xf numFmtId="49" fontId="22" fillId="0" borderId="36" xfId="0" applyFont="1" applyBorder="1" applyNumberFormat="1">
      <alignment horizontal="center" vertical="top" wrapText="1"/>
    </xf>
    <xf numFmtId="0" fontId="0" fillId="34" borderId="36" xfId="0" applyFont="1" applyFill="1" applyBorder="1" applyNumberFormat="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pplyNumberFormat="1">
      <alignment horizontal="center" vertical="top" wrapText="1"/>
    </xf>
    <xf numFmtId="0" fontId="22" fillId="36" borderId="36" xfId="0" applyFont="1" applyFill="1" applyBorder="1" applyNumberFormat="1">
      <alignment horizontal="left" vertical="top" wrapText="1"/>
      <protection locked="0"/>
    </xf>
    <xf numFmtId="0" fontId="103" fillId="0" borderId="48" xfId="0" applyFont="1" applyBorder="1" applyNumberFormat="1">
      <alignment horizontal="left" vertical="center" indent="1"/>
    </xf>
    <xf numFmtId="0" fontId="103" fillId="0" borderId="49" xfId="0" applyFont="1" applyBorder="1" applyNumberFormat="1">
      <alignment horizontal="left" vertical="center" indent="1"/>
    </xf>
    <xf numFmtId="0" fontId="0" fillId="0" borderId="49" xfId="0" applyFont="1" applyBorder="1" applyNumberFormat="1">
      <alignment horizontal="left" vertical="center" wrapText="1"/>
    </xf>
    <xf numFmtId="0" fontId="22" fillId="0" borderId="49" xfId="0" applyFont="1" applyBorder="1" applyNumberFormat="1">
      <alignment vertical="center" wrapText="1"/>
    </xf>
    <xf numFmtId="0" fontId="22" fillId="0" borderId="53" xfId="0" applyFont="1" applyBorder="1" applyNumberFormat="1">
      <alignment vertical="center" wrapText="1"/>
    </xf>
    <xf numFmtId="0" fontId="22" fillId="0" borderId="54" xfId="0" applyFont="1" applyBorder="1" applyNumberFormat="1">
      <alignment vertical="center" wrapText="1"/>
    </xf>
    <xf numFmtId="0" fontId="22" fillId="0" borderId="22" xfId="0" applyFont="1" applyBorder="1" applyNumberFormat="1">
      <alignment vertical="center" wrapText="1"/>
    </xf>
    <xf numFmtId="49" fontId="22" fillId="34" borderId="12" xfId="0" applyFont="1" applyFill="1" applyBorder="1" applyNumberFormat="1">
      <alignment horizontal="center" vertical="center" wrapText="1"/>
    </xf>
    <xf numFmtId="49" fontId="22" fillId="0" borderId="13" xfId="0" applyFont="1" applyBorder="1" applyNumberFormat="1">
      <alignment horizontal="center" vertical="center" wrapText="1"/>
    </xf>
    <xf numFmtId="49" fontId="47" fillId="0" borderId="13" xfId="0" applyFont="1" applyBorder="1" applyNumberFormat="1">
      <alignment horizontal="center" vertical="center" wrapText="1"/>
    </xf>
    <xf numFmtId="49" fontId="47" fillId="0" borderId="13" xfId="0" applyFont="1" applyBorder="1" applyNumberFormat="1">
      <alignment horizontal="left" vertical="center" wrapText="1"/>
    </xf>
    <xf numFmtId="49" fontId="47" fillId="0" borderId="12" xfId="0" applyFont="1" applyBorder="1" applyNumberFormat="1">
      <alignment horizontal="left" vertical="center" wrapText="1"/>
    </xf>
    <xf numFmtId="49" fontId="47" fillId="0" borderId="14" xfId="0" applyFont="1" applyBorder="1" applyNumberFormat="1">
      <alignment horizontal="center" vertical="center" wrapText="1"/>
    </xf>
    <xf numFmtId="49" fontId="94" fillId="0" borderId="43" xfId="0" applyFont="1" applyBorder="1" applyNumberFormat="1">
      <alignment horizontal="left" vertical="center" indent="1"/>
    </xf>
    <xf numFmtId="49" fontId="94" fillId="0" borderId="43" xfId="0" applyFont="1" applyBorder="1" applyNumberFormat="1">
      <alignment horizontal="center" vertical="center"/>
    </xf>
    <xf numFmtId="3" fontId="47" fillId="0" borderId="12" xfId="0" applyFont="1" applyBorder="1" applyNumberFormat="1">
      <alignment horizontal="center" vertical="center" wrapText="1"/>
    </xf>
    <xf numFmtId="49" fontId="125" fillId="0" borderId="13" xfId="0" applyFont="1" applyBorder="1" applyNumberFormat="1">
      <alignment horizontal="center" vertical="center" wrapText="1"/>
    </xf>
    <xf numFmtId="0" fontId="94" fillId="0" borderId="12" xfId="0" applyFont="1" applyBorder="1" applyNumberFormat="1">
      <alignment horizontal="center" vertical="center"/>
    </xf>
    <xf numFmtId="49" fontId="47" fillId="0" borderId="17" xfId="0" applyFont="1" applyBorder="1" applyNumberFormat="1">
      <alignment horizontal="left" vertical="center" wrapText="1" indent="1"/>
    </xf>
    <xf numFmtId="49" fontId="47" fillId="0" borderId="12" xfId="0" applyFont="1" applyBorder="1" applyNumberFormat="1">
      <alignment horizontal="left" vertical="center" wrapTex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47" fillId="0" borderId="36" xfId="0" applyFont="1" applyBorder="1" applyNumberFormat="1">
      <alignment horizontal="left" vertical="center" wrapText="1" indent="1"/>
    </xf>
    <xf numFmtId="49" fontId="125" fillId="0" borderId="0" xfId="0" applyFont="1" applyNumberFormat="1">
      <alignment horizontal="center" vertical="top" wrapText="1"/>
    </xf>
    <xf numFmtId="0" fontId="94" fillId="0" borderId="12" xfId="0" applyFont="1" applyBorder="1" applyNumberFormat="1">
      <alignment horizontal="center" vertical="center"/>
    </xf>
    <xf numFmtId="0" fontId="94" fillId="0" borderId="12" xfId="0" applyFont="1" applyBorder="1" applyNumberFormat="1">
      <alignment horizontal="left" vertical="center" wrapText="1" indent="1"/>
    </xf>
    <xf numFmtId="4" fontId="47" fillId="0" borderId="31" xfId="0" applyFont="1" applyBorder="1" applyNumberFormat="1">
      <alignment horizontal="right" vertical="center" wrapText="1"/>
    </xf>
    <xf numFmtId="49" fontId="47" fillId="0" borderId="23" xfId="0" applyFont="1" applyBorder="1" applyNumberFormat="1">
      <alignment horizontal="left" vertical="center" wrapText="1" indent="1"/>
    </xf>
    <xf numFmtId="49" fontId="47"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22" fillId="34" borderId="74" xfId="0" applyFont="1" applyFill="1" applyBorder="1" applyNumberFormat="1">
      <alignment horizontal="center" vertical="center" wrapText="1"/>
    </xf>
    <xf numFmtId="0" fontId="0" fillId="37" borderId="50" xfId="0" applyFont="1" applyFill="1" applyBorder="1" applyNumberFormat="1">
      <alignment horizontal="left" vertical="center"/>
    </xf>
    <xf numFmtId="49" fontId="40" fillId="37" borderId="51" xfId="0" applyFont="1" applyFill="1" applyBorder="1" applyNumberFormat="1">
      <alignment horizontal="left" vertical="center" indent="1"/>
    </xf>
    <xf numFmtId="0" fontId="22" fillId="37" borderId="50" xfId="0" applyFont="1" applyFill="1" applyBorder="1" applyNumberFormat="1">
      <alignment vertical="center" wrapText="1"/>
    </xf>
    <xf numFmtId="0" fontId="22" fillId="37" borderId="51" xfId="0" applyFont="1" applyFill="1" applyBorder="1" applyNumberFormat="1">
      <alignment vertical="center" wrapText="1"/>
    </xf>
    <xf numFmtId="49" fontId="0" fillId="34" borderId="36" xfId="0" applyFont="1" applyFill="1" applyBorder="1" applyNumberFormat="1">
      <alignment vertical="top"/>
    </xf>
    <xf numFmtId="49" fontId="0" fillId="0" borderId="36" xfId="0" applyFont="1" applyBorder="1" applyNumberFormat="1">
      <alignment vertical="top"/>
    </xf>
    <xf numFmtId="49" fontId="22" fillId="40" borderId="17" xfId="0" applyFont="1" applyFill="1" applyBorder="1" applyNumberFormat="1">
      <alignment vertical="center" wrapText="1"/>
    </xf>
    <xf numFmtId="49" fontId="0" fillId="39" borderId="36" xfId="0" applyFont="1" applyFill="1" applyBorder="1" applyNumberFormat="1">
      <alignment vertical="top"/>
      <protection locked="0"/>
    </xf>
    <xf numFmtId="49" fontId="123" fillId="0" borderId="12" xfId="0" applyFont="1" applyBorder="1" applyNumberFormat="1">
      <alignment horizontal="center" vertical="center" wrapText="1"/>
    </xf>
    <xf numFmtId="0" fontId="45" fillId="0" borderId="12" xfId="0" applyFont="1" applyBorder="1" applyNumberFormat="1">
      <alignment horizontal="center" vertical="center"/>
    </xf>
    <xf numFmtId="49" fontId="22" fillId="40" borderId="17"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45" fillId="37" borderId="15" xfId="0" applyFont="1" applyFill="1" applyBorder="1" applyNumberFormat="1">
      <alignment vertical="top" wrapText="1"/>
    </xf>
    <xf numFmtId="49" fontId="0" fillId="39" borderId="17" xfId="0" applyFont="1" applyFill="1" applyBorder="1" applyNumberFormat="1">
      <alignment vertical="top"/>
      <protection locked="0"/>
    </xf>
    <xf numFmtId="14" fontId="22" fillId="40" borderId="36" xfId="0" applyFont="1" applyFill="1" applyBorder="1" applyNumberFormat="1">
      <alignment horizontal="left" vertical="center" wrapText="1" indent="1"/>
    </xf>
    <xf numFmtId="14" fontId="22" fillId="40" borderId="22" xfId="0" applyFont="1" applyFill="1" applyBorder="1" applyNumberFormat="1">
      <alignment horizontal="left" vertical="center" wrapText="1" indent="1"/>
    </xf>
    <xf numFmtId="49" fontId="22" fillId="40" borderId="36" xfId="0" applyFont="1" applyFill="1" applyBorder="1" applyNumberFormat="1">
      <alignment vertical="center" wrapText="1"/>
    </xf>
    <xf numFmtId="49" fontId="22" fillId="40" borderId="36" xfId="0" applyFont="1" applyFill="1" applyBorder="1" applyNumberFormat="1">
      <alignment horizontal="left" vertical="center" wrapText="1" indent="1"/>
    </xf>
    <xf numFmtId="49" fontId="22" fillId="34" borderId="12" xfId="0" applyFont="1" applyFill="1" applyBorder="1" applyNumberFormat="1">
      <alignment horizontal="left" vertical="center" wrapText="1"/>
    </xf>
    <xf numFmtId="49" fontId="123" fillId="0" borderId="0" xfId="0" applyFont="1" applyNumberFormat="1">
      <alignment horizontal="center" vertical="top" wrapText="1"/>
    </xf>
    <xf numFmtId="0" fontId="45" fillId="0" borderId="12" xfId="0" applyFont="1" applyBorder="1" applyNumberFormat="1">
      <alignment horizontal="center" vertical="center"/>
    </xf>
    <xf numFmtId="0" fontId="45" fillId="40" borderId="12" xfId="0" applyFont="1" applyFill="1" applyBorder="1" applyNumberFormat="1">
      <alignment horizontal="left" vertical="center" wrapText="1" indent="1"/>
    </xf>
    <xf numFmtId="4" fontId="22" fillId="39" borderId="31" xfId="0" applyFont="1" applyFill="1" applyBorder="1" applyNumberFormat="1">
      <alignment horizontal="right" vertical="center" wrapText="1"/>
      <protection locked="0"/>
    </xf>
    <xf numFmtId="49" fontId="22" fillId="40" borderId="23" xfId="0" applyFont="1" applyFill="1" applyBorder="1" applyNumberFormat="1">
      <alignment vertical="center" wrapText="1"/>
    </xf>
    <xf numFmtId="49" fontId="22" fillId="40" borderId="23" xfId="0" applyFont="1" applyFill="1" applyBorder="1" applyNumberFormat="1">
      <alignment horizontal="left" vertical="center" wrapText="1" indent="1"/>
    </xf>
    <xf numFmtId="49" fontId="40" fillId="37" borderId="15" xfId="0" applyFont="1" applyFill="1" applyBorder="1" applyNumberFormat="1">
      <alignment horizontal="left" vertical="center" indent="1"/>
    </xf>
    <xf numFmtId="49" fontId="0" fillId="39" borderId="23" xfId="0" applyFont="1" applyFill="1" applyBorder="1" applyNumberFormat="1">
      <alignment vertical="top"/>
      <protection locked="0"/>
    </xf>
    <xf numFmtId="49" fontId="123" fillId="0" borderId="36" xfId="0" applyFont="1" applyBorder="1" applyNumberFormat="1">
      <alignment horizontal="center" vertical="top" wrapText="1"/>
    </xf>
    <xf numFmtId="0" fontId="45" fillId="0" borderId="13" xfId="0" applyFont="1" applyBorder="1" applyNumberFormat="1">
      <alignment horizontal="center" vertical="center"/>
    </xf>
    <xf numFmtId="49" fontId="22" fillId="40" borderId="13" xfId="0" applyFont="1" applyFill="1" applyBorder="1" applyNumberFormat="1">
      <alignment horizontal="left" vertical="center" wrapText="1"/>
    </xf>
    <xf numFmtId="49" fontId="22" fillId="39" borderId="12" xfId="0" applyFont="1" applyFill="1" applyBorder="1" applyNumberFormat="1">
      <alignment horizontal="left" vertical="center" wrapText="1"/>
      <protection locked="0"/>
    </xf>
    <xf numFmtId="49" fontId="105" fillId="37" borderId="42"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3"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0" fontId="45" fillId="0" borderId="13" xfId="0" applyFont="1" applyBorder="1" applyNumberFormat="1">
      <alignment horizontal="center" vertical="center"/>
    </xf>
    <xf numFmtId="49" fontId="45" fillId="37" borderId="13" xfId="0" applyFont="1" applyFill="1" applyBorder="1" applyNumberFormat="1">
      <alignment vertical="top" wrapText="1"/>
    </xf>
    <xf numFmtId="49" fontId="45"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0" fontId="103" fillId="0" borderId="47" xfId="0" applyFont="1" applyBorder="1" applyNumberFormat="1">
      <alignment horizontal="left" vertical="center" indent="1"/>
    </xf>
    <xf numFmtId="49" fontId="22" fillId="0" borderId="55" xfId="0" applyFont="1" applyBorder="1" applyNumberFormat="1">
      <alignment horizontal="center" vertical="center"/>
    </xf>
    <xf numFmtId="0" fontId="22" fillId="0" borderId="55" xfId="0" applyFont="1" applyBorder="1" applyNumberFormat="1">
      <alignment horizontal="right" vertical="center"/>
    </xf>
    <xf numFmtId="0" fontId="22" fillId="0" borderId="55" xfId="0" applyFont="1" applyBorder="1" applyNumberFormat="1">
      <alignment horizontal="center" vertical="center"/>
    </xf>
    <xf numFmtId="0" fontId="22" fillId="0" borderId="15" xfId="0" applyFont="1" applyBorder="1" applyNumberFormat="1">
      <alignment horizontal="right" vertical="center"/>
    </xf>
    <xf numFmtId="0" fontId="22" fillId="0" borderId="13" xfId="0" applyFont="1" applyBorder="1" applyNumberFormat="1">
      <alignment horizontal="right" vertical="center"/>
    </xf>
    <xf numFmtId="49" fontId="0" fillId="0" borderId="0" xfId="0" applyFont="1" applyNumberFormat="1">
      <alignment vertical="top"/>
    </xf>
    <xf numFmtId="0" fontId="22" fillId="35" borderId="12" xfId="0" applyFont="1" applyFill="1" applyBorder="1" applyNumberFormat="1">
      <alignment horizontal="center" vertical="center"/>
    </xf>
    <xf numFmtId="0" fontId="22" fillId="40" borderId="12" xfId="0" applyFont="1" applyFill="1" applyBorder="1" applyNumberFormat="1">
      <alignment horizontal="left" vertical="center" wrapText="1" indent="1"/>
    </xf>
    <xf numFmtId="0" fontId="22" fillId="39" borderId="12" xfId="0" applyFont="1" applyFill="1" applyBorder="1" applyNumberFormat="1">
      <alignment horizontal="left" vertical="center" wrapText="1" indent="1"/>
      <protection locked="0"/>
    </xf>
    <xf numFmtId="49" fontId="22" fillId="36" borderId="12" xfId="0" applyFont="1" applyFill="1" applyBorder="1" applyNumberFormat="1">
      <alignment horizontal="left" vertical="center" indent="1"/>
      <protection locked="0"/>
    </xf>
    <xf numFmtId="0" fontId="22" fillId="41" borderId="12" xfId="0" applyFont="1" applyFill="1" applyBorder="1" applyNumberFormat="1">
      <alignment horizontal="right" vertical="center"/>
    </xf>
    <xf numFmtId="4" fontId="22" fillId="36" borderId="12" xfId="0" applyFont="1" applyFill="1" applyBorder="1" applyNumberFormat="1">
      <alignment horizontal="right" vertical="center"/>
      <protection locked="0"/>
    </xf>
    <xf numFmtId="49" fontId="40" fillId="37" borderId="56"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52" borderId="13" xfId="0" applyFont="1" applyFill="1" applyBorder="1" applyNumberFormat="1">
      <alignment horizontal="left" vertical="center" indent="1"/>
    </xf>
    <xf numFmtId="49" fontId="22" fillId="0" borderId="0" xfId="0" applyFont="1" applyNumberFormat="1">
      <alignment vertical="top"/>
    </xf>
    <xf numFmtId="49" fontId="22" fillId="0" borderId="17" xfId="0" applyFont="1" applyBorder="1" applyNumberFormat="1">
      <alignment horizontal="center" vertical="center" wrapText="1"/>
    </xf>
    <xf numFmtId="49" fontId="22" fillId="0" borderId="36" xfId="0" applyFont="1" applyBorder="1" applyNumberFormat="1">
      <alignment horizontal="center" vertical="center" wrapText="1"/>
    </xf>
    <xf numFmtId="0" fontId="47" fillId="0" borderId="0" xfId="0" applyFont="1" applyNumberFormat="1">
      <alignment horizontal="center" vertical="center" wrapText="1"/>
    </xf>
    <xf numFmtId="0" fontId="22" fillId="0" borderId="12" xfId="0" applyFont="1" applyBorder="1" applyNumberFormat="1">
      <alignment horizontal="left" vertical="center" wrapText="1"/>
    </xf>
    <xf numFmtId="0" fontId="48" fillId="0" borderId="0" xfId="0" applyFont="1" applyNumberFormat="1">
      <alignment horizontal="center" vertical="center" wrapText="1"/>
    </xf>
    <xf numFmtId="0" fontId="40" fillId="0" borderId="12" xfId="0" applyFont="1" applyBorder="1" applyNumberFormat="1">
      <alignment horizontal="left" vertical="center" indent="1"/>
    </xf>
    <xf numFmtId="0" fontId="47" fillId="0" borderId="0" xfId="0" applyFont="1" applyNumberFormat="1">
      <alignment horizontal="center" vertical="top"/>
    </xf>
    <xf numFmtId="49" fontId="22" fillId="0" borderId="23" xfId="0" applyFont="1" applyBorder="1" applyNumberFormat="1">
      <alignment horizontal="center" vertical="center" wrapText="1"/>
    </xf>
    <xf numFmtId="0" fontId="48" fillId="0" borderId="23" xfId="0" applyFont="1" applyBorder="1" applyNumberFormat="1">
      <alignment vertical="center" wrapText="1"/>
    </xf>
    <xf numFmtId="4" fontId="48" fillId="0" borderId="12" xfId="0" applyFont="1" applyBorder="1" applyNumberFormat="1">
      <alignment horizontal="right" vertical="center" wrapText="1"/>
    </xf>
    <xf numFmtId="2" fontId="48" fillId="0" borderId="23" xfId="0" applyFont="1" applyBorder="1" applyNumberFormat="1">
      <alignment horizontal="center" vertical="center" wrapText="1"/>
    </xf>
    <xf numFmtId="0" fontId="48" fillId="0" borderId="0" xfId="0" applyFont="1" applyNumberFormat="1">
      <alignment horizontal="center" vertical="top"/>
    </xf>
    <xf numFmtId="49" fontId="48" fillId="0" borderId="0" xfId="0" applyFont="1" applyNumberFormat="1">
      <alignment vertical="top"/>
    </xf>
    <xf numFmtId="49" fontId="48" fillId="0" borderId="14" xfId="0" applyFont="1" applyBorder="1" applyNumberFormat="1">
      <alignment horizontal="left" vertical="center"/>
    </xf>
    <xf numFmtId="49" fontId="48" fillId="0" borderId="15" xfId="0" applyFont="1" applyBorder="1" applyNumberFormat="1">
      <alignment horizontal="left" vertical="center" indent="1"/>
    </xf>
    <xf numFmtId="49" fontId="48" fillId="0" borderId="15" xfId="0" applyFont="1" applyBorder="1" applyNumberFormat="1">
      <alignment horizontal="left" vertical="center"/>
    </xf>
    <xf numFmtId="49" fontId="48" fillId="0" borderId="13" xfId="0" applyFont="1" applyBorder="1" applyNumberFormat="1">
      <alignment horizontal="left" vertical="center" indent="1"/>
    </xf>
    <xf numFmtId="0" fontId="48" fillId="0" borderId="12" xfId="0" applyFont="1" applyBorder="1" applyNumberFormat="1">
      <alignment horizontal="left" vertical="center" indent="1"/>
    </xf>
    <xf numFmtId="49" fontId="0" fillId="0" borderId="19" xfId="0" applyFont="1" applyBorder="1" applyNumberFormat="1">
      <alignment vertical="top"/>
    </xf>
    <xf numFmtId="49" fontId="37" fillId="0" borderId="17"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0" fillId="0" borderId="13" xfId="0" applyFont="1" applyBorder="1" applyNumberFormat="1">
      <alignment horizontal="center" vertical="center" wrapText="1"/>
    </xf>
    <xf numFmtId="0" fontId="0" fillId="0" borderId="12" xfId="0" applyFont="1" applyBorder="1" applyNumberFormat="1">
      <alignment horizontal="left" vertical="center" wrapText="1"/>
    </xf>
    <xf numFmtId="49" fontId="0" fillId="0" borderId="12" xfId="0" applyFont="1" applyBorder="1" applyNumberFormat="1">
      <alignment horizontal="center" vertical="center"/>
    </xf>
    <xf numFmtId="0" fontId="0" fillId="0" borderId="12" xfId="0" applyFont="1" applyBorder="1" applyNumberFormat="1">
      <alignment horizontal="center" vertical="center" wrapText="1"/>
    </xf>
    <xf numFmtId="4" fontId="0" fillId="34" borderId="12" xfId="0" applyFont="1" applyFill="1" applyBorder="1" applyNumberFormat="1">
      <alignment horizontal="right" vertical="center" wrapText="1"/>
    </xf>
    <xf numFmtId="49" fontId="22" fillId="0" borderId="36" xfId="0" applyFont="1" applyBorder="1" applyNumberFormat="1">
      <alignment horizontal="center" vertical="top" wrapText="1"/>
    </xf>
    <xf numFmtId="0" fontId="0" fillId="39" borderId="12" xfId="0" applyFont="1" applyFill="1" applyBorder="1" applyNumberFormat="1">
      <alignment horizontal="left" vertical="center" wrapText="1"/>
      <protection locked="0"/>
    </xf>
    <xf numFmtId="49" fontId="0" fillId="39" borderId="14" xfId="0" applyFont="1" applyFill="1" applyBorder="1" applyNumberFormat="1">
      <alignment horizontal="left" vertical="center" wrapText="1"/>
      <protection locked="0"/>
    </xf>
    <xf numFmtId="0" fontId="0" fillId="0" borderId="12" xfId="0" applyFont="1" applyBorder="1" applyNumberFormat="1">
      <alignment vertical="center" wrapText="1"/>
    </xf>
    <xf numFmtId="49" fontId="0" fillId="0" borderId="29" xfId="0" applyFont="1" applyBorder="1" applyNumberFormat="1">
      <alignment horizontal="center" vertical="center" wrapText="1"/>
    </xf>
    <xf numFmtId="49" fontId="0" fillId="39"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7" fillId="0" borderId="12" xfId="0" applyFont="1" applyBorder="1" applyNumberFormat="1">
      <alignment horizontal="right" vertical="center" wrapText="1"/>
    </xf>
    <xf numFmtId="49" fontId="0" fillId="39" borderId="12" xfId="0" applyFont="1" applyFill="1" applyBorder="1" applyNumberFormat="1">
      <alignment horizontal="left" vertical="center" wrapText="1"/>
      <protection locked="0"/>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40" fillId="37" borderId="15" xfId="0" applyFont="1" applyFill="1" applyBorder="1" applyNumberFormat="1">
      <alignment horizontal="left" vertical="center"/>
    </xf>
    <xf numFmtId="49" fontId="40" fillId="37" borderId="13" xfId="0" applyFont="1" applyFill="1" applyBorder="1" applyNumberFormat="1">
      <alignment horizontal="left" vertical="center" indent="1"/>
    </xf>
    <xf numFmtId="49" fontId="22" fillId="0" borderId="23" xfId="0" applyFont="1" applyBorder="1" applyNumberFormat="1">
      <alignment horizontal="center" vertical="top" wrapText="1"/>
    </xf>
    <xf numFmtId="49" fontId="22" fillId="39" borderId="12" xfId="0" applyFont="1" applyFill="1" applyBorder="1" applyNumberFormat="1">
      <alignment horizontal="left" vertical="center" wrapText="1" indent="1"/>
      <protection locked="0"/>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37" fillId="0" borderId="0" xfId="0" applyFont="1" applyNumberFormat="1">
      <alignment horizontal="center" vertical="center" wrapText="1"/>
    </xf>
    <xf numFmtId="0" fontId="0" fillId="0" borderId="12" xfId="0" applyFont="1" applyBorder="1" applyNumberFormat="1">
      <alignment horizontal="center" vertical="center"/>
    </xf>
    <xf numFmtId="0" fontId="22" fillId="40" borderId="12" xfId="0" applyFont="1" applyFill="1" applyBorder="1" applyNumberFormat="1">
      <alignment horizontal="left" vertical="top" wrapText="1"/>
    </xf>
    <xf numFmtId="49" fontId="22" fillId="36" borderId="12" xfId="0" applyFont="1" applyFill="1" applyBorder="1" applyNumberFormat="1">
      <alignment horizontal="left" vertical="center" wrapText="1"/>
      <protection locked="0"/>
    </xf>
    <xf numFmtId="0" fontId="0" fillId="40" borderId="12" xfId="0" applyFont="1" applyFill="1" applyBorder="1" applyNumberFormat="1">
      <alignment horizontal="left" vertical="center" wrapText="1"/>
    </xf>
    <xf numFmtId="49" fontId="0" fillId="39" borderId="12" xfId="0" applyFont="1" applyFill="1" applyBorder="1" applyNumberFormat="1">
      <alignment horizontal="left" vertical="center" wrapText="1"/>
      <protection locked="0"/>
    </xf>
    <xf numFmtId="49" fontId="22" fillId="0" borderId="12" xfId="0" applyFont="1" applyBorder="1" applyNumberFormat="1">
      <alignment horizontal="center" vertical="center" wrapText="1"/>
    </xf>
    <xf numFmtId="49" fontId="0" fillId="39"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0" fontId="0" fillId="0" borderId="0" xfId="0" applyFont="1" applyNumberFormat="1">
      <alignment horizontal="left" vertical="center" indent="1"/>
    </xf>
    <xf numFmtId="0" fontId="0" fillId="0" borderId="0" xfId="0" applyFont="1" applyNumberFormat="1">
      <alignment vertical="center"/>
    </xf>
    <xf numFmtId="0" fontId="40" fillId="37" borderId="14"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3" xfId="0" applyFont="1" applyFill="1" applyBorder="1" applyNumberFormat="1">
      <alignment horizontal="left" vertical="center"/>
    </xf>
    <xf numFmtId="49" fontId="0" fillId="0" borderId="12" xfId="0" applyFont="1" applyBorder="1" applyNumberFormat="1">
      <alignment vertical="top"/>
    </xf>
    <xf numFmtId="49" fontId="0" fillId="0" borderId="12" xfId="0" applyFont="1" applyBorder="1" applyNumberFormat="1">
      <alignment horizontal="left" vertical="top"/>
    </xf>
    <xf numFmtId="49" fontId="0" fillId="40" borderId="12" xfId="0" applyFont="1" applyFill="1" applyBorder="1" applyNumberFormat="1">
      <alignment horizontal="left" vertical="top"/>
    </xf>
    <xf numFmtId="49" fontId="0" fillId="36" borderId="12" xfId="0" applyFont="1" applyFill="1" applyBorder="1" applyNumberFormat="1">
      <alignment horizontal="left" vertical="top"/>
      <protection locked="0"/>
    </xf>
    <xf numFmtId="49" fontId="0" fillId="40" borderId="12" xfId="0" applyFont="1" applyFill="1" applyBorder="1" applyNumberFormat="1">
      <alignment horizontal="left" vertical="center" wrapText="1"/>
    </xf>
    <xf numFmtId="0" fontId="0" fillId="37" borderId="15" xfId="0" applyFont="1" applyFill="1" applyBorder="1" applyNumberFormat="1">
      <alignment vertical="center"/>
    </xf>
    <xf numFmtId="49" fontId="0" fillId="0" borderId="36" xfId="0" applyFont="1" applyBorder="1" applyNumberFormat="1">
      <alignment horizontal="left" vertical="top"/>
    </xf>
    <xf numFmtId="0" fontId="22" fillId="40" borderId="36" xfId="0" applyFont="1" applyFill="1" applyBorder="1" applyNumberFormat="1">
      <alignment horizontal="center" vertical="top" wrapText="1"/>
    </xf>
    <xf numFmtId="49" fontId="0" fillId="40" borderId="36" xfId="0" applyFont="1" applyFill="1" applyBorder="1" applyNumberFormat="1">
      <alignment horizontal="left" vertical="top"/>
    </xf>
    <xf numFmtId="49" fontId="0" fillId="36" borderId="36" xfId="0" applyFont="1" applyFill="1" applyBorder="1" applyNumberFormat="1">
      <alignment horizontal="left" vertical="top"/>
      <protection locked="0"/>
    </xf>
    <xf numFmtId="49" fontId="22" fillId="40" borderId="0" xfId="0" applyFont="1" applyFill="1" applyNumberFormat="1">
      <alignment horizontal="center" vertical="center" wrapText="1"/>
    </xf>
    <xf numFmtId="0" fontId="40" fillId="0" borderId="36" xfId="0" applyFont="1" applyBorder="1" applyNumberFormat="1">
      <alignment horizontal="left" vertical="center"/>
    </xf>
    <xf numFmtId="49" fontId="0" fillId="40" borderId="36" xfId="0" applyFont="1" applyFill="1" applyBorder="1" applyNumberFormat="1">
      <alignment horizontal="left" vertical="center" wrapText="1"/>
    </xf>
    <xf numFmtId="49" fontId="22" fillId="40" borderId="36" xfId="0" applyFont="1" applyFill="1" applyBorder="1" applyNumberFormat="1">
      <alignment horizontal="center" vertical="center" wrapText="1"/>
    </xf>
    <xf numFmtId="0" fontId="40" fillId="36" borderId="36" xfId="0" applyFont="1" applyFill="1" applyBorder="1" applyNumberFormat="1">
      <alignment horizontal="left" vertical="center"/>
      <protection locked="0"/>
    </xf>
    <xf numFmtId="0" fontId="40" fillId="39" borderId="36" xfId="0" applyFont="1" applyFill="1" applyBorder="1" applyNumberFormat="1">
      <alignment horizontal="left" vertical="center"/>
      <protection locked="0"/>
    </xf>
    <xf numFmtId="49" fontId="48" fillId="0" borderId="12" xfId="0" applyFont="1" applyBorder="1" applyNumberFormat="1">
      <alignment horizontal="center" vertical="center" wrapText="1"/>
    </xf>
    <xf numFmtId="49" fontId="48" fillId="0" borderId="14" xfId="0" applyFont="1" applyBorder="1" applyNumberFormat="1">
      <alignment horizontal="left" vertical="center" wrapText="1"/>
    </xf>
    <xf numFmtId="0" fontId="48" fillId="0" borderId="14" xfId="0" applyFont="1" applyBorder="1" applyNumberFormat="1">
      <alignment horizontal="left" vertical="center"/>
    </xf>
    <xf numFmtId="0" fontId="48" fillId="0" borderId="15" xfId="0" applyFont="1" applyBorder="1" applyNumberFormat="1">
      <alignment horizontal="left" vertical="center"/>
    </xf>
    <xf numFmtId="0" fontId="40" fillId="37" borderId="29" xfId="0" applyFont="1" applyFill="1" applyBorder="1" applyNumberFormat="1">
      <alignment horizontal="left" vertical="center"/>
    </xf>
    <xf numFmtId="49" fontId="0" fillId="0" borderId="0" xfId="0" applyFont="1" applyNumberFormat="1">
      <alignment vertical="top"/>
    </xf>
    <xf numFmtId="49" fontId="0" fillId="36" borderId="36" xfId="0" applyFont="1" applyFill="1" applyBorder="1" applyNumberFormat="1">
      <alignment vertical="top"/>
      <protection locked="0"/>
    </xf>
    <xf numFmtId="0" fontId="0" fillId="0" borderId="0" xfId="0" applyFont="1" applyNumberFormat="1">
      <alignment vertical="center"/>
    </xf>
    <xf numFmtId="0" fontId="0" fillId="0" borderId="12" xfId="0" applyFont="1" applyBorder="1" applyNumberFormat="1">
      <alignment horizontal="center" vertical="center"/>
    </xf>
    <xf numFmtId="0" fontId="0" fillId="0" borderId="37" xfId="0" applyFont="1" applyBorder="1" applyNumberFormat="1">
      <alignment horizontal="center" vertical="center"/>
    </xf>
    <xf numFmtId="0" fontId="0" fillId="0" borderId="19" xfId="0" applyFont="1" applyBorder="1" applyNumberFormat="1">
      <alignment horizontal="center" vertical="center"/>
    </xf>
    <xf numFmtId="0" fontId="0" fillId="0" borderId="19" xfId="0" applyFont="1" applyBorder="1" applyNumberFormat="1">
      <alignment horizontal="left"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0" fillId="0" borderId="22" xfId="0" applyFont="1" applyBorder="1" applyNumberFormat="1">
      <alignment horizontal="center" vertical="center"/>
    </xf>
    <xf numFmtId="0" fontId="0" fillId="0" borderId="0" xfId="0" applyFont="1" applyNumberFormat="1">
      <alignment horizontal="center" vertical="center"/>
    </xf>
    <xf numFmtId="0" fontId="0" fillId="0" borderId="0" xfId="0" applyFont="1" applyNumberFormat="1">
      <alignment horizontal="left" vertical="center" wrapText="1"/>
    </xf>
    <xf numFmtId="49" fontId="0" fillId="0" borderId="0" xfId="0" applyFont="1" applyNumberFormat="1">
      <alignment horizontal="left" vertical="center" wrapText="1"/>
    </xf>
    <xf numFmtId="49" fontId="0" fillId="0" borderId="0" xfId="0" applyFont="1" applyNumberFormat="1">
      <alignment horizontal="left" vertical="top"/>
    </xf>
    <xf numFmtId="49" fontId="22" fillId="0" borderId="0" xfId="0" applyFont="1" applyNumberFormat="1">
      <alignment horizontal="center" vertical="center" wrapText="1"/>
    </xf>
    <xf numFmtId="0" fontId="0" fillId="0" borderId="0" xfId="0" applyFont="1" applyNumberFormat="1">
      <alignment vertical="center"/>
    </xf>
    <xf numFmtId="0" fontId="0" fillId="0" borderId="27" xfId="0" applyFont="1" applyBorder="1" applyNumberFormat="1">
      <alignment vertical="center"/>
    </xf>
    <xf numFmtId="49" fontId="22" fillId="0" borderId="36" xfId="0" applyFont="1" applyBorder="1" applyNumberFormat="1">
      <alignment horizontal="center" vertical="center"/>
    </xf>
    <xf numFmtId="49" fontId="22" fillId="0" borderId="36" xfId="0" applyFont="1" applyBorder="1" applyNumberFormat="1">
      <alignment vertical="center" wrapText="1"/>
    </xf>
    <xf numFmtId="0" fontId="22" fillId="0" borderId="24" xfId="0" applyFont="1" applyBorder="1" applyNumberFormat="1">
      <alignment horizontal="center" vertical="center"/>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37" fillId="0" borderId="36" xfId="0" applyFont="1" applyBorder="1" applyNumberFormat="1">
      <alignment vertical="center" wrapText="1"/>
    </xf>
    <xf numFmtId="0" fontId="22" fillId="40" borderId="17" xfId="0" applyFont="1" applyFill="1" applyBorder="1" applyNumberFormat="1">
      <alignment horizontal="left" vertical="center" wrapText="1"/>
    </xf>
    <xf numFmtId="49" fontId="22" fillId="0" borderId="17" xfId="0" applyFont="1" applyBorder="1" applyNumberFormat="1">
      <alignment horizontal="center" vertical="center" wrapText="1"/>
    </xf>
    <xf numFmtId="49" fontId="22" fillId="40" borderId="17" xfId="0" applyFont="1" applyFill="1" applyBorder="1" applyNumberFormat="1">
      <alignment horizontal="left" vertical="center" wrapText="1"/>
    </xf>
    <xf numFmtId="0" fontId="22" fillId="0" borderId="17" xfId="0" applyFont="1" applyBorder="1" applyNumberFormat="1">
      <alignment horizontal="left" vertical="center" wrapText="1"/>
    </xf>
    <xf numFmtId="49" fontId="22" fillId="0" borderId="17" xfId="0" applyFont="1" applyBorder="1" applyNumberFormat="1">
      <alignment horizontal="center" vertical="center" wrapText="1"/>
    </xf>
    <xf numFmtId="49" fontId="22" fillId="40" borderId="17" xfId="0" applyFont="1" applyFill="1" applyBorder="1" applyNumberFormat="1">
      <alignment vertical="center" wrapText="1"/>
    </xf>
    <xf numFmtId="0" fontId="22" fillId="0" borderId="36" xfId="0" applyFont="1" applyBorder="1" applyNumberFormat="1">
      <alignment horizontal="left" vertical="center" wrapText="1"/>
    </xf>
    <xf numFmtId="49" fontId="22" fillId="0" borderId="36" xfId="0" applyFont="1" applyBorder="1" applyNumberFormat="1">
      <alignment horizontal="left" vertical="center" wrapText="1"/>
    </xf>
    <xf numFmtId="0" fontId="22" fillId="40" borderId="36" xfId="0" applyFont="1" applyFill="1" applyBorder="1" applyNumberFormat="1">
      <alignment horizontal="left" vertical="center" wrapText="1"/>
    </xf>
    <xf numFmtId="49" fontId="22" fillId="0" borderId="36" xfId="0" applyFont="1" applyBorder="1" applyNumberFormat="1">
      <alignment horizontal="center" vertical="center" wrapText="1"/>
    </xf>
    <xf numFmtId="0" fontId="22" fillId="0" borderId="23" xfId="0" applyFont="1" applyBorder="1" applyNumberFormat="1">
      <alignment horizontal="left" vertical="center" wrapText="1"/>
    </xf>
    <xf numFmtId="0" fontId="40" fillId="0" borderId="23" xfId="0" applyFont="1" applyBorder="1" applyNumberFormat="1">
      <alignment horizontal="left" vertical="center"/>
    </xf>
    <xf numFmtId="0" fontId="40" fillId="37" borderId="14"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3" xfId="0" applyFont="1" applyFill="1" applyBorder="1" applyNumberFormat="1">
      <alignment horizontal="left" vertical="center"/>
    </xf>
    <xf numFmtId="49" fontId="22" fillId="0" borderId="36" xfId="0" applyFont="1" applyBorder="1" applyNumberFormat="1">
      <alignment horizontal="center" vertical="center" wrapText="1"/>
    </xf>
    <xf numFmtId="0" fontId="40" fillId="37" borderId="37" xfId="0" applyFont="1" applyFill="1" applyBorder="1" applyNumberFormat="1">
      <alignment horizontal="left" vertical="center"/>
    </xf>
    <xf numFmtId="0" fontId="40" fillId="37" borderId="19" xfId="0" applyFont="1" applyFill="1" applyBorder="1" applyNumberFormat="1">
      <alignment horizontal="left" vertical="center"/>
    </xf>
    <xf numFmtId="0" fontId="40" fillId="37" borderId="20" xfId="0" applyFont="1" applyFill="1" applyBorder="1" applyNumberFormat="1">
      <alignment horizontal="left" vertical="center"/>
    </xf>
    <xf numFmtId="49" fontId="22" fillId="39" borderId="17" xfId="0" applyFont="1" applyFill="1" applyBorder="1" applyNumberFormat="1">
      <alignment horizontal="left" vertical="center" wrapText="1"/>
      <protection locked="0"/>
    </xf>
    <xf numFmtId="49" fontId="37" fillId="0" borderId="36" xfId="0" applyFont="1" applyBorder="1" applyNumberFormat="1">
      <alignment horizontal="center" vertical="center" wrapText="1"/>
    </xf>
    <xf numFmtId="0" fontId="40" fillId="37" borderId="37" xfId="0" applyFont="1" applyFill="1" applyBorder="1" applyNumberFormat="1">
      <alignment vertical="center"/>
    </xf>
    <xf numFmtId="0" fontId="40" fillId="0" borderId="36" xfId="0" applyFont="1" applyBorder="1" applyNumberFormat="1">
      <alignment horizontal="left" vertical="center"/>
    </xf>
    <xf numFmtId="49" fontId="22" fillId="36" borderId="17" xfId="0" applyFont="1" applyFill="1" applyBorder="1" applyNumberFormat="1">
      <alignment horizontal="left" vertical="center" wrapText="1"/>
      <protection locked="0"/>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0" borderId="19" xfId="0" applyFont="1" applyBorder="1" applyNumberFormat="1">
      <alignment horizontal="left" vertical="center" wrapText="1"/>
    </xf>
    <xf numFmtId="49" fontId="22" fillId="0" borderId="19" xfId="0" applyFont="1" applyBorder="1" applyNumberFormat="1">
      <alignment horizontal="left" vertical="center" wrapText="1"/>
    </xf>
    <xf numFmtId="49" fontId="37" fillId="0" borderId="19" xfId="0" applyFont="1" applyBorder="1" applyNumberFormat="1">
      <alignment vertical="center" wrapText="1"/>
    </xf>
    <xf numFmtId="49" fontId="22" fillId="0" borderId="0" xfId="0" applyFont="1" applyNumberFormat="1">
      <alignment horizontal="left" vertical="center" wrapText="1"/>
    </xf>
    <xf numFmtId="49" fontId="37" fillId="0" borderId="0" xfId="0" applyFont="1" applyNumberFormat="1">
      <alignment vertical="center" wrapText="1"/>
    </xf>
    <xf numFmtId="0" fontId="40" fillId="0" borderId="0" xfId="0" applyFont="1" applyNumberFormat="1">
      <alignment horizontal="left" vertical="center"/>
    </xf>
    <xf numFmtId="49" fontId="37" fillId="0" borderId="0" xfId="0" applyFont="1" applyNumberFormat="1">
      <alignment horizontal="center" vertical="center" wrapText="1"/>
    </xf>
    <xf numFmtId="49" fontId="95" fillId="0" borderId="12" xfId="0" applyFont="1" applyBorder="1" applyNumberFormat="1">
      <alignment vertical="top" wrapText="1"/>
    </xf>
    <xf numFmtId="49" fontId="91" fillId="0" borderId="12" xfId="0" applyFont="1" applyBorder="1" applyNumberFormat="1">
      <alignment horizontal="center" vertical="top" wrapText="1"/>
    </xf>
    <xf numFmtId="49" fontId="91" fillId="41" borderId="12" xfId="0" applyFont="1" applyFill="1" applyBorder="1" applyNumberFormat="1">
      <alignment horizontal="center" vertical="top"/>
    </xf>
    <xf numFmtId="49" fontId="91" fillId="0" borderId="12" xfId="0" applyFont="1" applyBorder="1" applyNumberFormat="1">
      <alignment vertical="top" wrapText="1"/>
    </xf>
    <xf numFmtId="0" fontId="91" fillId="0" borderId="12" xfId="0" applyFont="1" applyBorder="1" applyNumberFormat="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0" fontId="95" fillId="0" borderId="12" xfId="0" applyFont="1" applyBorder="1" applyNumberFormat="1">
      <alignment vertical="top" wrapText="1"/>
    </xf>
    <xf numFmtId="49" fontId="95" fillId="0" borderId="0" xfId="0" applyFont="1" applyNumberFormat="1">
      <alignment vertical="top" wrapText="1"/>
    </xf>
    <xf numFmtId="49" fontId="95" fillId="0" borderId="0" xfId="0" applyFont="1" applyNumberFormat="1">
      <alignment vertical="top"/>
    </xf>
    <xf numFmtId="49" fontId="95" fillId="0" borderId="0" xfId="0" applyFont="1" applyNumberFormat="1">
      <alignment horizontal="center" vertical="top" wrapText="1"/>
    </xf>
    <xf numFmtId="49" fontId="95" fillId="0" borderId="12" xfId="0" applyFont="1" applyBorder="1" applyNumberFormat="1">
      <alignment horizontal="center" vertical="top" wrapText="1"/>
    </xf>
    <xf numFmtId="49" fontId="95" fillId="0" borderId="12" xfId="0" applyFont="1" applyBorder="1" applyNumberFormat="1">
      <alignment horizontal="center" vertical="top" wrapText="1"/>
    </xf>
    <xf numFmtId="49" fontId="95" fillId="41" borderId="12" xfId="0" applyFont="1" applyFill="1" applyBorder="1" applyNumberFormat="1">
      <alignment horizontal="center" vertical="top" wrapText="1"/>
    </xf>
    <xf numFmtId="49" fontId="91" fillId="41" borderId="12" xfId="0" applyFont="1" applyFill="1" applyBorder="1" applyNumberFormat="1">
      <alignment horizontal="center" vertical="top" wrapText="1"/>
    </xf>
    <xf numFmtId="49" fontId="95" fillId="0" borderId="12" xfId="0" applyFont="1" applyBorder="1" applyNumberFormat="1">
      <alignment horizontal="left" vertical="top" wrapText="1"/>
    </xf>
    <xf numFmtId="0" fontId="91" fillId="41" borderId="12" xfId="0" applyFont="1" applyFill="1" applyBorder="1" applyNumberFormat="1">
      <alignment horizontal="center" vertical="top" wrapText="1"/>
    </xf>
    <xf numFmtId="0" fontId="95" fillId="41" borderId="12" xfId="0" applyFont="1" applyFill="1" applyBorder="1" applyNumberFormat="1">
      <alignment horizontal="right" vertical="center"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0" fontId="95" fillId="0" borderId="12" xfId="0" applyFont="1" applyBorder="1" applyNumberFormat="1">
      <alignment horizontal="left" vertical="top" wrapText="1"/>
    </xf>
    <xf numFmtId="49" fontId="95" fillId="41" borderId="12" xfId="0" applyFont="1" applyFill="1" applyBorder="1" applyNumberFormat="1">
      <alignment horizontal="left" vertical="top" wrapText="1"/>
    </xf>
    <xf numFmtId="0" fontId="95" fillId="41" borderId="12" xfId="0" applyFont="1" applyFill="1" applyBorder="1" applyNumberFormat="1">
      <alignment horizontal="center" vertical="center" wrapText="1"/>
    </xf>
    <xf numFmtId="0" fontId="95" fillId="41" borderId="12" xfId="0" applyFont="1" applyFill="1" applyBorder="1" applyNumberFormat="1">
      <alignment horizontal="center" vertical="center"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17" xfId="0" applyFont="1" applyBorder="1" applyNumberFormat="1">
      <alignment horizontal="center" vertical="top" wrapText="1"/>
    </xf>
    <xf numFmtId="0" fontId="95" fillId="0" borderId="17" xfId="0" applyFont="1" applyBorder="1" applyNumberFormat="1">
      <alignment horizontal="left" vertical="top" wrapText="1"/>
    </xf>
    <xf numFmtId="49" fontId="95" fillId="0" borderId="37" xfId="0" applyFont="1" applyBorder="1" applyNumberFormat="1">
      <alignment horizontal="center" vertical="top" wrapText="1"/>
    </xf>
    <xf numFmtId="49" fontId="95" fillId="0" borderId="37" xfId="0" applyFont="1" applyBorder="1" applyNumberFormat="1">
      <alignment horizontal="center" vertical="top" wrapText="1"/>
    </xf>
    <xf numFmtId="0" fontId="95" fillId="0" borderId="13" xfId="0" applyFont="1" applyBorder="1" applyNumberFormat="1">
      <alignment horizontal="left" vertical="top" wrapText="1"/>
    </xf>
    <xf numFmtId="49" fontId="95" fillId="0" borderId="23"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22" xfId="0" applyFont="1" applyBorder="1" applyNumberFormat="1">
      <alignment horizontal="center" vertical="top" wrapText="1"/>
    </xf>
    <xf numFmtId="0" fontId="95" fillId="0" borderId="17" xfId="0" applyFont="1" applyBorder="1" applyNumberFormat="1">
      <alignment vertical="top" wrapText="1"/>
    </xf>
    <xf numFmtId="49" fontId="91" fillId="0" borderId="12" xfId="0" applyFont="1" applyBorder="1" applyNumberFormat="1">
      <alignment horizontal="left" vertical="top" wrapText="1"/>
    </xf>
    <xf numFmtId="0" fontId="91" fillId="0" borderId="14" xfId="0" applyFont="1" applyBorder="1" applyNumberFormat="1">
      <alignment horizontal="center" vertical="center" wrapText="1"/>
    </xf>
    <xf numFmtId="0" fontId="91" fillId="0" borderId="14" xfId="0" applyFont="1" applyBorder="1" applyNumberFormat="1">
      <alignment horizontal="center" vertical="center"/>
    </xf>
    <xf numFmtId="49" fontId="91" fillId="0" borderId="12" xfId="0" applyFont="1" applyBorder="1" applyNumberFormat="1">
      <alignment horizontal="center" vertical="center" wrapText="1"/>
    </xf>
    <xf numFmtId="0" fontId="91" fillId="0" borderId="12" xfId="0" applyFont="1" applyBorder="1" applyNumberFormat="1">
      <alignment vertical="center" wrapText="1"/>
    </xf>
    <xf numFmtId="49" fontId="95" fillId="0" borderId="14" xfId="0" applyFont="1" applyBorder="1" applyNumberFormat="1">
      <alignment horizontal="left" vertical="top" wrapText="1"/>
    </xf>
    <xf numFmtId="0" fontId="91" fillId="0" borderId="12" xfId="0" applyFont="1" applyBorder="1" applyNumberFormat="1">
      <alignment horizontal="center" vertical="center" wrapText="1"/>
    </xf>
    <xf numFmtId="0" fontId="91" fillId="0" borderId="17" xfId="0" applyFont="1" applyBorder="1" applyNumberFormat="1">
      <alignment vertical="center" wrapText="1"/>
    </xf>
    <xf numFmtId="0" fontId="91" fillId="0" borderId="23" xfId="0" applyFont="1" applyBorder="1" applyNumberFormat="1">
      <alignment vertical="center" wrapText="1"/>
    </xf>
    <xf numFmtId="49" fontId="95" fillId="0" borderId="30" xfId="0" applyFont="1" applyBorder="1" applyNumberFormat="1">
      <alignment horizontal="left" vertical="top" wrapText="1"/>
    </xf>
    <xf numFmtId="49" fontId="95" fillId="0" borderId="13" xfId="0" applyFont="1" applyBorder="1" applyNumberFormat="1">
      <alignment horizontal="left" vertical="top"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pplyNumberFormat="1">
      <alignment horizontal="center" vertical="center" wrapText="1"/>
    </xf>
    <xf numFmtId="49" fontId="95" fillId="0" borderId="36" xfId="0" applyFont="1" applyBorder="1" applyNumberFormat="1">
      <alignment horizontal="left" vertical="top" wrapText="1"/>
    </xf>
    <xf numFmtId="0" fontId="95" fillId="0" borderId="36" xfId="0" applyFont="1" applyBorder="1" applyNumberFormat="1">
      <alignment horizontal="left" vertical="top" wrapText="1"/>
    </xf>
    <xf numFmtId="49" fontId="95" fillId="0" borderId="0" xfId="0" applyFont="1" applyNumberFormat="1">
      <alignment horizontal="left" vertical="top" wrapText="1"/>
    </xf>
    <xf numFmtId="49" fontId="95" fillId="41" borderId="0" xfId="0" applyFont="1" applyFill="1" applyNumberFormat="1">
      <alignment horizontal="left" vertical="top" wrapText="1"/>
    </xf>
    <xf numFmtId="0" fontId="95" fillId="0" borderId="0" xfId="0" applyFont="1" applyNumberFormat="1">
      <alignment vertical="top" wrapText="1"/>
    </xf>
    <xf numFmtId="0" fontId="46" fillId="0" borderId="19" xfId="0" applyFont="1" applyBorder="1" applyNumberFormat="1">
      <alignment horizontal="left" vertical="center" wrapText="1" indent="1"/>
    </xf>
    <xf numFmtId="0" fontId="46" fillId="0" borderId="27" xfId="0" applyFont="1" applyBorder="1" applyNumberFormat="1">
      <alignment horizontal="left" vertical="center" wrapText="1" indent="1"/>
    </xf>
    <xf numFmtId="0" fontId="0" fillId="0" borderId="0" xfId="0" applyFont="1" applyNumberFormat="1">
      <alignment horizontal="left" vertical="center"/>
    </xf>
    <xf numFmtId="0" fontId="0" fillId="35" borderId="12" xfId="0" applyFont="1" applyFill="1" applyBorder="1" applyNumberFormat="1">
      <alignment horizontal="right" vertical="center" wrapText="1" indent="1"/>
    </xf>
    <xf numFmtId="0" fontId="0" fillId="0" borderId="14" xfId="0" applyFont="1" applyBorder="1" applyNumberFormat="1">
      <alignment vertical="center"/>
    </xf>
    <xf numFmtId="0" fontId="22" fillId="0" borderId="0" xfId="0" applyFont="1" applyNumberFormat="1">
      <alignment horizontal="left" vertical="center" wrapText="1"/>
    </xf>
    <xf numFmtId="0" fontId="22" fillId="0" borderId="0" xfId="0" applyFont="1" applyNumberFormat="1">
      <alignment horizontal="right" vertical="center" wrapText="1"/>
    </xf>
    <xf numFmtId="0" fontId="22" fillId="0" borderId="0" xfId="0" applyFont="1" applyNumberFormat="1">
      <alignment horizontal="right" vertical="center" wrapText="1"/>
    </xf>
    <xf numFmtId="0" fontId="0" fillId="0" borderId="12" xfId="0" applyFont="1" applyBorder="1" applyNumberFormat="1">
      <alignment horizontal="center" vertical="center" wrapText="1"/>
    </xf>
    <xf numFmtId="0" fontId="80" fillId="35" borderId="19" xfId="0" applyFont="1" applyFill="1" applyBorder="1" applyNumberFormat="1">
      <alignment horizontal="center" vertical="center" wrapText="1"/>
    </xf>
    <xf numFmtId="0" fontId="22" fillId="35" borderId="12" xfId="0" applyFont="1" applyFill="1" applyBorder="1" applyNumberFormat="1">
      <alignment horizontal="left" vertical="center" wrapText="1"/>
    </xf>
    <xf numFmtId="4" fontId="22" fillId="34" borderId="12" xfId="0" applyFont="1" applyFill="1" applyBorder="1" applyNumberFormat="1">
      <alignment horizontal="left" vertical="center" wrapText="1"/>
    </xf>
    <xf numFmtId="0" fontId="22" fillId="0" borderId="0" xfId="0" applyFont="1" applyNumberFormat="1">
      <alignment horizontal="center" vertical="center" wrapText="1"/>
    </xf>
    <xf numFmtId="0" fontId="47" fillId="0" borderId="0" xfId="0" applyFont="1" applyNumberFormat="1">
      <alignment horizontal="center" vertical="center" wrapText="1"/>
    </xf>
    <xf numFmtId="0" fontId="48" fillId="0" borderId="0" xfId="0" applyFont="1" applyNumberFormat="1">
      <alignment horizontal="center" vertical="center" wrapText="1"/>
    </xf>
    <xf numFmtId="504" fontId="0" fillId="39" borderId="12" xfId="0" applyFont="1" applyFill="1" applyBorder="1" applyNumberFormat="1">
      <alignment horizontal="center" vertical="center" wrapText="1"/>
      <protection locked="0"/>
    </xf>
    <xf numFmtId="49" fontId="22" fillId="0" borderId="12" xfId="0" applyFont="1" applyBorder="1" applyNumberFormat="1">
      <alignment horizontal="left" vertical="center" wrapText="1"/>
    </xf>
    <xf numFmtId="49" fontId="101" fillId="37" borderId="14" xfId="0" applyFont="1" applyFill="1" applyBorder="1" applyNumberFormat="1">
      <alignment horizontal="left" vertical="center"/>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47" fillId="0" borderId="0" xfId="0" applyFont="1" applyNumberFormat="1">
      <alignment horizontal="left" vertical="center"/>
    </xf>
    <xf numFmtId="49" fontId="32" fillId="0" borderId="0" xfId="0" applyFont="1" applyNumberFormat="1">
      <alignment vertical="top"/>
    </xf>
    <xf numFmtId="49" fontId="0" fillId="0" borderId="24" xfId="0" applyFont="1" applyBorder="1" applyNumberFormat="1">
      <alignment vertical="top"/>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47" fillId="0" borderId="0" xfId="0" applyFont="1" applyNumberFormat="1">
      <alignment horizontal="left" vertical="center"/>
    </xf>
    <xf numFmtId="49" fontId="47" fillId="0" borderId="0" xfId="0" applyFont="1" applyNumberFormat="1">
      <alignment horizontal="left" vertical="top"/>
    </xf>
    <xf numFmtId="49" fontId="67" fillId="37" borderId="14" xfId="0" applyFont="1" applyFill="1" applyBorder="1" applyNumberFormat="1">
      <alignment horizontal="left" vertical="top"/>
    </xf>
    <xf numFmtId="49" fontId="109" fillId="37" borderId="15" xfId="0" applyFont="1" applyFill="1" applyBorder="1" applyNumberFormat="1">
      <alignment horizontal="left" vertical="center"/>
    </xf>
    <xf numFmtId="49" fontId="48" fillId="0" borderId="0" xfId="0" applyFont="1" applyNumberFormat="1">
      <alignment vertical="top"/>
    </xf>
    <xf numFmtId="0" fontId="22" fillId="0" borderId="0" xfId="0" applyFont="1" applyNumberFormat="1">
      <alignment horizontal="left" vertical="top" wrapText="1"/>
    </xf>
    <xf numFmtId="49" fontId="22" fillId="0" borderId="0" xfId="0" applyFont="1" applyNumberFormat="1">
      <alignment vertical="center" wrapText="1"/>
    </xf>
    <xf numFmtId="49" fontId="0" fillId="0" borderId="0" xfId="0" applyFont="1" applyNumberFormat="1">
      <alignment vertical="top"/>
    </xf>
    <xf numFmtId="49" fontId="0" fillId="0" borderId="12" xfId="0" applyFont="1" applyBorder="1" applyNumberFormat="1">
      <alignment vertical="top"/>
    </xf>
    <xf numFmtId="49" fontId="0" fillId="0" borderId="14" xfId="0" applyFont="1" applyBorder="1" applyNumberFormat="1">
      <alignment vertical="top"/>
    </xf>
    <xf numFmtId="49" fontId="0" fillId="0" borderId="12" xfId="0" applyFont="1" applyBorder="1" applyNumberFormat="1">
      <alignment horizontal="center" vertical="top"/>
    </xf>
    <xf numFmtId="49" fontId="0" fillId="0" borderId="14" xfId="0" applyFont="1" applyBorder="1" applyNumberFormat="1">
      <alignment horizontal="center" vertical="top"/>
    </xf>
    <xf numFmtId="49" fontId="0" fillId="0" borderId="12" xfId="0" applyFont="1" applyBorder="1" applyNumberFormat="1">
      <alignment vertical="top"/>
    </xf>
    <xf numFmtId="49" fontId="0" fillId="43" borderId="17" xfId="0" applyFont="1" applyFill="1" applyBorder="1" applyNumberFormat="1">
      <alignment vertical="top"/>
    </xf>
    <xf numFmtId="49" fontId="0" fillId="0" borderId="14" xfId="0" applyFont="1" applyBorder="1" applyNumberFormat="1">
      <alignment horizontal="center" vertical="top"/>
    </xf>
    <xf numFmtId="49" fontId="0" fillId="0" borderId="12" xfId="0" applyFont="1" applyBorder="1" applyNumberFormat="1">
      <alignment vertical="top"/>
    </xf>
    <xf numFmtId="49" fontId="0" fillId="0" borderId="14" xfId="0" applyFont="1" applyBorder="1" applyNumberFormat="1">
      <alignment vertical="top"/>
    </xf>
    <xf numFmtId="49" fontId="0" fillId="44" borderId="12" xfId="0" applyFont="1" applyFill="1" applyBorder="1" applyNumberFormat="1">
      <alignment vertical="top"/>
    </xf>
    <xf numFmtId="49" fontId="0" fillId="0" borderId="15" xfId="0" applyFont="1" applyBorder="1" applyNumberFormat="1">
      <alignment horizontal="center" vertical="top"/>
    </xf>
    <xf numFmtId="49" fontId="0" fillId="3" borderId="12" xfId="0" applyFont="1" applyFill="1" applyBorder="1" applyNumberFormat="1">
      <alignment vertical="top"/>
    </xf>
    <xf numFmtId="49" fontId="0" fillId="0" borderId="15" xfId="0" applyFont="1" applyBorder="1" applyNumberFormat="1">
      <alignment horizontal="center" vertical="top"/>
    </xf>
    <xf numFmtId="49" fontId="0" fillId="45" borderId="12" xfId="0" applyFont="1" applyFill="1" applyBorder="1" applyNumberFormat="1">
      <alignment vertical="top"/>
    </xf>
    <xf numFmtId="49" fontId="0" fillId="16" borderId="17" xfId="0" applyFont="1" applyFill="1" applyBorder="1" applyNumberFormat="1">
      <alignment vertical="top"/>
    </xf>
    <xf numFmtId="49" fontId="0" fillId="5" borderId="14" xfId="0" applyFont="1" applyFill="1" applyBorder="1" applyNumberFormat="1">
      <alignment vertical="top"/>
    </xf>
    <xf numFmtId="49" fontId="0" fillId="5" borderId="12" xfId="0" applyFont="1" applyFill="1" applyBorder="1" applyNumberFormat="1">
      <alignment vertical="top"/>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35" borderId="0" xfId="0" applyFont="1" applyFill="1" applyNumberFormat="1">
      <alignment vertical="top"/>
    </xf>
    <xf numFmtId="49" fontId="0" fillId="35" borderId="0" xfId="0" applyFont="1" applyFill="1" applyNumberFormat="1">
      <alignment vertical="top"/>
    </xf>
    <xf numFmtId="49" fontId="0" fillId="35" borderId="0" xfId="0" applyFont="1" applyFill="1" applyNumberFormat="1">
      <alignment vertical="top"/>
    </xf>
    <xf numFmtId="0" fontId="0" fillId="0" borderId="0" xfId="0" applyFont="1" applyNumberFormat="1">
      <alignment vertical="top"/>
    </xf>
    <xf numFmtId="0" fontId="0" fillId="0" borderId="0" xfId="0" applyFont="1" applyNumberFormat="1">
      <alignment vertical="top"/>
    </xf>
    <xf numFmtId="0" fontId="0" fillId="0" borderId="0" xfId="0" applyFont="1" applyNumberFormat="1"/>
    <xf numFmtId="0" fontId="1" fillId="0" borderId="0" xfId="0" applyFont="1" applyNumberFormat="1"/>
    <xf numFmtId="0" fontId="29" fillId="0" borderId="0" xfId="0" applyFont="1" applyNumberFormat="1"/>
    <xf numFmtId="49" fontId="22" fillId="34" borderId="10" xfId="0" applyFont="1" applyFill="1" applyBorder="1" applyNumberFormat="1">
      <alignment horizontal="center" vertical="top"/>
    </xf>
    <xf numFmtId="49" fontId="38" fillId="0" borderId="11" xfId="0" applyFont="1" applyBorder="1" applyNumberFormat="1">
      <alignment vertical="top" wrapText="1"/>
    </xf>
    <xf numFmtId="0" fontId="0" fillId="0" borderId="11" xfId="0" applyFont="1" applyBorder="1" applyNumberFormat="1">
      <alignment vertical="top" wrapText="1"/>
    </xf>
    <xf numFmtId="0" fontId="46" fillId="0" borderId="18" xfId="0" applyFont="1" applyBorder="1" applyNumberFormat="1">
      <alignment vertical="top" wrapText="1"/>
    </xf>
    <xf numFmtId="0" fontId="0" fillId="0" borderId="0" xfId="0" applyFont="1" applyNumberFormat="1">
      <alignment vertical="top"/>
    </xf>
    <xf numFmtId="0" fontId="0" fillId="0" borderId="12" xfId="0" applyFont="1" applyBorder="1" applyNumberFormat="1">
      <alignment vertical="top" wrapText="1"/>
    </xf>
    <xf numFmtId="49" fontId="0" fillId="0" borderId="12" xfId="0" applyFont="1" applyBorder="1" applyNumberFormat="1">
      <alignment vertical="top" wrapText="1"/>
    </xf>
    <xf numFmtId="49" fontId="0" fillId="0" borderId="17" xfId="0" applyFont="1" applyBorder="1" applyNumberFormat="1">
      <alignment vertical="top"/>
    </xf>
    <xf numFmtId="49" fontId="0" fillId="0" borderId="0" xfId="0" applyFont="1" applyNumberFormat="1">
      <alignment vertical="top"/>
    </xf>
    <xf numFmtId="0" fontId="50" fillId="0" borderId="11" xfId="0" applyFont="1" applyBorder="1" applyNumberFormat="1">
      <alignment vertical="center" wrapText="1"/>
    </xf>
    <xf numFmtId="0" fontId="46" fillId="0" borderId="0" xfId="0" applyFont="1" applyNumberFormat="1">
      <alignment vertical="top" wrapText="1"/>
    </xf>
    <xf numFmtId="0" fontId="22" fillId="0" borderId="11" xfId="0" applyFont="1" applyBorder="1" applyNumberFormat="1">
      <alignment vertical="center" wrapText="1"/>
    </xf>
    <xf numFmtId="0" fontId="115" fillId="0" borderId="0" xfId="0" applyFont="1" applyNumberForma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102" fillId="0" borderId="0" xfId="0" applyFont="1" applyNumberFormat="1">
      <alignment vertical="center" wrapText="1"/>
    </xf>
    <xf numFmtId="0" fontId="102" fillId="0" borderId="0" xfId="0" applyFont="1" applyNumberFormat="1">
      <alignment horizontal="left" vertical="center" wrapText="1"/>
    </xf>
    <xf numFmtId="49" fontId="117" fillId="0" borderId="0" xfId="0" applyFont="1" applyNumberFormat="1">
      <alignment wrapText="1"/>
    </xf>
    <xf numFmtId="0" fontId="102" fillId="0" borderId="0" xfId="0" applyFont="1" applyNumberFormat="1">
      <alignment vertical="center"/>
    </xf>
    <xf numFmtId="0" fontId="46" fillId="0" borderId="0" xfId="0" applyFont="1" applyNumberFormat="1">
      <alignment horizontal="left" vertical="top" wrapText="1"/>
    </xf>
    <xf numFmtId="49" fontId="22" fillId="0" borderId="0" xfId="0" applyFont="1" applyNumberFormat="1">
      <alignment vertical="top" wrapText="1"/>
    </xf>
    <xf numFmtId="0" fontId="46" fillId="56" borderId="63" xfId="0" applyFont="1" applyFill="1" applyBorder="1" applyNumberFormat="1">
      <alignment horizontal="center" vertical="center" wrapText="1"/>
    </xf>
    <xf numFmtId="0" fontId="46" fillId="56" borderId="64" xfId="0" applyFont="1" applyFill="1" applyBorder="1" applyNumberFormat="1">
      <alignment horizontal="center" vertical="center" wrapText="1"/>
    </xf>
    <xf numFmtId="0" fontId="46" fillId="56" borderId="65" xfId="0" applyFont="1" applyFill="1" applyBorder="1" applyNumberFormat="1">
      <alignment horizontal="center" vertical="center" wrapText="1"/>
    </xf>
    <xf numFmtId="0" fontId="66" fillId="0" borderId="0" xfId="0" applyFont="1" applyNumberFormat="1">
      <alignment wrapText="1"/>
    </xf>
    <xf numFmtId="0" fontId="46" fillId="46" borderId="38" xfId="0" applyFont="1" applyFill="1" applyBorder="1" applyNumberFormat="1">
      <alignment horizontal="right" vertical="center" wrapText="1" indent="1"/>
    </xf>
    <xf numFmtId="0" fontId="46" fillId="46" borderId="66" xfId="0" applyFont="1" applyFill="1" applyBorder="1" applyNumberFormat="1">
      <alignment horizontal="right" vertical="center" wrapText="1" indent="1"/>
    </xf>
    <xf numFmtId="0" fontId="118" fillId="0" borderId="0" xfId="0" applyFont="1" applyNumberFormat="1">
      <alignment horizontal="left" vertical="center" wrapText="1"/>
    </xf>
    <xf numFmtId="0" fontId="119" fillId="0" borderId="0" xfId="0" applyFont="1" applyNumberFormat="1">
      <alignment vertical="center" wrapText="1"/>
    </xf>
    <xf numFmtId="0" fontId="66" fillId="0" borderId="38" xfId="0" applyFont="1" applyBorder="1" applyNumberFormat="1">
      <alignment wrapText="1"/>
    </xf>
    <xf numFmtId="0" fontId="66" fillId="0" borderId="0" xfId="0" applyFont="1" applyNumberFormat="1"/>
    <xf numFmtId="0" fontId="118" fillId="0" borderId="0" xfId="0" applyFont="1" applyNumberFormat="1"/>
    <xf numFmtId="0" fontId="120" fillId="0" borderId="0" xfId="0" applyFont="1" applyNumberFormat="1">
      <alignment wrapText="1"/>
    </xf>
    <xf numFmtId="0" fontId="0" fillId="36" borderId="60" xfId="0" applyFont="1" applyFill="1" applyBorder="1" applyNumberFormat="1">
      <alignment horizontal="center" vertical="center" wrapText="1"/>
    </xf>
    <xf numFmtId="0" fontId="120" fillId="0" borderId="38" xfId="0" applyFont="1" applyBorder="1" applyNumberFormat="1">
      <alignment vertical="center" wrapText="1"/>
    </xf>
    <xf numFmtId="0" fontId="120" fillId="0" borderId="0" xfId="0" applyFont="1" applyNumberFormat="1">
      <alignment vertical="center" wrapText="1"/>
    </xf>
    <xf numFmtId="0" fontId="0" fillId="53" borderId="60" xfId="0" applyFont="1" applyFill="1" applyBorder="1" applyNumberFormat="1">
      <alignment horizontal="center" vertical="center" wrapText="1"/>
    </xf>
    <xf numFmtId="0" fontId="120" fillId="0" borderId="38" xfId="0" applyFont="1" applyBorder="1" applyNumberFormat="1">
      <alignment horizontal="left" vertical="center" wrapText="1"/>
    </xf>
    <xf numFmtId="0" fontId="120" fillId="0" borderId="0" xfId="0" applyFont="1" applyNumberFormat="1">
      <alignment horizontal="left" vertical="center" wrapText="1"/>
    </xf>
    <xf numFmtId="0" fontId="0" fillId="34" borderId="60" xfId="0" applyFont="1" applyFill="1" applyBorder="1" applyNumberFormat="1">
      <alignment horizontal="center" vertical="center" wrapText="1"/>
    </xf>
    <xf numFmtId="0" fontId="0" fillId="39" borderId="60" xfId="0" applyFont="1" applyFill="1" applyBorder="1" applyNumberFormat="1">
      <alignment horizontal="center" vertical="center" wrapText="1"/>
    </xf>
    <xf numFmtId="0" fontId="46" fillId="46" borderId="0" xfId="0" applyFont="1" applyFill="1" applyNumberFormat="1">
      <alignment horizontal="right" vertical="center" wrapText="1" indent="1"/>
    </xf>
    <xf numFmtId="0" fontId="118" fillId="0" borderId="38" xfId="0" applyFont="1" applyBorder="1" applyNumberFormat="1">
      <alignment horizontal="left" vertical="center" wrapText="1"/>
    </xf>
    <xf numFmtId="0" fontId="118" fillId="0" borderId="61" xfId="0" applyFont="1" applyBorder="1" applyNumberFormat="1">
      <alignment horizontal="left" vertical="center" wrapText="1"/>
    </xf>
    <xf numFmtId="0" fontId="46" fillId="46" borderId="60" xfId="0" applyFont="1" applyFill="1" applyBorder="1" applyNumberFormat="1">
      <alignment horizontal="right" vertical="center" wrapText="1" indent="1"/>
    </xf>
    <xf numFmtId="0" fontId="46" fillId="46" borderId="67" xfId="0" applyFont="1" applyFill="1" applyBorder="1" applyNumberFormat="1">
      <alignment horizontal="right" vertical="center" wrapText="1" indent="1"/>
    </xf>
    <xf numFmtId="0" fontId="120" fillId="0" borderId="0" xfId="0" applyFont="1" applyNumberFormat="1"/>
    <xf numFmtId="0" fontId="120" fillId="0" borderId="38" xfId="0" applyFont="1" applyBorder="1" applyNumberFormat="1">
      <alignment wrapText="1"/>
    </xf>
    <xf numFmtId="0" fontId="120" fillId="0" borderId="0" xfId="0" applyFont="1" applyNumberFormat="1">
      <alignment vertical="top" wrapText="1"/>
    </xf>
    <xf numFmtId="0" fontId="46" fillId="46" borderId="62" xfId="0" applyFont="1" applyFill="1" applyBorder="1" applyNumberFormat="1">
      <alignment horizontal="right" vertical="center" wrapText="1" indent="1"/>
    </xf>
    <xf numFmtId="0" fontId="46" fillId="46" borderId="39" xfId="0" applyFont="1" applyFill="1" applyBorder="1" applyNumberFormat="1">
      <alignment horizontal="right" vertical="center" wrapText="1" indent="1"/>
    </xf>
    <xf numFmtId="0" fontId="66" fillId="0" borderId="62" xfId="0" applyFont="1" applyBorder="1" applyNumberFormat="1">
      <alignment wrapText="1"/>
    </xf>
    <xf numFmtId="0" fontId="66" fillId="0" borderId="39" xfId="0" applyFont="1" applyBorder="1" applyNumberFormat="1">
      <alignment wrapText="1"/>
    </xf>
    <xf numFmtId="0" fontId="66" fillId="0" borderId="39" xfId="0" applyFont="1" applyBorder="1" applyNumberFormat="1">
      <alignment vertical="center" wrapText="1"/>
    </xf>
    <xf numFmtId="0" fontId="116" fillId="0" borderId="0" xfId="0" applyFont="1" applyNumberFormat="1"/>
    <xf numFmtId="49" fontId="66" fillId="0" borderId="0" xfId="0" applyFont="1" applyNumberFormat="1">
      <alignment vertical="top" wrapText="1"/>
    </xf>
    <xf numFmtId="0" fontId="29" fillId="0" borderId="0" xfId="0" applyFont="1" applyNumberFormat="1"/>
    <xf numFmtId="0" fontId="63" fillId="0" borderId="0" xfId="0" applyFont="1" applyNumberFormat="1">
      <alignment vertical="center" wrapText="1"/>
    </xf>
    <xf numFmtId="0" fontId="91" fillId="0" borderId="0" xfId="0" applyFont="1" applyNumberFormat="1">
      <alignment horizontal="left" vertical="center" wrapText="1"/>
    </xf>
    <xf numFmtId="0" fontId="63" fillId="0" borderId="0" xfId="0" applyFont="1" applyNumberFormat="1">
      <alignment horizontal="left" vertical="center" wrapText="1"/>
    </xf>
    <xf numFmtId="0" fontId="63" fillId="0" borderId="0" xfId="0" applyFont="1" applyNumberFormat="1">
      <alignment vertical="center" wrapText="1"/>
    </xf>
    <xf numFmtId="0" fontId="32" fillId="0" borderId="0" xfId="0" applyFont="1" applyNumberFormat="1">
      <alignment horizontal="center" vertical="center" wrapText="1"/>
    </xf>
    <xf numFmtId="0" fontId="32" fillId="0" borderId="0" xfId="0" applyFont="1" applyNumberFormat="1">
      <alignment vertical="center" wrapText="1"/>
    </xf>
    <xf numFmtId="0" fontId="48" fillId="0" borderId="0" xfId="0" applyFont="1" applyNumberFormat="1">
      <alignment vertical="center" wrapText="1"/>
    </xf>
    <xf numFmtId="0" fontId="32" fillId="0" borderId="0" xfId="0" applyFont="1" applyNumberFormat="1">
      <alignment vertical="center" wrapText="1"/>
    </xf>
    <xf numFmtId="0" fontId="32" fillId="0" borderId="0" xfId="0" applyFont="1" applyNumberFormat="1">
      <alignment horizontal="left" vertical="center" wrapText="1"/>
    </xf>
    <xf numFmtId="0" fontId="22" fillId="0" borderId="0" xfId="0" applyFont="1" applyNumberFormat="1">
      <alignment horizontal="left" vertical="top" indent="1"/>
    </xf>
    <xf numFmtId="49" fontId="66" fillId="0" borderId="0" xfId="0" applyFont="1" applyNumberFormat="1">
      <alignment vertical="top"/>
    </xf>
    <xf numFmtId="49" fontId="22" fillId="0" borderId="0" xfId="0" applyFont="1" applyNumberFormat="1">
      <alignment vertical="center" wrapText="1"/>
    </xf>
    <xf numFmtId="49" fontId="47" fillId="0" borderId="0" xfId="0" applyFont="1" applyNumberFormat="1">
      <alignment vertical="center" wrapText="1"/>
    </xf>
    <xf numFmtId="0" fontId="0" fillId="0" borderId="0" xfId="0" applyFont="1" applyNumberFormat="1">
      <alignment horizontal="left" vertical="center" indent="1"/>
    </xf>
    <xf numFmtId="49" fontId="0" fillId="0" borderId="0" xfId="0" applyFont="1" applyNumberFormat="1">
      <alignment vertical="top"/>
    </xf>
    <xf numFmtId="49" fontId="47" fillId="0" borderId="0" xfId="0" applyFont="1" applyNumberFormat="1">
      <alignment vertical="top"/>
    </xf>
    <xf numFmtId="49" fontId="0" fillId="0" borderId="0" xfId="0" applyFont="1" applyNumberFormat="1">
      <alignment vertical="top"/>
    </xf>
    <xf numFmtId="0" fontId="22" fillId="0" borderId="0" xfId="0" applyFont="1" applyNumberFormat="1">
      <alignment vertical="center" wrapText="1"/>
    </xf>
    <xf numFmtId="0" fontId="60" fillId="0" borderId="0" xfId="0" applyFont="1" applyNumberFormat="1">
      <alignment vertical="center" wrapText="1"/>
    </xf>
    <xf numFmtId="0" fontId="91" fillId="0" borderId="0" xfId="0" applyFont="1" applyNumberFormat="1">
      <alignment horizontal="left" vertical="center" wrapText="1"/>
    </xf>
    <xf numFmtId="0" fontId="58" fillId="0" borderId="0" xfId="0" applyFont="1" applyNumberFormat="1">
      <alignment horizontal="left" vertical="center" wrapText="1"/>
    </xf>
    <xf numFmtId="0" fontId="59" fillId="0" borderId="0" xfId="0" applyFont="1" applyNumberFormat="1">
      <alignment vertical="center" wrapText="1"/>
    </xf>
    <xf numFmtId="0" fontId="60" fillId="35" borderId="0" xfId="0" applyFont="1" applyFill="1" applyNumberFormat="1">
      <alignment vertical="center" wrapText="1"/>
    </xf>
    <xf numFmtId="0" fontId="60" fillId="0" borderId="0" xfId="0" applyFont="1" applyNumberFormat="1">
      <alignment vertical="center" wrapText="1"/>
    </xf>
    <xf numFmtId="0" fontId="60" fillId="0" borderId="0" xfId="0" applyFont="1" applyNumberFormat="1">
      <alignment horizontal="right" vertical="center"/>
    </xf>
    <xf numFmtId="0" fontId="22" fillId="0" borderId="0" xfId="0" applyFont="1" applyNumberFormat="1">
      <alignment horizontal="center" vertical="center" wrapText="1"/>
    </xf>
    <xf numFmtId="0" fontId="22" fillId="0" borderId="0" xfId="0" applyFont="1" applyNumberFormat="1">
      <alignment vertical="center" wrapText="1"/>
    </xf>
    <xf numFmtId="0" fontId="88" fillId="0" borderId="0" xfId="0" applyFont="1" applyNumberFormat="1">
      <alignment vertical="center" wrapText="1"/>
    </xf>
    <xf numFmtId="0" fontId="60" fillId="0" borderId="0" xfId="0" applyFont="1" applyNumberFormat="1">
      <alignment vertical="center" wrapText="1"/>
    </xf>
    <xf numFmtId="0" fontId="34" fillId="35" borderId="0" xfId="0" applyFont="1" applyFill="1" applyNumberFormat="1">
      <alignment vertical="center" wrapText="1"/>
    </xf>
    <xf numFmtId="0" fontId="22" fillId="0" borderId="13" xfId="0" applyFont="1" applyBorder="1" applyNumberFormat="1">
      <alignment horizontal="center" vertical="center" wrapText="1"/>
    </xf>
    <xf numFmtId="0" fontId="22" fillId="0" borderId="14" xfId="0" applyFont="1" applyBorder="1" applyNumberFormat="1">
      <alignment horizontal="center" vertical="center" wrapText="1"/>
    </xf>
    <xf numFmtId="0" fontId="50" fillId="35" borderId="0" xfId="0" applyFont="1" applyFill="1" applyNumberFormat="1">
      <alignment vertical="center" wrapText="1"/>
    </xf>
    <xf numFmtId="0" fontId="96" fillId="0" borderId="0" xfId="0" applyFont="1" applyNumberFormat="1">
      <alignment vertical="center" wrapText="1"/>
    </xf>
    <xf numFmtId="0" fontId="60" fillId="35" borderId="0" xfId="0" applyFont="1" applyFill="1" applyNumberFormat="1">
      <alignment horizontal="right" vertical="center" wrapText="1" indent="1"/>
    </xf>
    <xf numFmtId="0" fontId="62" fillId="35" borderId="0" xfId="0" applyFont="1" applyFill="1" applyNumberFormat="1">
      <alignment horizontal="center" vertical="center" wrapText="1"/>
    </xf>
    <xf numFmtId="0" fontId="22" fillId="35" borderId="26" xfId="0" applyFont="1" applyFill="1" applyBorder="1" applyNumberFormat="1">
      <alignment horizontal="right" vertical="center" wrapText="1" indent="1"/>
    </xf>
    <xf numFmtId="0" fontId="0" fillId="34" borderId="12" xfId="0" applyFont="1" applyFill="1" applyBorder="1" applyNumberFormat="1">
      <alignment horizontal="left" vertical="center" wrapText="1" indent="1"/>
    </xf>
    <xf numFmtId="14" fontId="91" fillId="35" borderId="0" xfId="0" applyFont="1" applyFill="1" applyNumberFormat="1">
      <alignment horizontal="left" vertical="center" wrapText="1"/>
    </xf>
    <xf numFmtId="0" fontId="58" fillId="35" borderId="0" xfId="0" applyFont="1" applyFill="1" applyNumberFormat="1">
      <alignment horizontal="center" vertical="center" wrapText="1"/>
    </xf>
    <xf numFmtId="0" fontId="60" fillId="35" borderId="0" xfId="0" applyFont="1" applyFill="1" applyNumberFormat="1">
      <alignment horizontal="left" vertical="center" wrapText="1" indent="1"/>
    </xf>
    <xf numFmtId="0" fontId="22" fillId="35" borderId="0" xfId="0" applyFont="1" applyFill="1" applyNumberFormat="1">
      <alignment horizontal="center" vertical="center" wrapText="1"/>
    </xf>
    <xf numFmtId="0" fontId="88" fillId="0" borderId="0" xfId="0" applyFont="1" applyNumberFormat="1">
      <alignment horizontal="center" vertical="center" wrapText="1"/>
    </xf>
    <xf numFmtId="0" fontId="22" fillId="0" borderId="0" xfId="0" applyFont="1" applyNumberFormat="1">
      <alignment vertical="center" wrapText="1"/>
    </xf>
    <xf numFmtId="0" fontId="33" fillId="0" borderId="0" xfId="0" applyFont="1" applyNumberFormat="1">
      <alignment vertical="center" wrapText="1"/>
    </xf>
    <xf numFmtId="0" fontId="34" fillId="35" borderId="0" xfId="0" applyFont="1" applyFill="1" applyNumberFormat="1">
      <alignment vertical="center" wrapText="1"/>
    </xf>
    <xf numFmtId="0" fontId="22" fillId="35" borderId="26" xfId="0" applyFont="1" applyFill="1" applyBorder="1" applyNumberFormat="1">
      <alignment horizontal="right" vertical="center" wrapText="1" indent="1"/>
    </xf>
    <xf numFmtId="0" fontId="22" fillId="39" borderId="12" xfId="0" applyFont="1" applyFill="1" applyBorder="1" applyNumberFormat="1">
      <alignment horizontal="left" vertical="top" wrapText="1" indent="1"/>
      <protection locked="0"/>
    </xf>
    <xf numFmtId="0" fontId="22" fillId="0" borderId="0" xfId="0" applyFont="1" applyNumberFormat="1">
      <alignment horizontal="left" vertical="center" wrapText="1"/>
    </xf>
    <xf numFmtId="0" fontId="47" fillId="0" borderId="0" xfId="0" applyFont="1" applyNumberFormat="1">
      <alignment vertical="center" wrapText="1"/>
    </xf>
    <xf numFmtId="0" fontId="58" fillId="0" borderId="0" xfId="0" applyFont="1" applyNumberFormat="1">
      <alignment horizontal="left" vertical="center" wrapText="1"/>
    </xf>
    <xf numFmtId="0" fontId="59" fillId="0" borderId="0" xfId="0" applyFont="1" applyNumberFormat="1">
      <alignment vertical="center" wrapText="1"/>
    </xf>
    <xf numFmtId="49" fontId="22" fillId="40" borderId="12" xfId="0" applyFont="1" applyFill="1" applyBorder="1" applyNumberFormat="1">
      <alignment horizontal="left" vertical="center" wrapText="1" indent="1"/>
    </xf>
    <xf numFmtId="0" fontId="60" fillId="0" borderId="0" xfId="0" applyFont="1" applyNumberFormat="1">
      <alignment vertical="center" wrapText="1"/>
    </xf>
    <xf numFmtId="14" fontId="93" fillId="0" borderId="12" xfId="0" applyFont="1" applyBorder="1" applyNumberFormat="1">
      <alignment horizontal="center" vertical="center" wrapText="1"/>
    </xf>
    <xf numFmtId="504" fontId="0" fillId="39" borderId="12" xfId="0" applyFont="1" applyFill="1" applyBorder="1" applyNumberFormat="1">
      <alignment horizontal="left" vertical="center" wrapText="1" indent="1"/>
      <protection locked="0"/>
    </xf>
    <xf numFmtId="0" fontId="53" fillId="0" borderId="0" xfId="0" applyFont="1" applyNumberFormat="1">
      <alignment horizontal="left" vertical="center" indent="1"/>
    </xf>
    <xf numFmtId="0" fontId="22" fillId="35" borderId="0" xfId="0" applyFont="1" applyFill="1" applyNumberFormat="1">
      <alignment vertical="center" wrapText="1"/>
    </xf>
    <xf numFmtId="14" fontId="93" fillId="0" borderId="12" xfId="0" applyFont="1" applyBorder="1" applyNumberFormat="1">
      <alignment horizontal="left" vertical="center" wrapText="1"/>
    </xf>
    <xf numFmtId="49" fontId="22" fillId="35" borderId="26" xfId="0" applyFont="1" applyFill="1" applyBorder="1" applyNumberFormat="1">
      <alignment horizontal="right" vertical="center" wrapText="1" indent="1"/>
    </xf>
    <xf numFmtId="504" fontId="0" fillId="39" borderId="12" xfId="0" applyFont="1" applyFill="1" applyBorder="1" applyNumberFormat="1">
      <alignment horizontal="left" vertical="center" wrapText="1" indent="1"/>
      <protection locked="0"/>
    </xf>
    <xf numFmtId="49" fontId="47" fillId="0" borderId="0" xfId="0" applyFont="1" applyNumberFormat="1">
      <alignment vertical="center" wrapText="1"/>
    </xf>
    <xf numFmtId="0" fontId="0" fillId="39" borderId="12"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504" fontId="0" fillId="39" borderId="12" xfId="0" applyFont="1" applyFill="1" applyBorder="1" applyNumberFormat="1">
      <alignment horizontal="left" vertical="center" wrapText="1" indent="1"/>
      <protection locked="0"/>
    </xf>
    <xf numFmtId="0" fontId="0" fillId="35" borderId="0" xfId="0" applyFont="1" applyFill="1" applyNumberFormat="1">
      <alignment horizontal="right" vertical="center" wrapText="1" indent="1"/>
    </xf>
    <xf numFmtId="0" fontId="96" fillId="0" borderId="0" xfId="0" applyFont="1" applyNumberFormat="1">
      <alignment horizontal="left" vertical="center" wrapText="1"/>
    </xf>
    <xf numFmtId="0" fontId="22" fillId="35" borderId="0" xfId="0" applyFont="1" applyFill="1" applyNumberFormat="1">
      <alignment horizontal="right" vertical="center" wrapText="1" indent="1"/>
    </xf>
    <xf numFmtId="0" fontId="22" fillId="0" borderId="0" xfId="0" applyFont="1" applyNumberFormat="1">
      <alignment horizontal="center" vertical="center" wrapText="1"/>
    </xf>
    <xf numFmtId="0" fontId="22" fillId="35" borderId="0" xfId="0" applyFont="1" applyFill="1" applyNumberFormat="1">
      <alignment horizontal="center" vertical="center" wrapText="1"/>
    </xf>
    <xf numFmtId="504" fontId="0" fillId="39" borderId="12" xfId="0" applyFont="1" applyFill="1" applyBorder="1" applyNumberFormat="1">
      <alignment horizontal="left" vertical="center" wrapText="1" indent="1"/>
      <protection locked="0"/>
    </xf>
    <xf numFmtId="0" fontId="0" fillId="35" borderId="0" xfId="0" applyFont="1" applyFill="1" applyNumberFormat="1">
      <alignment horizontal="left" vertical="center" wrapText="1" indent="1"/>
    </xf>
    <xf numFmtId="49" fontId="22" fillId="39" borderId="12"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49" fontId="22" fillId="0" borderId="12" xfId="0" applyFont="1" applyBorder="1" applyNumberFormat="1">
      <alignment horizontal="left" vertical="center" wrapText="1" indent="1"/>
    </xf>
    <xf numFmtId="0" fontId="33" fillId="0" borderId="0" xfId="0" applyFont="1" applyNumberFormat="1">
      <alignment horizontal="center" vertical="center" wrapText="1"/>
    </xf>
    <xf numFmtId="0" fontId="35" fillId="35" borderId="0" xfId="0" applyFont="1" applyFill="1" applyNumberFormat="1">
      <alignment horizontal="center" vertical="center" wrapText="1"/>
    </xf>
    <xf numFmtId="49" fontId="22" fillId="34" borderId="12" xfId="0" applyFont="1" applyFill="1" applyBorder="1" applyNumberFormat="1">
      <alignment horizontal="left" vertical="center" wrapText="1" indent="1"/>
    </xf>
    <xf numFmtId="14" fontId="22" fillId="35" borderId="0" xfId="0" applyFont="1" applyFill="1" applyNumberFormat="1">
      <alignment horizontal="center" vertical="center" wrapText="1"/>
    </xf>
    <xf numFmtId="0" fontId="0" fillId="35" borderId="26" xfId="0" applyFont="1" applyFill="1" applyBorder="1" applyNumberFormat="1">
      <alignment horizontal="right" vertical="center" wrapText="1" indent="1"/>
    </xf>
    <xf numFmtId="0" fontId="22" fillId="0" borderId="0" xfId="0" applyFont="1" applyNumberFormat="1">
      <alignment vertical="center"/>
    </xf>
    <xf numFmtId="14" fontId="22" fillId="35" borderId="0" xfId="0" applyFont="1" applyFill="1" applyNumberFormat="1">
      <alignment horizontal="left" vertical="center" wrapText="1"/>
    </xf>
    <xf numFmtId="0" fontId="22" fillId="39" borderId="12" xfId="0" applyFont="1" applyFill="1" applyBorder="1" applyNumberFormat="1">
      <alignment horizontal="left" vertical="center" wrapText="1" indent="1"/>
      <protection locked="0"/>
    </xf>
    <xf numFmtId="0" fontId="61" fillId="35" borderId="0" xfId="0" applyFont="1" applyFill="1" applyNumberFormat="1">
      <alignment horizontal="right" vertical="center" wrapText="1" indent="1"/>
    </xf>
    <xf numFmtId="0" fontId="61" fillId="35" borderId="0" xfId="0" applyFont="1" applyFill="1" applyNumberFormat="1">
      <alignment horizontal="left" vertical="center" wrapText="1" indent="1"/>
    </xf>
    <xf numFmtId="49" fontId="22" fillId="40" borderId="12" xfId="0" applyFont="1" applyFill="1" applyBorder="1" applyNumberFormat="1">
      <alignment horizontal="left" vertical="center" wrapText="1" indent="1"/>
    </xf>
    <xf numFmtId="0" fontId="60" fillId="35" borderId="0" xfId="0" applyFont="1" applyFill="1" applyNumberFormat="1">
      <alignment vertical="center" wrapText="1"/>
    </xf>
    <xf numFmtId="0" fontId="61" fillId="35" borderId="0" xfId="0" applyFont="1" applyFill="1" applyNumberFormat="1">
      <alignment horizontal="right" vertical="center" wrapText="1" indent="1"/>
    </xf>
    <xf numFmtId="0" fontId="32" fillId="0" borderId="0" xfId="0" applyFont="1" applyNumberFormat="1">
      <alignment horizontal="left" vertical="center" wrapText="1"/>
    </xf>
    <xf numFmtId="49" fontId="124" fillId="0" borderId="12" xfId="0" applyFont="1" applyBorder="1" applyNumberFormat="1">
      <alignment horizontal="left" vertical="center" wrapText="1" indent="1"/>
    </xf>
    <xf numFmtId="0" fontId="32" fillId="0" borderId="0" xfId="0" applyFont="1" applyNumberFormat="1">
      <alignment horizontal="left" vertical="center" wrapText="1"/>
    </xf>
    <xf numFmtId="14" fontId="92" fillId="0" borderId="0" xfId="0" applyFont="1" applyNumberFormat="1">
      <alignment horizontal="center" vertical="center" wrapText="1"/>
    </xf>
    <xf numFmtId="0" fontId="33" fillId="0" borderId="0" xfId="0" applyFont="1" applyNumberFormat="1">
      <alignment vertical="center" wrapText="1"/>
    </xf>
    <xf numFmtId="0" fontId="32" fillId="0" borderId="0" xfId="0" applyFont="1" applyNumberFormat="1">
      <alignment horizontal="center" vertical="center" wrapText="1"/>
    </xf>
    <xf numFmtId="0" fontId="22" fillId="0" borderId="0" xfId="0" applyFont="1" applyNumberFormat="1">
      <alignment horizontal="center" vertical="center" wrapText="1"/>
    </xf>
    <xf numFmtId="0" fontId="47" fillId="0" borderId="0" xfId="0" applyFont="1" applyNumberFormat="1">
      <alignment horizontal="center" vertical="center" wrapText="1"/>
    </xf>
    <xf numFmtId="0" fontId="47" fillId="0" borderId="0" xfId="0" applyFont="1" applyNumberFormat="1">
      <alignment vertical="center" wrapText="1"/>
    </xf>
    <xf numFmtId="0" fontId="83" fillId="0" borderId="0" xfId="0" applyFont="1" applyNumberFormat="1">
      <alignment vertical="center" wrapText="1"/>
    </xf>
    <xf numFmtId="0" fontId="22" fillId="0" borderId="0" xfId="0" applyFont="1" applyNumberFormat="1">
      <alignment vertical="center" wrapText="1"/>
    </xf>
    <xf numFmtId="0" fontId="22" fillId="40" borderId="12" xfId="0" applyFont="1" applyFill="1" applyBorder="1" applyNumberFormat="1">
      <alignment horizontal="left" vertical="center" wrapText="1" indent="1"/>
    </xf>
    <xf numFmtId="504" fontId="0" fillId="0" borderId="11" xfId="0" applyFont="1" applyBorder="1" applyNumberFormat="1">
      <alignment horizontal="left" vertical="center" wrapText="1" indent="1"/>
    </xf>
    <xf numFmtId="0" fontId="22" fillId="40" borderId="12" xfId="0" applyFont="1" applyFill="1" applyBorder="1" applyNumberFormat="1">
      <alignment horizontal="left" vertical="center" wrapText="1" indent="1"/>
    </xf>
    <xf numFmtId="0" fontId="22" fillId="39" borderId="12" xfId="0" applyFont="1" applyFill="1" applyBorder="1" applyNumberFormat="1">
      <alignment horizontal="left" vertical="center" wrapText="1" indent="1"/>
      <protection locked="0"/>
    </xf>
    <xf numFmtId="49" fontId="22" fillId="40" borderId="12" xfId="0" applyFont="1" applyFill="1" applyBorder="1" applyNumberFormat="1">
      <alignment horizontal="left" vertical="center" wrapText="1" indent="1"/>
    </xf>
    <xf numFmtId="0" fontId="91" fillId="0" borderId="0" xfId="0" applyFont="1" applyNumberFormat="1">
      <alignment horizontal="left" vertical="center" wrapText="1"/>
    </xf>
    <xf numFmtId="49" fontId="32" fillId="0" borderId="0" xfId="0" applyFont="1" applyNumberFormat="1">
      <alignment horizontal="left" vertical="center" wrapText="1"/>
    </xf>
    <xf numFmtId="49" fontId="34" fillId="35" borderId="0" xfId="0" applyFont="1" applyFill="1" applyNumberFormat="1">
      <alignment horizontal="center" vertical="center" wrapText="1"/>
    </xf>
    <xf numFmtId="0" fontId="22" fillId="0" borderId="0" xfId="0" applyFont="1" applyNumberFormat="1">
      <alignment horizontal="left" vertical="center" wrapText="1" indent="4"/>
    </xf>
    <xf numFmtId="0" fontId="22" fillId="0" borderId="0" xfId="0" applyFont="1" applyNumberFormat="1">
      <alignment horizontal="left" vertical="center" wrapText="1" indent="1"/>
    </xf>
    <xf numFmtId="49" fontId="22" fillId="39" borderId="12" xfId="0" applyFont="1" applyFill="1" applyBorder="1" applyNumberFormat="1">
      <alignment horizontal="left" vertical="center" wrapText="1" indent="1"/>
      <protection locked="0"/>
    </xf>
    <xf numFmtId="49" fontId="27" fillId="39" borderId="12" xfId="0" applyFont="1" applyFill="1" applyBorder="1" applyNumberFormat="1">
      <alignment horizontal="left" vertical="center" wrapText="1" indent="1"/>
      <protection locked="0"/>
    </xf>
    <xf numFmtId="0" fontId="0" fillId="0" borderId="0" xfId="0" applyFont="1" applyNumberFormat="1">
      <alignment horizontal="center" vertical="center" wrapText="1"/>
    </xf>
    <xf numFmtId="49" fontId="22" fillId="35" borderId="0" xfId="0" applyFont="1" applyFill="1" applyNumberFormat="1">
      <alignment horizontal="right" vertical="center" wrapText="1" indent="1"/>
    </xf>
    <xf numFmtId="49" fontId="47" fillId="0" borderId="0" xfId="0" applyFont="1" applyNumberFormat="1">
      <alignment horizontal="center" vertical="center" wrapText="1"/>
    </xf>
    <xf numFmtId="49" fontId="22" fillId="0" borderId="0" xfId="0" applyFont="1" applyNumberFormat="1">
      <alignment horizontal="center" vertical="center" wrapText="1"/>
    </xf>
    <xf numFmtId="49" fontId="0" fillId="35" borderId="0" xfId="0" applyFont="1" applyFill="1" applyNumberFormat="1">
      <alignment horizontal="right" vertical="center" wrapText="1" indent="1"/>
    </xf>
    <xf numFmtId="0" fontId="50" fillId="0" borderId="0" xfId="0" applyFont="1" applyNumberFormat="1">
      <alignment vertical="top" wrapText="1"/>
    </xf>
    <xf numFmtId="0" fontId="33" fillId="0" borderId="0" xfId="0" applyFont="1" applyNumberFormat="1">
      <alignment vertical="center" wrapText="1"/>
    </xf>
    <xf numFmtId="0" fontId="91" fillId="0" borderId="0" xfId="0" applyFont="1" applyNumberFormat="1">
      <alignment horizontal="left" vertical="center" wrapText="1"/>
    </xf>
    <xf numFmtId="0" fontId="32" fillId="0" borderId="0" xfId="0" applyFont="1" applyNumberFormat="1">
      <alignment horizontal="left" vertical="center" wrapText="1"/>
    </xf>
    <xf numFmtId="0" fontId="33" fillId="0" borderId="0" xfId="0" applyFont="1" applyNumberFormat="1">
      <alignment vertical="center" wrapText="1"/>
    </xf>
    <xf numFmtId="0" fontId="22" fillId="0" borderId="0" xfId="0" applyFont="1" applyNumberFormat="1">
      <alignment horizontal="center" vertical="center" wrapText="1"/>
    </xf>
    <xf numFmtId="0" fontId="32" fillId="0" borderId="0" xfId="0" applyFont="1" applyNumberFormat="1">
      <alignment horizontal="center" vertical="center" wrapText="1"/>
    </xf>
    <xf numFmtId="0" fontId="47" fillId="0" borderId="0" xfId="0" applyFont="1" applyNumberFormat="1">
      <alignment vertical="center" wrapText="1"/>
    </xf>
    <xf numFmtId="0" fontId="48" fillId="0" borderId="0" xfId="0" applyFont="1" applyNumberFormat="1">
      <alignment vertical="center" wrapText="1"/>
    </xf>
    <xf numFmtId="0" fontId="72" fillId="0" borderId="0" xfId="0" applyFont="1" applyNumberFormat="1">
      <alignment vertical="center" wrapText="1"/>
    </xf>
    <xf numFmtId="0" fontId="48" fillId="0" borderId="0" xfId="0" applyFont="1" applyNumberFormat="1">
      <alignment vertical="center" wrapText="1"/>
    </xf>
    <xf numFmtId="0" fontId="48" fillId="0" borderId="0" xfId="0" applyFont="1" applyNumberFormat="1">
      <alignment horizontal="center" vertical="center" wrapText="1"/>
    </xf>
    <xf numFmtId="0" fontId="48" fillId="0" borderId="0" xfId="0" applyFont="1" applyNumberFormat="1">
      <alignment horizontal="left" vertical="center" indent="1"/>
    </xf>
    <xf numFmtId="0" fontId="48" fillId="0" borderId="0" xfId="0" applyFont="1" applyNumberFormat="1">
      <alignment horizontal="center" vertical="center" wrapText="1"/>
    </xf>
    <xf numFmtId="0" fontId="48" fillId="0" borderId="0" xfId="0" applyFont="1" applyNumberFormat="1">
      <alignment horizontal="left" vertical="center" wrapText="1" indent="1"/>
    </xf>
    <xf numFmtId="0" fontId="48" fillId="0" borderId="0" xfId="0" applyFont="1" applyNumberFormat="1">
      <alignment horizontal="left" vertical="center" indent="1"/>
    </xf>
    <xf numFmtId="0" fontId="48" fillId="0" borderId="0" xfId="0" applyFont="1" applyNumberFormat="1">
      <alignment vertical="center" wrapText="1"/>
    </xf>
    <xf numFmtId="0" fontId="56" fillId="0" borderId="0" xfId="0" applyFont="1" applyNumberFormat="1">
      <alignment vertical="center" wrapText="1"/>
    </xf>
    <xf numFmtId="0" fontId="22" fillId="0" borderId="0" xfId="0" applyFont="1" applyNumberFormat="1">
      <alignment horizontal="left" vertical="center" wrapText="1" indent="1"/>
    </xf>
    <xf numFmtId="0" fontId="47" fillId="0" borderId="0" xfId="0" applyFont="1" applyNumberFormat="1">
      <alignment horizontal="left" vertical="center" wrapText="1" indent="1"/>
    </xf>
    <xf numFmtId="0" fontId="56" fillId="0" borderId="0" xfId="0" applyFont="1" applyNumberFormat="1">
      <alignment horizontal="left" vertical="center" wrapText="1" indent="1"/>
    </xf>
    <xf numFmtId="0" fontId="57" fillId="0" borderId="0" xfId="0" applyFont="1" applyNumberFormat="1">
      <alignment horizontal="left" vertical="center" indent="1"/>
    </xf>
    <xf numFmtId="0" fontId="56" fillId="0" borderId="0" xfId="0" applyFont="1" applyNumberFormat="1">
      <alignment vertical="center" wrapText="1"/>
    </xf>
    <xf numFmtId="0" fontId="42" fillId="0" borderId="0" xfId="0" applyFont="1" applyNumberFormat="1">
      <alignment vertical="center" wrapText="1"/>
    </xf>
    <xf numFmtId="0" fontId="22" fillId="0" borderId="0" xfId="0" applyFont="1" applyNumberFormat="1">
      <alignment vertical="center" wrapText="1"/>
    </xf>
    <xf numFmtId="0" fontId="47" fillId="0" borderId="0" xfId="0" applyFont="1" applyNumberFormat="1">
      <alignment vertical="center" wrapText="1"/>
    </xf>
    <xf numFmtId="0" fontId="37" fillId="0" borderId="0" xfId="0" applyFont="1" applyNumberFormat="1">
      <alignment horizontal="center" vertical="center" wrapText="1"/>
    </xf>
    <xf numFmtId="0" fontId="22" fillId="0" borderId="0" xfId="0" applyFont="1" applyNumberFormat="1">
      <alignment vertical="center" wrapText="1"/>
    </xf>
    <xf numFmtId="0" fontId="22" fillId="0" borderId="0" xfId="0" applyFont="1" applyNumberFormat="1">
      <alignment vertical="center" wrapText="1"/>
    </xf>
    <xf numFmtId="0" fontId="22" fillId="0" borderId="0" xfId="0" applyFont="1" applyNumberFormat="1">
      <alignment horizontal="right" vertical="center" wrapText="1"/>
    </xf>
    <xf numFmtId="0" fontId="48" fillId="0" borderId="0" xfId="0" applyFont="1" applyNumberFormat="1">
      <alignment vertical="center"/>
    </xf>
    <xf numFmtId="0" fontId="48" fillId="0" borderId="0" xfId="0" applyFont="1" applyNumberFormat="1">
      <alignment vertical="center"/>
    </xf>
    <xf numFmtId="0" fontId="55" fillId="0" borderId="0" xfId="0" applyFont="1" applyNumberFormat="1">
      <alignment vertical="center"/>
    </xf>
    <xf numFmtId="0" fontId="42" fillId="0" borderId="0" xfId="0" applyFont="1" applyNumberFormat="1">
      <alignment vertical="center" wrapText="1"/>
    </xf>
    <xf numFmtId="0" fontId="22" fillId="0" borderId="15" xfId="0" applyFont="1" applyBorder="1" applyNumberFormat="1">
      <alignment horizontal="left" vertical="center" wrapText="1" indent="1"/>
    </xf>
    <xf numFmtId="4" fontId="22" fillId="0" borderId="0" xfId="0" applyFont="1" applyNumberFormat="1">
      <alignment horizontal="right" vertical="center" wrapText="1"/>
    </xf>
    <xf numFmtId="0" fontId="22" fillId="0" borderId="0" xfId="0" applyFont="1" applyNumberFormat="1">
      <alignment horizontal="left" vertical="center" wrapText="1" indent="1"/>
    </xf>
    <xf numFmtId="49" fontId="22" fillId="0" borderId="0" xfId="0" applyFont="1" applyNumberFormat="1">
      <alignment vertical="top"/>
    </xf>
    <xf numFmtId="49" fontId="47" fillId="0" borderId="0" xfId="0" applyFont="1" applyNumberFormat="1">
      <alignment vertical="top"/>
    </xf>
    <xf numFmtId="49" fontId="22" fillId="0" borderId="0" xfId="0" applyFont="1" applyNumberFormat="1">
      <alignment vertical="top"/>
    </xf>
    <xf numFmtId="49" fontId="22" fillId="0" borderId="0" xfId="0" applyFont="1" applyNumberFormat="1">
      <alignment horizontal="center" vertical="center" wrapText="1"/>
    </xf>
    <xf numFmtId="4" fontId="22" fillId="0" borderId="0" xfId="0" applyFont="1" applyNumberFormat="1">
      <alignment horizontal="center" vertical="center" wrapText="1"/>
    </xf>
    <xf numFmtId="0" fontId="22" fillId="0" borderId="0" xfId="0" applyFont="1" applyNumberFormat="1">
      <alignment vertical="center" wrapText="1"/>
    </xf>
    <xf numFmtId="0" fontId="22" fillId="0" borderId="14" xfId="0" applyFont="1" applyBorder="1" applyNumberFormat="1">
      <alignment horizontal="center" vertical="center" wrapText="1"/>
    </xf>
    <xf numFmtId="0" fontId="22" fillId="0" borderId="15" xfId="0" applyFont="1" applyBorder="1" applyNumberFormat="1">
      <alignment horizontal="center" vertical="center" wrapText="1"/>
    </xf>
    <xf numFmtId="0" fontId="22" fillId="0" borderId="13" xfId="0" applyFont="1" applyBorder="1" applyNumberFormat="1">
      <alignment horizontal="center" vertical="center" wrapText="1"/>
    </xf>
    <xf numFmtId="4" fontId="22" fillId="0" borderId="12" xfId="0" applyFont="1" applyBorder="1" applyNumberFormat="1">
      <alignment horizontal="center" vertical="center" wrapText="1"/>
    </xf>
    <xf numFmtId="501" fontId="22" fillId="0" borderId="14" xfId="0" applyFont="1" applyBorder="1" applyNumberFormat="1">
      <alignment horizontal="center" vertical="center" wrapText="1"/>
    </xf>
    <xf numFmtId="501" fontId="22" fillId="0" borderId="12" xfId="0" applyFont="1" applyBorder="1" applyNumberFormat="1">
      <alignment horizontal="center" vertical="center" wrapText="1"/>
    </xf>
    <xf numFmtId="0" fontId="36" fillId="0" borderId="0" xfId="0" applyFont="1" applyNumberFormat="1">
      <alignment horizontal="center" vertical="center" wrapText="1"/>
    </xf>
    <xf numFmtId="49" fontId="36" fillId="0" borderId="15" xfId="0" applyFont="1" applyBorder="1" applyNumberFormat="1">
      <alignment horizontal="center" vertical="center" wrapText="1"/>
    </xf>
    <xf numFmtId="49" fontId="36" fillId="0" borderId="15" xfId="0" applyFont="1" applyBorder="1" applyNumberFormat="1">
      <alignment horizontal="center" vertical="center" wrapText="1"/>
    </xf>
    <xf numFmtId="0" fontId="47" fillId="0" borderId="0" xfId="0" applyFont="1" applyNumberFormat="1">
      <alignment vertical="center"/>
    </xf>
    <xf numFmtId="0" fontId="47" fillId="0" borderId="0" xfId="0" applyFont="1" applyNumberFormat="1">
      <alignment vertical="center"/>
    </xf>
    <xf numFmtId="0" fontId="54" fillId="0" borderId="0" xfId="0" applyFont="1" applyNumberFormat="1">
      <alignment vertical="center"/>
    </xf>
    <xf numFmtId="49" fontId="22" fillId="37" borderId="19" xfId="0" applyFont="1" applyFill="1" applyBorder="1" applyNumberFormat="1">
      <alignment horizontal="center" vertical="center" wrapText="1"/>
    </xf>
    <xf numFmtId="49" fontId="47" fillId="37" borderId="19" xfId="0" applyFont="1" applyFill="1" applyBorder="1" applyNumberFormat="1">
      <alignment horizontal="left" vertical="center" wrapText="1"/>
    </xf>
    <xf numFmtId="49" fontId="47" fillId="37" borderId="20" xfId="0" applyFont="1" applyFill="1" applyBorder="1" applyNumberFormat="1">
      <alignment horizontal="left" vertical="center" wrapText="1"/>
    </xf>
    <xf numFmtId="0" fontId="48" fillId="0" borderId="22" xfId="0" applyFont="1" applyBorder="1" applyNumberFormat="1">
      <alignment vertical="center"/>
    </xf>
    <xf numFmtId="0" fontId="22" fillId="0" borderId="0" xfId="0" applyFont="1" applyNumberFormat="1">
      <alignment horizontal="center" vertical="center" wrapText="1"/>
    </xf>
    <xf numFmtId="0" fontId="37" fillId="0" borderId="0" xfId="0" applyFont="1" applyNumberFormat="1">
      <alignment horizontal="center" vertical="center" wrapText="1"/>
    </xf>
    <xf numFmtId="0" fontId="22" fillId="0" borderId="12" xfId="0" applyFont="1" applyBorder="1" applyNumberFormat="1">
      <alignment horizontal="center" vertical="center" wrapText="1"/>
    </xf>
    <xf numFmtId="0" fontId="48" fillId="0" borderId="12" xfId="0" applyFont="1" applyBorder="1" applyNumberFormat="1">
      <alignment horizontal="center" vertical="center" wrapText="1"/>
    </xf>
    <xf numFmtId="49" fontId="22" fillId="39" borderId="12" xfId="0" applyFont="1" applyFill="1" applyBorder="1" applyNumberFormat="1">
      <alignment vertical="center" wrapText="1"/>
      <protection locked="0"/>
    </xf>
    <xf numFmtId="49" fontId="47" fillId="0" borderId="12" xfId="0" applyFont="1" applyBorder="1" applyNumberFormat="1">
      <alignment horizontal="left" vertical="center" wrapText="1"/>
    </xf>
    <xf numFmtId="0" fontId="48" fillId="0" borderId="0" xfId="0" applyFont="1" applyNumberFormat="1">
      <alignment vertical="center"/>
    </xf>
    <xf numFmtId="0" fontId="48" fillId="0" borderId="0" xfId="0" applyFont="1" applyNumberFormat="1">
      <alignment vertical="center"/>
    </xf>
    <xf numFmtId="0" fontId="42" fillId="0" borderId="0" xfId="0" applyFont="1" applyNumberFormat="1">
      <alignment vertical="center" wrapText="1"/>
    </xf>
    <xf numFmtId="49" fontId="0" fillId="0" borderId="0" xfId="0" applyFont="1" applyNumberFormat="1">
      <alignment vertical="top"/>
    </xf>
    <xf numFmtId="0" fontId="36" fillId="0" borderId="24" xfId="0" applyFont="1" applyBorder="1" applyNumberFormat="1">
      <alignment vertical="top" wrapText="1"/>
    </xf>
    <xf numFmtId="0" fontId="22" fillId="0" borderId="23" xfId="0" applyFont="1" applyBorder="1" applyNumberFormat="1">
      <alignment horizontal="center" vertical="center" wrapText="1"/>
    </xf>
    <xf numFmtId="0" fontId="48" fillId="0" borderId="23" xfId="0" applyFont="1" applyBorder="1" applyNumberFormat="1">
      <alignment horizontal="center" vertical="center" wrapText="1"/>
    </xf>
    <xf numFmtId="14" fontId="22" fillId="40" borderId="23" xfId="0" applyFont="1" applyFill="1" applyBorder="1" applyNumberFormat="1">
      <alignment horizontal="left" vertical="center" wrapText="1" indent="1"/>
    </xf>
    <xf numFmtId="49" fontId="22" fillId="34" borderId="23" xfId="0" applyFont="1" applyFill="1" applyBorder="1" applyNumberFormat="1">
      <alignment horizontal="center" vertical="center" wrapText="1"/>
    </xf>
    <xf numFmtId="0" fontId="74" fillId="0" borderId="0" xfId="0" applyFont="1" applyNumberFormat="1">
      <alignment vertical="center" wrapText="1"/>
    </xf>
    <xf numFmtId="49" fontId="47" fillId="0" borderId="0" xfId="0" applyFont="1" applyNumberFormat="1">
      <alignment vertical="top"/>
    </xf>
    <xf numFmtId="49" fontId="48" fillId="0" borderId="0" xfId="0" applyFont="1" applyNumberFormat="1">
      <alignment vertical="top"/>
    </xf>
    <xf numFmtId="49" fontId="0" fillId="0" borderId="0" xfId="0" applyFont="1" applyNumberFormat="1">
      <alignment vertical="top"/>
    </xf>
    <xf numFmtId="0" fontId="0" fillId="0" borderId="0" xfId="0" applyFont="1" applyNumberFormat="1">
      <alignment vertical="center" wrapText="1"/>
    </xf>
    <xf numFmtId="0" fontId="36" fillId="0" borderId="0" xfId="0" applyFont="1" applyNumberFormat="1">
      <alignment vertical="top" wrapText="1"/>
    </xf>
    <xf numFmtId="49" fontId="50" fillId="37" borderId="14" xfId="0" applyFont="1" applyFill="1" applyBorder="1" applyNumberFormat="1">
      <alignment horizontal="right" vertical="center" wrapText="1"/>
    </xf>
    <xf numFmtId="49" fontId="50" fillId="37" borderId="15" xfId="0" applyFont="1" applyFill="1" applyBorder="1" applyNumberFormat="1">
      <alignment horizontal="right" vertical="center" wrapText="1"/>
    </xf>
    <xf numFmtId="49" fontId="40" fillId="37" borderId="15" xfId="0" applyFont="1" applyFill="1" applyBorder="1" applyNumberFormat="1">
      <alignment horizontal="left" vertical="center" indent="1"/>
    </xf>
    <xf numFmtId="49" fontId="0" fillId="37" borderId="15" xfId="0" applyFont="1" applyFill="1" applyBorder="1" applyNumberFormat="1">
      <alignment horizontal="right" vertical="center" wrapText="1"/>
    </xf>
    <xf numFmtId="49" fontId="0" fillId="37" borderId="13" xfId="0" applyFont="1" applyFill="1" applyBorder="1" applyNumberFormat="1">
      <alignment horizontal="right" vertical="center" wrapText="1"/>
    </xf>
    <xf numFmtId="49" fontId="22" fillId="37" borderId="14"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40" fillId="37" borderId="15" xfId="0" applyFont="1" applyFill="1" applyBorder="1" applyNumberFormat="1">
      <alignment horizontal="left" vertical="center"/>
    </xf>
    <xf numFmtId="49" fontId="22" fillId="37" borderId="13" xfId="0" applyFont="1" applyFill="1" applyBorder="1" applyNumberFormat="1">
      <alignment horizontal="right" vertical="center" wrapText="1"/>
    </xf>
    <xf numFmtId="0" fontId="37" fillId="0" borderId="0" xfId="0" applyFont="1" applyNumberFormat="1">
      <alignment horizontal="center" vertical="center" wrapText="1"/>
    </xf>
    <xf numFmtId="0" fontId="22" fillId="0" borderId="21" xfId="0" applyFont="1" applyBorder="1" applyNumberFormat="1">
      <alignment vertical="center" wrapText="1"/>
    </xf>
    <xf numFmtId="0" fontId="45" fillId="0" borderId="0" xfId="0" applyFont="1" applyNumberFormat="1">
      <alignment vertical="center" wrapText="1"/>
    </xf>
    <xf numFmtId="0" fontId="94" fillId="0" borderId="0" xfId="0" applyFont="1" applyNumberFormat="1">
      <alignment vertical="center" wrapText="1"/>
    </xf>
    <xf numFmtId="0" fontId="51" fillId="0" borderId="0" xfId="0" applyFont="1" applyNumberFormat="1">
      <alignment horizontal="center" vertical="center" wrapText="1"/>
    </xf>
    <xf numFmtId="0" fontId="45" fillId="0" borderId="0" xfId="0" applyFont="1" applyNumberFormat="1">
      <alignment vertical="center" wrapText="1"/>
    </xf>
    <xf numFmtId="49" fontId="0" fillId="0" borderId="0" xfId="0" applyFont="1" applyNumberFormat="1">
      <alignment vertical="top"/>
    </xf>
    <xf numFmtId="0" fontId="37" fillId="0" borderId="0" xfId="0" applyFont="1" applyNumberFormat="1">
      <alignment horizontal="center" vertical="center" wrapText="1"/>
    </xf>
    <xf numFmtId="0" fontId="48" fillId="0" borderId="0" xfId="0" applyFont="1" applyNumberFormat="1">
      <alignment vertical="center"/>
    </xf>
    <xf numFmtId="0" fontId="55" fillId="0" borderId="0" xfId="0" applyFont="1" applyNumberFormat="1">
      <alignment vertical="center"/>
    </xf>
    <xf numFmtId="0" fontId="0" fillId="0" borderId="0" xfId="0" applyFont="1" applyNumberFormat="1">
      <alignment vertical="center"/>
    </xf>
    <xf numFmtId="0" fontId="22" fillId="0" borderId="0" xfId="0" applyFont="1" applyNumberFormat="1">
      <alignment vertical="center"/>
    </xf>
    <xf numFmtId="0" fontId="22" fillId="0" borderId="20" xfId="0" applyFont="1" applyBorder="1" applyNumberFormat="1">
      <alignment horizontal="left" vertical="center" wrapText="1" indent="1"/>
    </xf>
    <xf numFmtId="0" fontId="22" fillId="0" borderId="17" xfId="0" applyFont="1" applyBorder="1" applyNumberFormat="1">
      <alignment horizontal="left" vertical="center" wrapText="1" indent="1"/>
    </xf>
    <xf numFmtId="0" fontId="22" fillId="0" borderId="37" xfId="0" applyFont="1" applyBorder="1" applyNumberFormat="1">
      <alignment horizontal="left" vertical="center" wrapText="1" indent="1"/>
    </xf>
    <xf numFmtId="0" fontId="47" fillId="0" borderId="0" xfId="0" applyFont="1" applyNumberFormat="1">
      <alignment vertical="center"/>
    </xf>
    <xf numFmtId="0" fontId="41" fillId="0" borderId="0" xfId="0" applyFont="1" applyNumberFormat="1">
      <alignment vertical="center"/>
    </xf>
    <xf numFmtId="0" fontId="22" fillId="0" borderId="29" xfId="0" applyFont="1" applyBorder="1" applyNumberFormat="1">
      <alignment horizontal="left" vertical="center" indent="1"/>
    </xf>
    <xf numFmtId="0" fontId="22" fillId="0" borderId="23" xfId="0" applyFont="1" applyBorder="1" applyNumberFormat="1">
      <alignment horizontal="left" vertical="center" indent="1"/>
    </xf>
    <xf numFmtId="0" fontId="22" fillId="0" borderId="30" xfId="0" applyFont="1" applyBorder="1" applyNumberFormat="1">
      <alignment horizontal="left" vertical="center" indent="1"/>
    </xf>
    <xf numFmtId="0" fontId="86" fillId="0" borderId="0" xfId="0" applyFont="1" applyNumberFormat="1">
      <alignment vertical="center"/>
    </xf>
    <xf numFmtId="0" fontId="49" fillId="0" borderId="0" xfId="0" applyFont="1" applyNumberFormat="1">
      <alignment vertical="center"/>
    </xf>
    <xf numFmtId="0" fontId="108" fillId="0" borderId="0" xfId="0" applyFont="1" applyNumberFormat="1">
      <alignment vertical="center"/>
    </xf>
    <xf numFmtId="0" fontId="41" fillId="0" borderId="0" xfId="0" applyFont="1" applyNumberFormat="1">
      <alignment vertical="center"/>
    </xf>
    <xf numFmtId="0" fontId="22" fillId="0" borderId="0" xfId="0" applyFont="1" applyNumberFormat="1">
      <alignment horizontal="center" vertical="center" wrapText="1"/>
    </xf>
    <xf numFmtId="0" fontId="22" fillId="0" borderId="0" xfId="0" applyFont="1" applyNumberFormat="1">
      <alignment vertical="center" wrapText="1"/>
    </xf>
    <xf numFmtId="0" fontId="86" fillId="0" borderId="0" xfId="0" applyFont="1" applyNumberFormat="1">
      <alignment vertical="center"/>
    </xf>
    <xf numFmtId="0" fontId="49" fillId="0" borderId="0" xfId="0" applyFont="1" applyNumberFormat="1">
      <alignment vertical="center"/>
    </xf>
    <xf numFmtId="0" fontId="108" fillId="0" borderId="0" xfId="0" applyFont="1" applyNumberFormat="1">
      <alignment vertical="center"/>
    </xf>
    <xf numFmtId="0" fontId="41" fillId="0" borderId="0" xfId="0" applyFont="1" applyNumberFormat="1">
      <alignment vertical="center"/>
    </xf>
    <xf numFmtId="0" fontId="0" fillId="0" borderId="0" xfId="0" applyFont="1" applyNumberFormat="1">
      <alignment horizontal="left" vertical="center" wrapText="1" indent="2"/>
    </xf>
    <xf numFmtId="0" fontId="0" fillId="0" borderId="0" xfId="0" applyFont="1" applyNumberFormat="1">
      <alignment horizontal="left" vertical="center" indent="2"/>
    </xf>
    <xf numFmtId="0" fontId="31" fillId="0" borderId="0" xfId="0" applyFont="1" applyNumberFormat="1">
      <alignment vertical="center"/>
    </xf>
    <xf numFmtId="0" fontId="22" fillId="42" borderId="0" xfId="0" applyFont="1" applyFill="1" applyNumberFormat="1">
      <alignment horizontal="center" vertical="center" wrapText="1"/>
    </xf>
    <xf numFmtId="0" fontId="22" fillId="0" borderId="0" xfId="0" applyFont="1" applyNumberFormat="1">
      <alignment vertical="center" wrapText="1"/>
    </xf>
    <xf numFmtId="0" fontId="22" fillId="0" borderId="12" xfId="0" applyFont="1" applyBorder="1" applyNumberFormat="1">
      <alignment horizontal="center" vertical="center" wrapText="1"/>
    </xf>
    <xf numFmtId="0" fontId="75" fillId="0" borderId="37" xfId="0" applyFont="1" applyBorder="1" applyNumberFormat="1">
      <alignment horizontal="center" vertical="center" wrapText="1"/>
    </xf>
    <xf numFmtId="0" fontId="75" fillId="0" borderId="19" xfId="0" applyFont="1" applyBorder="1" applyNumberFormat="1">
      <alignment horizontal="center" vertical="center" wrapText="1"/>
    </xf>
    <xf numFmtId="0" fontId="75" fillId="0" borderId="12" xfId="0" applyFont="1" applyBorder="1" applyNumberFormat="1">
      <alignment horizontal="center" vertical="center" wrapText="1"/>
    </xf>
    <xf numFmtId="0" fontId="22" fillId="0" borderId="0" xfId="0" applyFont="1" applyNumberFormat="1">
      <alignment horizontal="center" vertical="center" wrapText="1"/>
    </xf>
    <xf numFmtId="0" fontId="82" fillId="0" borderId="0" xfId="0" applyFont="1" applyNumberFormat="1">
      <alignment horizontal="center" vertical="center" wrapText="1"/>
    </xf>
    <xf numFmtId="0" fontId="22" fillId="0" borderId="12" xfId="0" applyFont="1" applyBorder="1" applyNumberFormat="1">
      <alignment horizontal="center" vertical="center" wrapText="1"/>
    </xf>
    <xf numFmtId="0" fontId="22" fillId="0" borderId="71" xfId="0" applyFont="1" applyBorder="1" applyNumberFormat="1">
      <alignment horizontal="center" vertical="center" wrapText="1"/>
    </xf>
    <xf numFmtId="0" fontId="22" fillId="0" borderId="72" xfId="0" applyFont="1" applyBorder="1" applyNumberFormat="1">
      <alignment horizontal="center" vertical="center" wrapText="1"/>
    </xf>
    <xf numFmtId="0" fontId="47" fillId="0" borderId="22" xfId="0" applyFont="1" applyBorder="1" applyNumberFormat="1">
      <alignment vertical="center"/>
    </xf>
    <xf numFmtId="0" fontId="0" fillId="0" borderId="0" xfId="0" applyFont="1" applyNumberFormat="1">
      <alignment vertical="center"/>
    </xf>
    <xf numFmtId="49" fontId="36" fillId="0" borderId="0" xfId="0" applyFont="1" applyNumberFormat="1">
      <alignment horizontal="center" vertical="center" wrapText="1"/>
    </xf>
    <xf numFmtId="49" fontId="36" fillId="0" borderId="12" xfId="0" applyFont="1" applyBorder="1" applyNumberFormat="1">
      <alignment horizontal="center" vertical="center" wrapText="1"/>
    </xf>
    <xf numFmtId="49" fontId="36" fillId="0" borderId="69" xfId="0" applyFont="1" applyBorder="1" applyNumberFormat="1">
      <alignment horizontal="center" vertical="center" wrapText="1"/>
    </xf>
    <xf numFmtId="49" fontId="36" fillId="0" borderId="70" xfId="0" applyFont="1" applyBorder="1" applyNumberFormat="1">
      <alignment horizontal="center" vertical="center" wrapText="1"/>
    </xf>
    <xf numFmtId="49" fontId="36" fillId="0" borderId="14" xfId="0" applyFont="1" applyBorder="1" applyNumberFormat="1">
      <alignment horizontal="center" vertical="center" wrapText="1"/>
    </xf>
    <xf numFmtId="49" fontId="36" fillId="0" borderId="13" xfId="0" applyFont="1" applyBorder="1" applyNumberFormat="1">
      <alignment horizontal="center" vertical="center" wrapText="1"/>
    </xf>
    <xf numFmtId="0" fontId="47" fillId="0" borderId="22" xfId="0" applyFont="1" applyBorder="1" applyNumberFormat="1">
      <alignment vertical="center"/>
    </xf>
    <xf numFmtId="0" fontId="48" fillId="0" borderId="0" xfId="0" applyFont="1" applyNumberFormat="1">
      <alignment vertical="center"/>
    </xf>
    <xf numFmtId="0" fontId="48" fillId="0" borderId="0" xfId="0" applyFont="1" applyNumberFormat="1">
      <alignment vertical="center"/>
    </xf>
    <xf numFmtId="0" fontId="22" fillId="0" borderId="0" xfId="0" applyFont="1" applyNumberFormat="1">
      <alignment vertical="center"/>
    </xf>
    <xf numFmtId="0" fontId="47" fillId="0" borderId="0" xfId="0" applyFont="1" applyNumberFormat="1">
      <alignment vertical="center"/>
    </xf>
    <xf numFmtId="0" fontId="0" fillId="0" borderId="0" xfId="0" applyFont="1" applyNumberFormat="1">
      <alignment vertical="center"/>
    </xf>
    <xf numFmtId="0" fontId="48" fillId="0" borderId="0" xfId="0" applyFont="1" applyNumberFormat="1">
      <alignment horizontal="center" vertical="center"/>
    </xf>
    <xf numFmtId="0" fontId="22" fillId="0" borderId="0" xfId="0" applyFont="1" applyNumberFormat="1">
      <alignment horizontal="center" vertical="center" wrapText="1"/>
    </xf>
    <xf numFmtId="0" fontId="22" fillId="37" borderId="14"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41" xfId="0" applyFont="1" applyFill="1" applyBorder="1" applyNumberFormat="1">
      <alignment horizontal="center" vertical="center" wrapText="1"/>
    </xf>
    <xf numFmtId="49" fontId="0" fillId="37" borderId="15" xfId="0" applyFont="1" applyFill="1" applyBorder="1" applyNumberFormat="1">
      <alignment horizontal="left" vertical="center"/>
    </xf>
    <xf numFmtId="0" fontId="0" fillId="37" borderId="13" xfId="0" applyFont="1" applyFill="1" applyBorder="1" applyNumberFormat="1">
      <alignment vertical="center"/>
    </xf>
    <xf numFmtId="49" fontId="0" fillId="0" borderId="0" xfId="0" applyFont="1" applyNumberFormat="1">
      <alignment vertical="top"/>
    </xf>
    <xf numFmtId="0" fontId="37"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pplyNumberFormat="1">
      <alignment horizontal="left" vertical="center" wrapText="1" indent="2"/>
    </xf>
    <xf numFmtId="49" fontId="22" fillId="40" borderId="23" xfId="0" applyFont="1" applyFill="1" applyBorder="1" applyNumberFormat="1">
      <alignment horizontal="center" vertical="center" wrapText="1"/>
    </xf>
    <xf numFmtId="14" fontId="81" fillId="0" borderId="68" xfId="0" applyFont="1" applyBorder="1" applyNumberFormat="1">
      <alignment horizontal="center" vertical="center" wrapText="1"/>
    </xf>
    <xf numFmtId="0" fontId="22" fillId="0" borderId="68" xfId="0" applyFont="1" applyBorder="1" applyNumberFormat="1">
      <alignment horizontal="center" vertical="center" wrapText="1"/>
    </xf>
    <xf numFmtId="0" fontId="22" fillId="40" borderId="17" xfId="0" applyFont="1" applyFill="1" applyBorder="1" applyNumberFormat="1">
      <alignment horizontal="left" vertical="center" wrapText="1" indent="1"/>
    </xf>
    <xf numFmtId="49" fontId="22" fillId="40" borderId="12" xfId="0" applyFont="1" applyFill="1" applyBorder="1" applyNumberFormat="1">
      <alignment horizontal="center" vertical="center" wrapText="1"/>
    </xf>
    <xf numFmtId="49" fontId="22" fillId="0" borderId="17" xfId="0" applyFont="1" applyBorder="1" applyNumberFormat="1">
      <alignment horizontal="center" vertical="center" wrapText="1"/>
    </xf>
    <xf numFmtId="49" fontId="22" fillId="0" borderId="12" xfId="0" applyFont="1" applyBorder="1" applyNumberFormat="1">
      <alignment horizontal="center" vertical="center" wrapText="1"/>
    </xf>
    <xf numFmtId="49" fontId="75" fillId="0" borderId="12" xfId="0" applyFont="1" applyBorder="1" applyNumberFormat="1">
      <alignment horizontal="left" vertical="center" wrapText="1" indent="1"/>
    </xf>
    <xf numFmtId="0" fontId="47" fillId="0" borderId="22" xfId="0" applyFont="1" applyBorder="1" applyNumberFormat="1">
      <alignment vertical="center"/>
    </xf>
    <xf numFmtId="0" fontId="48" fillId="0" borderId="0" xfId="0" applyFont="1" applyNumberFormat="1">
      <alignment vertical="center"/>
    </xf>
    <xf numFmtId="0" fontId="22" fillId="0" borderId="0" xfId="0" applyFont="1" applyNumberFormat="1">
      <alignment vertical="center"/>
    </xf>
    <xf numFmtId="0" fontId="47" fillId="0" borderId="0" xfId="0" applyFont="1" applyNumberFormat="1">
      <alignment vertical="center"/>
    </xf>
    <xf numFmtId="0" fontId="0" fillId="0" borderId="0" xfId="0" applyFont="1" applyNumberFormat="1">
      <alignment vertical="center"/>
    </xf>
    <xf numFmtId="0" fontId="22" fillId="40" borderId="36" xfId="0" applyFont="1" applyFill="1" applyBorder="1" applyNumberFormat="1">
      <alignment horizontal="left" vertical="center" wrapText="1" indent="2"/>
    </xf>
    <xf numFmtId="0" fontId="22" fillId="40" borderId="23" xfId="0" applyFont="1" applyFill="1" applyBorder="1" applyNumberFormat="1">
      <alignment horizontal="left" vertical="center" wrapText="1" indent="1"/>
    </xf>
    <xf numFmtId="49" fontId="40" fillId="37" borderId="13" xfId="0" applyFont="1" applyFill="1" applyBorder="1" applyNumberFormat="1">
      <alignment horizontal="left" vertical="center" indent="1"/>
    </xf>
    <xf numFmtId="0" fontId="22" fillId="40" borderId="23" xfId="0" applyFont="1" applyFill="1" applyBorder="1" applyNumberFormat="1">
      <alignment horizontal="left" vertical="center" wrapText="1" indent="2"/>
    </xf>
    <xf numFmtId="49" fontId="50" fillId="37" borderId="42" xfId="0" applyFont="1" applyFill="1" applyBorder="1" applyNumberFormat="1">
      <alignment horizontal="right" vertical="center" wrapText="1"/>
    </xf>
    <xf numFmtId="49" fontId="50" fillId="37" borderId="43" xfId="0" applyFont="1" applyFill="1" applyBorder="1" applyNumberFormat="1">
      <alignment horizontal="right" vertical="center" wrapText="1"/>
    </xf>
    <xf numFmtId="49" fontId="40" fillId="37" borderId="15" xfId="0" applyFont="1" applyFill="1" applyBorder="1" applyNumberFormat="1">
      <alignment horizontal="left" vertical="center" indent="1"/>
    </xf>
    <xf numFmtId="49" fontId="50" fillId="37" borderId="13" xfId="0" applyFont="1" applyFill="1" applyBorder="1" applyNumberFormat="1">
      <alignment horizontal="right" vertical="center" wrapText="1"/>
    </xf>
    <xf numFmtId="0" fontId="75" fillId="42" borderId="0" xfId="0" applyFont="1" applyFill="1" applyNumberFormat="1">
      <alignment vertical="top"/>
    </xf>
    <xf numFmtId="49" fontId="22" fillId="0" borderId="0" xfId="0" applyFont="1" applyNumberFormat="1">
      <alignment vertical="center" wrapText="1"/>
    </xf>
    <xf numFmtId="49" fontId="22" fillId="0" borderId="0" xfId="0" applyFont="1" applyNumberFormat="1">
      <alignment horizontal="center" vertical="center" wrapText="1"/>
    </xf>
    <xf numFmtId="49" fontId="40" fillId="37" borderId="15" xfId="0" applyFont="1" applyFill="1" applyBorder="1" applyNumberFormat="1">
      <alignment horizontal="left" vertical="center" indent="2"/>
    </xf>
    <xf numFmtId="0" fontId="22" fillId="0" borderId="0" xfId="0" applyFont="1" applyNumberFormat="1">
      <alignment vertical="center"/>
    </xf>
    <xf numFmtId="0" fontId="47" fillId="0" borderId="0" xfId="0" applyFont="1" applyNumberFormat="1">
      <alignment vertical="center"/>
    </xf>
    <xf numFmtId="0" fontId="22" fillId="0" borderId="0" xfId="0" applyFont="1" applyNumberFormat="1">
      <alignment vertical="center"/>
    </xf>
    <xf numFmtId="0" fontId="48" fillId="0" borderId="0" xfId="0" applyFont="1" applyNumberFormat="1">
      <alignment vertical="center"/>
    </xf>
    <xf numFmtId="0" fontId="0" fillId="0" borderId="0" xfId="0" applyFont="1" applyNumberFormat="1">
      <alignment vertical="center"/>
    </xf>
    <xf numFmtId="0" fontId="49" fillId="0" borderId="0" xfId="0" applyFont="1" applyNumberFormat="1">
      <alignment vertical="center"/>
    </xf>
    <xf numFmtId="0" fontId="22" fillId="0" borderId="20" xfId="0" applyFont="1" applyBorder="1" applyNumberFormat="1">
      <alignment horizontal="left" vertical="top" wrapText="1" indent="1"/>
    </xf>
    <xf numFmtId="0" fontId="22" fillId="0" borderId="17" xfId="0" applyFont="1" applyBorder="1" applyNumberFormat="1">
      <alignment horizontal="left" vertical="top" wrapText="1" indent="1"/>
    </xf>
    <xf numFmtId="0" fontId="22" fillId="0" borderId="37" xfId="0" applyFont="1" applyBorder="1" applyNumberFormat="1">
      <alignment horizontal="left" vertical="top" wrapText="1" indent="1"/>
    </xf>
    <xf numFmtId="0" fontId="64" fillId="0" borderId="0" xfId="0" applyFont="1" applyNumberFormat="1">
      <alignment vertical="center" wrapText="1"/>
    </xf>
    <xf numFmtId="0" fontId="46" fillId="0" borderId="0" xfId="0" applyFont="1" applyNumberFormat="1">
      <alignment vertical="center" wrapText="1"/>
    </xf>
    <xf numFmtId="0" fontId="46" fillId="0" borderId="0" xfId="0" applyFont="1" applyNumberFormat="1">
      <alignment vertical="center" wrapText="1"/>
    </xf>
    <xf numFmtId="0" fontId="108" fillId="0" borderId="0" xfId="0" applyFont="1" applyNumberFormat="1">
      <alignment vertical="center"/>
    </xf>
    <xf numFmtId="0" fontId="41" fillId="0" borderId="0" xfId="0" applyFont="1" applyNumberFormat="1">
      <alignment vertical="center"/>
    </xf>
    <xf numFmtId="0" fontId="22" fillId="0" borderId="27" xfId="0" applyFont="1" applyBorder="1" applyNumberFormat="1">
      <alignment horizontal="left" vertical="center" indent="1"/>
    </xf>
    <xf numFmtId="0" fontId="67" fillId="0" borderId="0" xfId="0" applyFont="1" applyNumberFormat="1">
      <alignment vertical="center"/>
    </xf>
    <xf numFmtId="0" fontId="48" fillId="0" borderId="0" xfId="0" applyFont="1" applyNumberFormat="1">
      <alignment vertical="center"/>
    </xf>
    <xf numFmtId="0" fontId="72" fillId="0" borderId="24" xfId="0" applyFont="1" applyBorder="1" applyNumberFormat="1">
      <alignment horizontal="left" vertical="center" wrapText="1" indent="1"/>
    </xf>
    <xf numFmtId="0" fontId="72" fillId="0" borderId="36" xfId="0" applyFont="1" applyBorder="1" applyNumberFormat="1">
      <alignment horizontal="left" vertical="center" wrapText="1" indent="1"/>
    </xf>
    <xf numFmtId="0" fontId="72" fillId="0" borderId="22" xfId="0" applyFont="1" applyBorder="1" applyNumberFormat="1">
      <alignment horizontal="left" vertical="center" wrapText="1" indent="1"/>
    </xf>
    <xf numFmtId="0" fontId="67" fillId="0" borderId="0" xfId="0" applyFont="1" applyNumberFormat="1">
      <alignment vertical="center"/>
    </xf>
    <xf numFmtId="0" fontId="22" fillId="0" borderId="0" xfId="0" applyFont="1" applyNumberFormat="1">
      <alignment vertical="center"/>
    </xf>
    <xf numFmtId="0" fontId="67" fillId="0" borderId="0" xfId="0" applyFont="1" applyNumberFormat="1">
      <alignment vertical="center"/>
    </xf>
    <xf numFmtId="0" fontId="31" fillId="0" borderId="0" xfId="0" applyFont="1" applyNumberFormat="1">
      <alignment vertical="center"/>
    </xf>
    <xf numFmtId="0" fontId="41" fillId="0" borderId="0" xfId="0" applyFont="1" applyNumberFormat="1">
      <alignment vertical="center"/>
    </xf>
    <xf numFmtId="0" fontId="0"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0" xfId="0" applyFont="1" applyNumberFormat="1">
      <alignment vertical="center"/>
    </xf>
    <xf numFmtId="49" fontId="48" fillId="35" borderId="0" xfId="0" applyFont="1" applyFill="1" applyNumberFormat="1">
      <alignment horizontal="center" vertical="center" wrapText="1"/>
    </xf>
    <xf numFmtId="49" fontId="48" fillId="35" borderId="27" xfId="0" applyFont="1" applyFill="1" applyBorder="1" applyNumberFormat="1">
      <alignment horizontal="center" vertical="center" wrapText="1"/>
    </xf>
    <xf numFmtId="0" fontId="48" fillId="0" borderId="0" xfId="0" applyFont="1" applyNumberFormat="1">
      <alignment vertical="center"/>
    </xf>
    <xf numFmtId="0" fontId="37" fillId="0" borderId="0" xfId="0" applyFont="1" applyNumberFormat="1">
      <alignment horizontal="center" vertical="center" wrapText="1"/>
    </xf>
    <xf numFmtId="0" fontId="48" fillId="0" borderId="12" xfId="0" applyFont="1" applyBorder="1" applyNumberFormat="1">
      <alignment horizontal="center" vertical="center"/>
    </xf>
    <xf numFmtId="0" fontId="22" fillId="0" borderId="12" xfId="0" applyFont="1" applyBorder="1" applyNumberFormat="1">
      <alignment horizontal="center" vertical="center" wrapText="1"/>
    </xf>
    <xf numFmtId="0" fontId="0" fillId="0" borderId="12" xfId="0" applyFont="1" applyBorder="1" applyNumberFormat="1">
      <alignment horizontal="center" vertical="center"/>
    </xf>
    <xf numFmtId="49" fontId="22" fillId="0" borderId="12" xfId="0" applyFont="1" applyBorder="1" applyNumberFormat="1">
      <alignment horizontal="center" vertical="center" wrapText="1"/>
    </xf>
    <xf numFmtId="49" fontId="22" fillId="0" borderId="12" xfId="0" applyFont="1" applyBorder="1" applyNumberFormat="1">
      <alignment horizontal="center" vertical="center" wrapText="1"/>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12" xfId="0" applyFont="1" applyBorder="1" applyNumberFormat="1">
      <alignment horizontal="center" vertical="center" wrapText="1"/>
    </xf>
    <xf numFmtId="49" fontId="22" fillId="0" borderId="12" xfId="0" applyFont="1" applyBorder="1" applyNumberFormat="1">
      <alignment horizontal="center" vertical="center" wrapText="1"/>
    </xf>
    <xf numFmtId="49" fontId="0" fillId="0" borderId="12" xfId="0" applyFont="1" applyBorder="1" applyNumberFormat="1">
      <alignment horizontal="left" vertical="center"/>
    </xf>
    <xf numFmtId="0" fontId="0" fillId="0" borderId="0" xfId="0" applyFont="1" applyNumberFormat="1">
      <alignment vertical="center"/>
    </xf>
    <xf numFmtId="49" fontId="0" fillId="0" borderId="0" xfId="0" applyFont="1" applyNumberFormat="1">
      <alignment vertical="center"/>
    </xf>
    <xf numFmtId="0" fontId="0" fillId="0" borderId="12" xfId="0" applyFont="1" applyBorder="1" applyNumberFormat="1">
      <alignment horizontal="center" vertical="top"/>
    </xf>
    <xf numFmtId="0" fontId="22" fillId="0" borderId="12" xfId="0" applyFont="1" applyBorder="1" applyNumberFormat="1">
      <alignment horizontal="left" vertical="top" wrapText="1"/>
    </xf>
    <xf numFmtId="0" fontId="22" fillId="40" borderId="17" xfId="0" applyFont="1" applyFill="1" applyBorder="1" applyNumberFormat="1">
      <alignment horizontal="center" vertical="top" wrapText="1"/>
    </xf>
    <xf numFmtId="0" fontId="0" fillId="0" borderId="37" xfId="0" applyFont="1" applyBorder="1" applyNumberFormat="1">
      <alignment horizontal="center" vertical="center"/>
    </xf>
    <xf numFmtId="0" fontId="0" fillId="0" borderId="19" xfId="0" applyFont="1" applyBorder="1" applyNumberFormat="1">
      <alignment horizontal="center" vertical="center"/>
    </xf>
    <xf numFmtId="49" fontId="22"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0" fillId="0" borderId="19" xfId="0" applyFont="1" applyBorder="1" applyNumberFormat="1">
      <alignment horizontal="left"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22" fillId="0" borderId="20" xfId="0" applyFont="1" applyBorder="1" applyNumberFormat="1">
      <alignment horizontal="left" vertical="center" wrapText="1"/>
    </xf>
    <xf numFmtId="0" fontId="22" fillId="0" borderId="0" xfId="0" applyFont="1" applyNumberFormat="1">
      <alignment horizontal="left" vertical="center" indent="1"/>
    </xf>
    <xf numFmtId="0" fontId="0" fillId="0" borderId="0" xfId="0" applyFont="1" applyNumberFormat="1">
      <alignment vertical="center"/>
    </xf>
    <xf numFmtId="0" fontId="0" fillId="0" borderId="0" xfId="0" applyFont="1" applyNumberFormat="1">
      <alignment vertical="center"/>
    </xf>
    <xf numFmtId="0" fontId="22" fillId="40" borderId="36" xfId="0" applyFont="1" applyFill="1" applyBorder="1" applyNumberFormat="1">
      <alignment horizontal="center" vertical="top" wrapText="1"/>
    </xf>
    <xf numFmtId="0" fontId="0" fillId="0" borderId="22" xfId="0" applyFont="1" applyBorder="1" applyNumberFormat="1">
      <alignment horizontal="center" vertical="center"/>
    </xf>
    <xf numFmtId="0" fontId="0" fillId="0" borderId="0" xfId="0" applyFont="1" applyNumberFormat="1">
      <alignment horizontal="center" vertical="center"/>
    </xf>
    <xf numFmtId="49" fontId="22" fillId="0" borderId="0" xfId="0" applyFont="1" applyNumberFormat="1">
      <alignment horizontal="left" vertical="center" wrapText="1"/>
    </xf>
    <xf numFmtId="49" fontId="22" fillId="0" borderId="0" xfId="0" applyFont="1" applyNumberFormat="1">
      <alignment horizontal="center" vertical="center" wrapText="1"/>
    </xf>
    <xf numFmtId="0" fontId="0" fillId="0" borderId="0" xfId="0" applyFont="1" applyNumberFormat="1">
      <alignment horizontal="left" vertical="center" wrapText="1"/>
    </xf>
    <xf numFmtId="49" fontId="0" fillId="0" borderId="0" xfId="0" applyFont="1" applyNumberFormat="1">
      <alignment horizontal="left" vertical="center" wrapText="1"/>
    </xf>
    <xf numFmtId="0" fontId="40" fillId="0" borderId="0" xfId="0" applyFont="1" applyNumberFormat="1">
      <alignment horizontal="left" vertical="center"/>
    </xf>
    <xf numFmtId="0" fontId="40" fillId="0" borderId="24" xfId="0" applyFont="1" applyBorder="1" applyNumberFormat="1">
      <alignment horizontal="left" vertical="center"/>
    </xf>
    <xf numFmtId="49" fontId="0" fillId="0" borderId="0" xfId="0" applyFont="1" applyNumberFormat="1">
      <alignment horizontal="left" vertical="top"/>
    </xf>
    <xf numFmtId="49" fontId="22" fillId="0" borderId="0" xfId="0" applyFont="1" applyNumberFormat="1">
      <alignment horizontal="center" vertical="center" wrapText="1"/>
    </xf>
    <xf numFmtId="0" fontId="0" fillId="0" borderId="0" xfId="0" applyFont="1" applyNumberFormat="1">
      <alignment vertical="center"/>
    </xf>
    <xf numFmtId="0" fontId="0" fillId="0" borderId="0" xfId="0" applyFont="1" applyNumberFormat="1">
      <alignment vertical="center"/>
    </xf>
    <xf numFmtId="49" fontId="0" fillId="0" borderId="12" xfId="0" applyFont="1" applyBorder="1" applyNumberFormat="1">
      <alignment vertical="top"/>
    </xf>
    <xf numFmtId="49" fontId="0" fillId="0" borderId="12" xfId="0" applyFont="1" applyBorder="1" applyNumberFormat="1">
      <alignment horizontal="left" vertical="top"/>
    </xf>
    <xf numFmtId="0" fontId="22" fillId="40" borderId="23" xfId="0" applyFont="1" applyFill="1" applyBorder="1" applyNumberFormat="1">
      <alignment horizontal="center" vertical="top" wrapText="1"/>
    </xf>
    <xf numFmtId="0" fontId="40" fillId="0" borderId="30" xfId="0" applyFont="1" applyBorder="1" applyNumberFormat="1">
      <alignment horizontal="left" vertical="center"/>
    </xf>
    <xf numFmtId="0" fontId="40" fillId="0" borderId="27" xfId="0" applyFont="1" applyBorder="1" applyNumberFormat="1">
      <alignment horizontal="left" vertical="center"/>
    </xf>
    <xf numFmtId="0" fontId="0" fillId="0" borderId="27" xfId="0" applyFont="1" applyBorder="1" applyNumberFormat="1">
      <alignment vertical="center"/>
    </xf>
    <xf numFmtId="0" fontId="40" fillId="0" borderId="29" xfId="0" applyFont="1" applyBorder="1" applyNumberFormat="1">
      <alignment horizontal="left" vertical="center"/>
    </xf>
    <xf numFmtId="0" fontId="22" fillId="39" borderId="12" xfId="0" applyFont="1" applyFill="1" applyBorder="1" applyNumberFormat="1">
      <alignment horizontal="left" vertical="top" wrapText="1"/>
      <protection locked="0"/>
    </xf>
    <xf numFmtId="0" fontId="22" fillId="40" borderId="12" xfId="0" applyFont="1" applyFill="1" applyBorder="1" applyNumberFormat="1">
      <alignment horizontal="left" vertical="top" wrapText="1"/>
    </xf>
    <xf numFmtId="0" fontId="0" fillId="0" borderId="12" xfId="0" applyFont="1" applyBorder="1" applyNumberFormat="1">
      <alignment horizontal="center" vertical="center"/>
    </xf>
    <xf numFmtId="49" fontId="22" fillId="36" borderId="12" xfId="0" applyFont="1" applyFill="1" applyBorder="1" applyNumberFormat="1">
      <alignment horizontal="left" vertical="center" wrapText="1"/>
      <protection locked="0"/>
    </xf>
    <xf numFmtId="49" fontId="22" fillId="40" borderId="17" xfId="0" applyFont="1" applyFill="1" applyBorder="1" applyNumberFormat="1">
      <alignment horizontal="center" vertical="center" wrapText="1"/>
    </xf>
    <xf numFmtId="49" fontId="22" fillId="0" borderId="12" xfId="0" applyFont="1" applyBorder="1" applyNumberFormat="1">
      <alignment horizontal="center" vertical="center" wrapText="1"/>
    </xf>
    <xf numFmtId="0" fontId="0" fillId="40" borderId="12" xfId="0" applyFont="1" applyFill="1" applyBorder="1" applyNumberFormat="1">
      <alignment horizontal="left" vertical="center" wrapText="1"/>
    </xf>
    <xf numFmtId="49" fontId="0" fillId="35" borderId="12" xfId="0" applyFont="1" applyFill="1" applyBorder="1" applyNumberFormat="1">
      <alignment horizontal="left" vertical="center" wrapText="1"/>
    </xf>
    <xf numFmtId="49" fontId="22" fillId="40" borderId="12" xfId="0" applyFont="1" applyFill="1" applyBorder="1" applyNumberFormat="1">
      <alignment horizontal="center" vertical="center" wrapText="1"/>
    </xf>
    <xf numFmtId="49" fontId="22" fillId="0" borderId="0" xfId="0" applyFont="1" applyNumberFormat="1">
      <alignment horizontal="left" vertical="center" indent="1"/>
    </xf>
    <xf numFmtId="0" fontId="0" fillId="0" borderId="0" xfId="0" applyFont="1" applyNumberFormat="1">
      <alignment vertical="center"/>
    </xf>
    <xf numFmtId="0" fontId="22" fillId="39" borderId="12" xfId="0" applyFont="1" applyFill="1" applyBorder="1" applyNumberFormat="1">
      <alignment horizontal="left" vertical="top" wrapText="1"/>
      <protection locked="0"/>
    </xf>
    <xf numFmtId="49" fontId="22" fillId="40" borderId="36" xfId="0" applyFont="1" applyFill="1" applyBorder="1" applyNumberFormat="1">
      <alignment horizontal="center" vertical="center" wrapText="1"/>
    </xf>
    <xf numFmtId="0" fontId="40" fillId="37" borderId="14"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3" xfId="0" applyFont="1" applyFill="1" applyBorder="1" applyNumberFormat="1">
      <alignment horizontal="left" vertical="center"/>
    </xf>
    <xf numFmtId="0" fontId="0" fillId="39" borderId="12" xfId="0" applyFont="1" applyFill="1" applyBorder="1" applyNumberFormat="1">
      <alignment horizontal="left" vertical="top"/>
      <protection locked="0"/>
    </xf>
    <xf numFmtId="49" fontId="0" fillId="40" borderId="12" xfId="0" applyFont="1" applyFill="1" applyBorder="1" applyNumberFormat="1">
      <alignment horizontal="left" vertical="top"/>
    </xf>
    <xf numFmtId="49" fontId="0" fillId="0" borderId="12" xfId="0" applyFont="1" applyBorder="1" applyNumberFormat="1">
      <alignment vertical="top"/>
    </xf>
    <xf numFmtId="49" fontId="0" fillId="36" borderId="12" xfId="0" applyFont="1" applyFill="1" applyBorder="1" applyNumberFormat="1">
      <alignment horizontal="left" vertical="top"/>
      <protection locked="0"/>
    </xf>
    <xf numFmtId="49" fontId="0" fillId="40" borderId="12" xfId="0" applyFont="1" applyFill="1" applyBorder="1" applyNumberFormat="1">
      <alignment horizontal="left" vertical="center" wrapText="1"/>
    </xf>
    <xf numFmtId="49" fontId="22" fillId="40" borderId="23" xfId="0" applyFont="1" applyFill="1" applyBorder="1" applyNumberFormat="1">
      <alignment horizontal="center" vertical="center" wrapText="1"/>
    </xf>
    <xf numFmtId="0" fontId="40" fillId="37" borderId="14"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40" fillId="37" borderId="13" xfId="0" applyFont="1" applyFill="1" applyBorder="1" applyNumberFormat="1">
      <alignment horizontal="left" vertical="center"/>
    </xf>
    <xf numFmtId="0" fontId="40" fillId="37" borderId="14"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40" fillId="37" borderId="13" xfId="0" applyFont="1" applyFill="1" applyBorder="1" applyNumberFormat="1">
      <alignment horizontal="left" vertical="center"/>
    </xf>
    <xf numFmtId="0" fontId="40" fillId="37" borderId="14"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40" fillId="37" borderId="13" xfId="0" applyFont="1" applyFill="1" applyBorder="1" applyNumberFormat="1">
      <alignment horizontal="left" vertical="center"/>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0" fillId="0" borderId="0" xfId="0" applyFont="1" applyNumberFormat="1">
      <alignment vertical="center"/>
    </xf>
    <xf numFmtId="0" fontId="40" fillId="0" borderId="0" xfId="0" applyFont="1" applyNumberFormat="1">
      <alignment horizontal="left" vertical="center"/>
    </xf>
    <xf numFmtId="0" fontId="40" fillId="0" borderId="24" xfId="0" applyFont="1" applyBorder="1" applyNumberFormat="1">
      <alignment horizontal="left" vertical="center"/>
    </xf>
    <xf numFmtId="49" fontId="22" fillId="0" borderId="0" xfId="0" applyFont="1" applyNumberFormat="1">
      <alignment horizontal="center" vertical="center" wrapText="1"/>
    </xf>
    <xf numFmtId="0" fontId="40" fillId="0" borderId="27" xfId="0" applyFont="1" applyBorder="1" applyNumberFormat="1">
      <alignment horizontal="left" vertical="center"/>
    </xf>
    <xf numFmtId="0" fontId="40" fillId="0" borderId="29" xfId="0" applyFont="1" applyBorder="1" applyNumberFormat="1">
      <alignment horizontal="left" vertical="center"/>
    </xf>
    <xf numFmtId="0" fontId="0" fillId="0" borderId="0" xfId="0" applyFont="1" applyNumberFormat="1">
      <alignment vertical="center"/>
    </xf>
    <xf numFmtId="0" fontId="0" fillId="0" borderId="17" xfId="0" applyFont="1" applyBorder="1" applyNumberFormat="1">
      <alignment horizontal="center" vertical="top"/>
    </xf>
    <xf numFmtId="0" fontId="22" fillId="0" borderId="17" xfId="0" applyFont="1" applyBorder="1" applyNumberFormat="1">
      <alignment horizontal="left" vertical="top" wrapText="1"/>
    </xf>
    <xf numFmtId="0" fontId="0" fillId="0" borderId="0" xfId="0" applyFont="1" applyNumberFormat="1">
      <alignment vertical="center"/>
    </xf>
    <xf numFmtId="0" fontId="0" fillId="0" borderId="36" xfId="0" applyFont="1" applyBorder="1" applyNumberFormat="1">
      <alignment horizontal="center" vertical="top"/>
    </xf>
    <xf numFmtId="0" fontId="22" fillId="0" borderId="36" xfId="0" applyFont="1" applyBorder="1" applyNumberFormat="1">
      <alignment horizontal="left" vertical="top" wrapText="1"/>
    </xf>
    <xf numFmtId="0" fontId="0" fillId="0" borderId="23" xfId="0" applyFont="1" applyBorder="1" applyNumberFormat="1">
      <alignment horizontal="center" vertical="top"/>
    </xf>
    <xf numFmtId="0" fontId="22" fillId="0" borderId="23" xfId="0" applyFont="1" applyBorder="1" applyNumberFormat="1">
      <alignment horizontal="left" vertical="top"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40" fillId="0" borderId="0" xfId="0" applyFont="1" applyNumberFormat="1">
      <alignment horizontal="left" vertical="center"/>
    </xf>
    <xf numFmtId="0" fontId="40" fillId="0" borderId="24" xfId="0" applyFont="1" applyBorder="1" applyNumberFormat="1">
      <alignment horizontal="left" vertical="center"/>
    </xf>
    <xf numFmtId="49" fontId="22" fillId="0" borderId="0" xfId="0" applyFont="1" applyNumberFormat="1">
      <alignment horizontal="center" vertical="center" wrapText="1"/>
    </xf>
    <xf numFmtId="0" fontId="40" fillId="0" borderId="27" xfId="0" applyFont="1" applyBorder="1" applyNumberFormat="1">
      <alignment horizontal="left" vertical="center"/>
    </xf>
    <xf numFmtId="0" fontId="40" fillId="0" borderId="29" xfId="0" applyFont="1" applyBorder="1" applyNumberFormat="1">
      <alignment horizontal="left" vertical="center"/>
    </xf>
    <xf numFmtId="0" fontId="0" fillId="0" borderId="0" xfId="0" applyFont="1" applyNumberFormat="1">
      <alignment horizontal="left" vertical="top" wrapText="1"/>
    </xf>
    <xf numFmtId="0" fontId="0" fillId="0" borderId="0" xfId="0" applyFont="1" applyNumberFormat="1" quotePrefix="1">
      <alignment horizontal="left" vertical="top" wrapText="1" indent="1"/>
    </xf>
    <xf numFmtId="0" fontId="0" fillId="0" borderId="0" xfId="0" applyFont="1" applyNumberFormat="1">
      <alignment horizontal="left" vertical="top" wrapText="1" indent="1"/>
    </xf>
    <xf numFmtId="0" fontId="0" fillId="0" borderId="0" xfId="0" applyFont="1" applyNumberFormat="1">
      <alignment horizontal="left" vertical="top" wrapText="1"/>
    </xf>
    <xf numFmtId="0" fontId="0" fillId="0" borderId="0" xfId="0" applyFont="1" applyNumberFormat="1">
      <alignment horizontal="left" vertical="top" wrapText="1"/>
    </xf>
    <xf numFmtId="0" fontId="0" fillId="0" borderId="0" xfId="0" applyFont="1" applyNumberFormat="1">
      <alignment vertical="top" wrapText="1"/>
    </xf>
    <xf numFmtId="0" fontId="0" fillId="0" borderId="0" xfId="0" applyFont="1" applyNumberFormat="1">
      <alignment vertical="center"/>
    </xf>
    <xf numFmtId="0" fontId="0" fillId="0" borderId="0" xfId="0" applyFont="1" applyNumberFormat="1">
      <alignment vertical="center"/>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40" fillId="0" borderId="0" xfId="0" applyFont="1" applyNumberFormat="1">
      <alignment horizontal="left" vertical="center"/>
    </xf>
    <xf numFmtId="0" fontId="40" fillId="0" borderId="24" xfId="0" applyFont="1" applyBorder="1" applyNumberFormat="1">
      <alignment horizontal="left" vertical="center"/>
    </xf>
    <xf numFmtId="49" fontId="22" fillId="0" borderId="0" xfId="0" applyFont="1" applyNumberFormat="1">
      <alignment horizontal="center" vertical="center" wrapText="1"/>
    </xf>
    <xf numFmtId="0" fontId="40" fillId="0" borderId="27" xfId="0" applyFont="1" applyBorder="1" applyNumberFormat="1">
      <alignment horizontal="left" vertical="center"/>
    </xf>
    <xf numFmtId="0" fontId="40" fillId="0" borderId="29" xfId="0" applyFont="1" applyBorder="1" applyNumberFormat="1">
      <alignment horizontal="left" vertical="center"/>
    </xf>
    <xf numFmtId="0" fontId="48" fillId="0" borderId="0" xfId="0" applyFont="1" applyNumberFormat="1">
      <alignment vertical="center"/>
    </xf>
    <xf numFmtId="0" fontId="0" fillId="0" borderId="0" xfId="0" applyFont="1" applyNumberFormat="1">
      <alignment vertical="center"/>
    </xf>
    <xf numFmtId="49" fontId="48" fillId="0" borderId="0" xfId="0" applyFont="1" applyNumberFormat="1">
      <alignment vertical="top"/>
    </xf>
    <xf numFmtId="49" fontId="48" fillId="0" borderId="0" xfId="0" applyFont="1" applyNumberFormat="1">
      <alignment horizontal="center" vertical="center"/>
    </xf>
    <xf numFmtId="49" fontId="48" fillId="0" borderId="0" xfId="0" applyFont="1" applyNumberFormat="1">
      <alignment horizontal="center" vertical="center"/>
    </xf>
    <xf numFmtId="49" fontId="47" fillId="0" borderId="0" xfId="0" applyFont="1" applyNumberFormat="1">
      <alignment horizontal="center" vertical="center"/>
    </xf>
    <xf numFmtId="49" fontId="67" fillId="0" borderId="0" xfId="0" applyFont="1" applyNumberFormat="1">
      <alignment vertical="top"/>
    </xf>
    <xf numFmtId="49" fontId="0" fillId="0" borderId="0" xfId="0" applyFont="1" applyNumberFormat="1">
      <alignment vertical="top"/>
    </xf>
    <xf numFmtId="49" fontId="32" fillId="0" borderId="0" xfId="0" applyFont="1" applyNumberFormat="1">
      <alignment vertical="top"/>
    </xf>
    <xf numFmtId="49" fontId="67" fillId="0" borderId="0" xfId="0" applyFont="1" applyNumberFormat="1">
      <alignment vertical="top"/>
    </xf>
    <xf numFmtId="0" fontId="32" fillId="0" borderId="0" xfId="0" applyFont="1" applyNumberFormat="1">
      <alignment vertical="center" wrapText="1"/>
    </xf>
    <xf numFmtId="0" fontId="22" fillId="0" borderId="0" xfId="0" applyFont="1" applyNumberFormat="1">
      <alignment vertical="center" wrapText="1"/>
    </xf>
    <xf numFmtId="0" fontId="37" fillId="0" borderId="0" xfId="0" applyFont="1" applyNumberFormat="1">
      <alignment horizontal="center" vertical="center" wrapText="1"/>
    </xf>
    <xf numFmtId="0" fontId="22" fillId="0" borderId="19" xfId="0" applyFont="1" applyBorder="1" applyNumberFormat="1">
      <alignment horizontal="left" vertical="center" wrapText="1" indent="1"/>
    </xf>
    <xf numFmtId="0" fontId="46" fillId="0" borderId="0" xfId="0" applyFont="1" applyNumberFormat="1">
      <alignment horizontal="left" vertical="center" wrapText="1" indent="1"/>
    </xf>
    <xf numFmtId="0" fontId="42" fillId="0" borderId="0" xfId="0" applyFont="1" applyNumberFormat="1">
      <alignment vertical="center"/>
    </xf>
    <xf numFmtId="0" fontId="113" fillId="0" borderId="0" xfId="0" applyFont="1" applyNumberFormat="1">
      <alignment vertical="center" wrapText="1"/>
    </xf>
    <xf numFmtId="0" fontId="114" fillId="0" borderId="0" xfId="0" applyFont="1" applyNumberFormat="1">
      <alignment vertical="center" wrapText="1"/>
    </xf>
    <xf numFmtId="0" fontId="32" fillId="0" borderId="0" xfId="0" applyFont="1" applyNumberFormat="1">
      <alignment vertical="center" wrapText="1"/>
    </xf>
    <xf numFmtId="0" fontId="22" fillId="0" borderId="0" xfId="0" applyFont="1" applyNumberFormat="1">
      <alignment vertical="center" wrapText="1"/>
    </xf>
    <xf numFmtId="0" fontId="22" fillId="0" borderId="27" xfId="0" applyFont="1" applyBorder="1" applyNumberFormat="1">
      <alignment horizontal="left" vertical="center" wrapText="1" indent="1"/>
    </xf>
    <xf numFmtId="0" fontId="42" fillId="0" borderId="0" xfId="0" applyFont="1" applyNumberFormat="1">
      <alignment vertical="center" wrapText="1"/>
    </xf>
    <xf numFmtId="0" fontId="22" fillId="0" borderId="37" xfId="0" applyFont="1" applyBorder="1" applyNumberFormat="1">
      <alignment horizontal="center" vertical="center" wrapText="1"/>
    </xf>
    <xf numFmtId="0" fontId="22" fillId="0" borderId="20" xfId="0" applyFont="1" applyBorder="1" applyNumberFormat="1">
      <alignment horizontal="center" vertical="center" wrapText="1"/>
    </xf>
    <xf numFmtId="0" fontId="22" fillId="0" borderId="36" xfId="0" applyFont="1" applyBorder="1" applyNumberFormat="1">
      <alignment horizontal="center" vertical="center" wrapText="1"/>
    </xf>
    <xf numFmtId="0" fontId="22" fillId="0" borderId="17" xfId="0" applyFont="1" applyBorder="1" applyNumberFormat="1">
      <alignment horizontal="center" vertical="center" wrapText="1"/>
    </xf>
    <xf numFmtId="0" fontId="22" fillId="0" borderId="37" xfId="0" applyFont="1" applyBorder="1" applyNumberFormat="1">
      <alignment horizontal="center" vertical="center" wrapText="1"/>
    </xf>
    <xf numFmtId="0" fontId="22" fillId="0" borderId="15"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17" xfId="0" applyFont="1" applyBorder="1" applyNumberFormat="1">
      <alignment horizontal="center" vertical="center" wrapText="1"/>
    </xf>
    <xf numFmtId="0" fontId="22" fillId="0" borderId="17" xfId="0" applyFont="1" applyBorder="1" applyNumberFormat="1">
      <alignment horizontal="center" vertical="center" wrapText="1"/>
    </xf>
    <xf numFmtId="0" fontId="22" fillId="0" borderId="22" xfId="0" applyFont="1" applyBorder="1" applyNumberFormat="1">
      <alignment horizontal="center" vertical="center" wrapText="1"/>
    </xf>
    <xf numFmtId="0" fontId="22" fillId="0" borderId="24" xfId="0" applyFont="1" applyBorder="1" applyNumberFormat="1">
      <alignment horizontal="center" vertical="center" wrapText="1"/>
    </xf>
    <xf numFmtId="0" fontId="22" fillId="0" borderId="22" xfId="0" applyFont="1" applyBorder="1" applyNumberFormat="1">
      <alignment horizontal="center" vertical="center" wrapText="1"/>
    </xf>
    <xf numFmtId="0" fontId="22" fillId="0" borderId="36" xfId="0" applyFont="1" applyBorder="1" applyNumberFormat="1">
      <alignment horizontal="center" vertical="center" wrapText="1"/>
    </xf>
    <xf numFmtId="0" fontId="22" fillId="0" borderId="30" xfId="0" applyFont="1" applyBorder="1" applyNumberFormat="1">
      <alignment horizontal="center" vertical="center" wrapText="1"/>
    </xf>
    <xf numFmtId="0" fontId="22" fillId="0" borderId="29" xfId="0" applyFont="1" applyBorder="1" applyNumberFormat="1">
      <alignment horizontal="center" vertical="center" wrapText="1"/>
    </xf>
    <xf numFmtId="0" fontId="22" fillId="0" borderId="17" xfId="0" applyFont="1" applyBorder="1" applyNumberFormat="1">
      <alignment horizontal="center" vertical="center" wrapText="1"/>
    </xf>
    <xf numFmtId="0" fontId="22" fillId="0" borderId="37" xfId="0" applyFont="1" applyBorder="1" applyNumberFormat="1">
      <alignment horizontal="center" vertical="center" wrapText="1"/>
    </xf>
    <xf numFmtId="49" fontId="22" fillId="0" borderId="0" xfId="0" applyFont="1" applyNumberFormat="1">
      <alignment vertical="top"/>
    </xf>
    <xf numFmtId="49" fontId="22" fillId="0" borderId="12" xfId="0" applyFont="1" applyBorder="1" applyNumberFormat="1">
      <alignment horizontal="center" vertical="center"/>
    </xf>
    <xf numFmtId="0" fontId="22" fillId="0" borderId="12" xfId="0" applyFont="1" applyBorder="1" applyNumberFormat="1">
      <alignment horizontal="left" vertical="center" wrapText="1"/>
    </xf>
    <xf numFmtId="49" fontId="22" fillId="40" borderId="17" xfId="0" applyFont="1" applyFill="1" applyBorder="1" applyNumberFormat="1">
      <alignment horizontal="center" vertical="center" wrapText="1"/>
    </xf>
    <xf numFmtId="49" fontId="22" fillId="0" borderId="37" xfId="0" applyFont="1" applyBorder="1" applyNumberFormat="1">
      <alignment vertical="center" wrapText="1"/>
    </xf>
    <xf numFmtId="0" fontId="22" fillId="0" borderId="19" xfId="0" applyFont="1" applyBorder="1" applyNumberFormat="1">
      <alignment horizontal="center" vertical="center"/>
    </xf>
    <xf numFmtId="49" fontId="22" fillId="0" borderId="19" xfId="0" applyFont="1" applyBorder="1" applyNumberForma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7"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pplyNumberFormat="1">
      <alignment horizontal="left" vertical="center" wrapText="1"/>
    </xf>
    <xf numFmtId="49" fontId="22" fillId="0" borderId="19" xfId="0" applyFont="1" applyBorder="1" applyNumberFormat="1">
      <alignment horizontal="center" vertical="center" wrapText="1"/>
    </xf>
    <xf numFmtId="49" fontId="22" fillId="0" borderId="19" xfId="0" applyFont="1" applyBorder="1" applyNumberFormat="1">
      <alignment vertical="center" wrapText="1"/>
    </xf>
    <xf numFmtId="49" fontId="22" fillId="40" borderId="36" xfId="0" applyFont="1" applyFill="1" applyBorder="1" applyNumberFormat="1">
      <alignment horizontal="center" vertical="center" wrapText="1"/>
    </xf>
    <xf numFmtId="49" fontId="22" fillId="0" borderId="22" xfId="0" applyFont="1" applyBorder="1" applyNumberFormat="1">
      <alignment vertical="center" wrapText="1"/>
    </xf>
    <xf numFmtId="0" fontId="22" fillId="0" borderId="0" xfId="0" applyFont="1" applyNumberFormat="1">
      <alignment horizontal="center" vertical="center"/>
    </xf>
    <xf numFmtId="0" fontId="22" fillId="0" borderId="0" xfId="0" applyFont="1" applyNumberFormat="1">
      <alignment horizontal="lef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7"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pplyNumberFormat="1">
      <alignment horizontal="left" vertical="center" wrapText="1"/>
    </xf>
    <xf numFmtId="0" fontId="40" fillId="0" borderId="0" xfId="0" applyFont="1" applyNumberFormat="1">
      <alignment horizontal="left" vertical="center"/>
    </xf>
    <xf numFmtId="0" fontId="40" fillId="0" borderId="0" xfId="0" applyFont="1" applyNumberFormat="1">
      <alignment horizontal="left" vertical="center"/>
    </xf>
    <xf numFmtId="0" fontId="40" fillId="0" borderId="24" xfId="0" applyFont="1" applyBorder="1" applyNumberFormat="1">
      <alignment horizontal="left" vertical="center"/>
    </xf>
    <xf numFmtId="49" fontId="22" fillId="0" borderId="0" xfId="0" applyFont="1" applyNumberFormat="1">
      <alignment horizontal="center" vertical="center" wrapText="1"/>
    </xf>
    <xf numFmtId="49" fontId="37" fillId="0" borderId="0" xfId="0" applyFont="1" applyNumberFormat="1">
      <alignment horizontal="center" vertical="center" wrapText="1"/>
    </xf>
    <xf numFmtId="0" fontId="40" fillId="0" borderId="0" xfId="0" applyFont="1" applyNumberFormat="1">
      <alignment vertical="center"/>
    </xf>
    <xf numFmtId="0" fontId="40" fillId="0" borderId="22" xfId="0" applyFont="1" applyBorder="1" applyNumberFormat="1">
      <alignment horizontal="left" vertical="center"/>
    </xf>
    <xf numFmtId="49" fontId="22" fillId="0" borderId="17" xfId="0" applyFont="1" applyBorder="1" applyNumberFormat="1">
      <alignment horizontal="center" vertical="center"/>
    </xf>
    <xf numFmtId="0" fontId="22" fillId="0" borderId="17" xfId="0" applyFont="1" applyBorder="1" applyNumberFormat="1">
      <alignment horizontal="left" vertical="center" wrapText="1"/>
    </xf>
    <xf numFmtId="0" fontId="22" fillId="0" borderId="37" xfId="0" applyFont="1" applyBorder="1" applyNumberFormat="1">
      <alignment horizontal="left" vertical="center" wrapText="1"/>
    </xf>
    <xf numFmtId="49" fontId="67" fillId="0" borderId="30" xfId="0" applyFont="1" applyBorder="1" applyNumberFormat="1">
      <alignment vertical="top"/>
    </xf>
    <xf numFmtId="49" fontId="67" fillId="0" borderId="27" xfId="0" applyFont="1" applyBorder="1" applyNumberFormat="1">
      <alignment vertical="top"/>
    </xf>
    <xf numFmtId="0" fontId="40" fillId="0" borderId="27" xfId="0" applyFont="1" applyBorder="1" applyNumberFormat="1">
      <alignment horizontal="left" vertical="center"/>
    </xf>
    <xf numFmtId="0" fontId="40" fillId="0" borderId="29" xfId="0" applyFont="1" applyBorder="1" applyNumberFormat="1">
      <alignment horizontal="left" vertical="center"/>
    </xf>
    <xf numFmtId="0" fontId="22" fillId="0" borderId="0" xfId="0" applyFont="1" applyNumberFormat="1">
      <alignment horizontal="left" vertical="center" wrapText="1"/>
    </xf>
    <xf numFmtId="0" fontId="22" fillId="0" borderId="14" xfId="0" applyFont="1" applyBorder="1" applyNumberFormat="1">
      <alignment horizontal="left" vertical="center" wrapText="1"/>
    </xf>
    <xf numFmtId="49" fontId="32" fillId="0" borderId="0" xfId="0" applyFont="1" applyNumberFormat="1">
      <alignment vertical="top"/>
    </xf>
    <xf numFmtId="0" fontId="22" fillId="35" borderId="0" xfId="0" applyFont="1" applyFill="1" applyNumberFormat="1"/>
    <xf numFmtId="0" fontId="0" fillId="35" borderId="0" xfId="0" applyFont="1" applyFill="1" applyNumberFormat="1"/>
    <xf numFmtId="0" fontId="61" fillId="35" borderId="0" xfId="0" applyFont="1" applyFill="1" applyNumberFormat="1"/>
    <xf numFmtId="0" fontId="48" fillId="35" borderId="0" xfId="0" applyFont="1" applyFill="1" applyNumberFormat="1"/>
    <xf numFmtId="0" fontId="61" fillId="35" borderId="0" xfId="0" applyFont="1" applyFill="1" applyNumberFormat="1">
      <alignment horizontal="center"/>
    </xf>
    <xf numFmtId="0" fontId="61" fillId="35" borderId="0" xfId="0" applyFont="1" applyFill="1" applyNumberFormat="1"/>
    <xf numFmtId="0" fontId="90" fillId="0" borderId="0" xfId="0" applyFont="1" applyNumberFormat="1">
      <alignment vertical="center"/>
    </xf>
    <xf numFmtId="0" fontId="89" fillId="0" borderId="0" xfId="0" applyFont="1" applyNumberFormat="1">
      <alignment vertical="center"/>
    </xf>
    <xf numFmtId="0" fontId="73" fillId="35" borderId="0" xfId="0" applyFont="1" applyFill="1" applyNumberFormat="1">
      <alignment horizontal="right" vertical="center"/>
    </xf>
    <xf numFmtId="0" fontId="22" fillId="35" borderId="0" xfId="0" applyFont="1" applyFill="1" applyNumberFormat="1">
      <alignment vertical="center" wrapText="1"/>
    </xf>
    <xf numFmtId="0" fontId="48" fillId="35" borderId="0" xfId="0" applyFont="1" applyFill="1" applyNumberFormat="1">
      <alignment vertical="center" wrapText="1"/>
    </xf>
    <xf numFmtId="0" fontId="22" fillId="35" borderId="0" xfId="0" applyFont="1" applyFill="1" applyNumberFormat="1">
      <alignment horizontal="center" vertical="center" wrapText="1"/>
    </xf>
    <xf numFmtId="0" fontId="93" fillId="35" borderId="0" xfId="0" applyFont="1" applyFill="1" applyNumberFormat="1">
      <alignment horizontal="left" vertical="center"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0" fillId="35" borderId="12" xfId="0" applyFont="1" applyFill="1" applyBorder="1" applyNumberFormat="1">
      <alignment horizontal="center" vertical="center" wrapText="1"/>
    </xf>
    <xf numFmtId="0" fontId="22" fillId="35" borderId="12" xfId="0" applyFont="1" applyFill="1" applyBorder="1" applyNumberFormat="1">
      <alignment horizontal="center" vertical="center" wrapText="1"/>
    </xf>
    <xf numFmtId="0" fontId="36" fillId="35" borderId="0" xfId="0" applyFont="1" applyFill="1" applyNumberFormat="1">
      <alignment horizontal="center" vertical="center"/>
    </xf>
    <xf numFmtId="49" fontId="48" fillId="0" borderId="12" xfId="0" applyFont="1" applyBorder="1" applyNumberFormat="1">
      <alignment horizontal="center" vertical="center"/>
    </xf>
    <xf numFmtId="0" fontId="48" fillId="0" borderId="12" xfId="0" applyFont="1" applyBorder="1" applyNumberFormat="1">
      <alignment vertical="center" wrapText="1"/>
    </xf>
    <xf numFmtId="0" fontId="48" fillId="0" borderId="12" xfId="0" applyFont="1" applyBorder="1" applyNumberFormat="1">
      <alignment horizontal="left" vertical="center" wrapText="1"/>
    </xf>
    <xf numFmtId="0" fontId="65" fillId="35" borderId="0" xfId="0" applyFont="1" applyFill="1" applyNumberFormat="1"/>
    <xf numFmtId="49" fontId="0" fillId="35" borderId="12" xfId="0" applyFont="1" applyFill="1" applyBorder="1" applyNumberFormat="1">
      <alignment horizontal="center" vertical="center"/>
    </xf>
    <xf numFmtId="0" fontId="0" fillId="35" borderId="12" xfId="0" applyFont="1" applyFill="1" applyBorder="1" applyNumberFormat="1">
      <alignment vertical="center" wrapText="1"/>
    </xf>
    <xf numFmtId="0" fontId="0" fillId="0" borderId="12" xfId="0" applyFont="1" applyBorder="1" applyNumberFormat="1">
      <alignment horizontal="center" vertical="center" wrapText="1"/>
    </xf>
    <xf numFmtId="0" fontId="22" fillId="35" borderId="12" xfId="0" applyFont="1" applyFill="1" applyBorder="1" applyNumberFormat="1">
      <alignment vertical="center" wrapText="1"/>
    </xf>
    <xf numFmtId="0" fontId="0" fillId="35" borderId="12" xfId="0" applyFont="1" applyFill="1" applyBorder="1" applyNumberFormat="1">
      <alignment horizontal="left" vertical="center" wrapText="1" indent="1"/>
    </xf>
    <xf numFmtId="49" fontId="0" fillId="39" borderId="12" xfId="0" applyFont="1" applyFill="1" applyBorder="1" applyNumberFormat="1">
      <alignment horizontal="left" vertical="center" wrapText="1"/>
      <protection locked="0"/>
    </xf>
    <xf numFmtId="0" fontId="48" fillId="0" borderId="12" xfId="0" applyFont="1" applyBorder="1" applyNumberFormat="1">
      <alignment horizontal="left" vertical="center" wrapText="1" indent="1"/>
    </xf>
    <xf numFmtId="49" fontId="22" fillId="35" borderId="0" xfId="0" applyFont="1" applyFill="1" applyNumberFormat="1">
      <alignment horizontal="center" vertical="center" wrapText="1"/>
    </xf>
    <xf numFmtId="0" fontId="22" fillId="35" borderId="24" xfId="0" applyFont="1" applyFill="1" applyBorder="1" applyNumberFormat="1">
      <alignment horizontal="center" vertical="center" wrapText="1"/>
    </xf>
    <xf numFmtId="0" fontId="90" fillId="0" borderId="0" xfId="0" applyFont="1" applyNumberFormat="1">
      <alignment vertical="center" wrapText="1"/>
    </xf>
    <xf numFmtId="0" fontId="0" fillId="35" borderId="12" xfId="0" applyFont="1" applyFill="1" applyBorder="1" applyNumberFormat="1">
      <alignment horizontal="center" vertical="center"/>
    </xf>
    <xf numFmtId="0" fontId="0" fillId="35" borderId="12" xfId="0" applyFont="1" applyFill="1" applyBorder="1" applyNumberFormat="1">
      <alignment horizontal="left" vertical="center" wrapText="1" indent="2"/>
    </xf>
    <xf numFmtId="49" fontId="0" fillId="0" borderId="12" xfId="0" applyFont="1" applyBorder="1" applyNumberFormat="1">
      <alignment horizontal="left" vertical="center" wrapText="1"/>
    </xf>
    <xf numFmtId="504" fontId="0" fillId="0" borderId="12" xfId="0" applyFont="1" applyBorder="1" applyNumberFormat="1">
      <alignment horizontal="left" vertical="center" wrapText="1" indent="1"/>
    </xf>
    <xf numFmtId="49" fontId="22" fillId="35" borderId="0" xfId="0" applyFont="1" applyFill="1" applyNumberFormat="1">
      <alignment vertical="center" wrapText="1"/>
    </xf>
    <xf numFmtId="0" fontId="22" fillId="35" borderId="24" xfId="0" applyFont="1" applyFill="1" applyBorder="1" applyNumberFormat="1">
      <alignment vertical="center" wrapText="1"/>
    </xf>
    <xf numFmtId="0" fontId="22" fillId="37" borderId="14" xfId="0" applyFont="1" applyFill="1" applyBorder="1" applyNumberFormat="1">
      <alignment horizontal="center"/>
    </xf>
    <xf numFmtId="49" fontId="40" fillId="37" borderId="15" xfId="0" applyFont="1" applyFill="1" applyBorder="1" applyNumberFormat="1">
      <alignment horizontal="left" vertical="center" indent="1"/>
    </xf>
    <xf numFmtId="0" fontId="73" fillId="37" borderId="15" xfId="0" applyFont="1" applyFill="1" applyBorder="1" applyNumberFormat="1">
      <alignment horizontal="left" vertical="center"/>
    </xf>
    <xf numFmtId="0" fontId="73" fillId="37" borderId="13" xfId="0" applyFont="1" applyFill="1" applyBorder="1" applyNumberFormat="1">
      <alignment horizontal="left" vertical="center"/>
    </xf>
    <xf numFmtId="0" fontId="48" fillId="35" borderId="0" xfId="0" applyFont="1" applyFill="1" applyNumberFormat="1"/>
    <xf numFmtId="49" fontId="48" fillId="35" borderId="12" xfId="0" applyFont="1" applyFill="1" applyBorder="1" applyNumberFormat="1">
      <alignment horizontal="center" vertical="center"/>
    </xf>
    <xf numFmtId="0" fontId="48" fillId="35" borderId="12" xfId="0" applyFont="1" applyFill="1" applyBorder="1" applyNumberFormat="1">
      <alignment vertical="center" wrapText="1"/>
    </xf>
    <xf numFmtId="0" fontId="48" fillId="0" borderId="12" xfId="0" applyFont="1" applyBorder="1" applyNumberFormat="1">
      <alignment horizontal="center" vertical="center" wrapText="1"/>
    </xf>
    <xf numFmtId="0" fontId="48" fillId="35" borderId="12" xfId="0" applyFont="1" applyFill="1" applyBorder="1" applyNumberFormat="1">
      <alignment horizontal="left" vertical="center" wrapText="1" indent="1"/>
    </xf>
    <xf numFmtId="0" fontId="48" fillId="35" borderId="12" xfId="0" applyFont="1" applyFill="1" applyBorder="1" applyNumberFormat="1">
      <alignment horizontal="left" vertical="center" wrapText="1" indent="2"/>
    </xf>
    <xf numFmtId="49" fontId="48" fillId="0" borderId="12" xfId="0" applyFont="1" applyBorder="1" applyNumberFormat="1">
      <alignment horizontal="left" vertical="center" wrapText="1"/>
    </xf>
    <xf numFmtId="49" fontId="48" fillId="0" borderId="12" xfId="0" applyFont="1" applyBorder="1" applyNumberFormat="1">
      <alignment horizontal="left" vertical="center" wrapText="1"/>
    </xf>
    <xf numFmtId="0" fontId="0" fillId="35" borderId="12" xfId="0" applyFont="1" applyFill="1" applyBorder="1" applyNumberFormat="1">
      <alignment horizontal="left" vertical="center" wrapText="1"/>
    </xf>
    <xf numFmtId="49" fontId="0" fillId="36" borderId="12" xfId="0" applyFont="1" applyFill="1" applyBorder="1" applyNumberFormat="1">
      <alignment horizontal="left" vertical="center" wrapText="1"/>
      <protection locked="0"/>
    </xf>
    <xf numFmtId="0" fontId="0" fillId="35" borderId="17" xfId="0" applyFont="1" applyFill="1" applyBorder="1" applyNumberFormat="1">
      <alignment horizontal="left" vertical="center" wrapText="1"/>
    </xf>
    <xf numFmtId="0" fontId="22" fillId="35" borderId="17" xfId="0" applyFont="1" applyFill="1" applyBorder="1" applyNumberFormat="1">
      <alignment horizontal="left" vertical="top" wrapText="1"/>
    </xf>
    <xf numFmtId="49" fontId="0" fillId="0" borderId="12" xfId="0" applyFont="1" applyBorder="1" applyNumberFormat="1">
      <alignment horizontal="left" vertical="center" wrapText="1" indent="1"/>
    </xf>
    <xf numFmtId="0" fontId="22" fillId="35" borderId="36" xfId="0" applyFont="1" applyFill="1" applyBorder="1" applyNumberFormat="1">
      <alignment horizontal="left" vertical="top" wrapText="1"/>
    </xf>
    <xf numFmtId="0" fontId="37" fillId="35" borderId="0" xfId="0" applyFont="1" applyFill="1" applyNumberFormat="1">
      <alignment horizontal="center" vertical="center"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0" fontId="22" fillId="35" borderId="23" xfId="0" applyFont="1" applyFill="1" applyBorder="1" applyNumberFormat="1">
      <alignment horizontal="left" vertical="top" wrapText="1"/>
    </xf>
    <xf numFmtId="0" fontId="52" fillId="35" borderId="0" xfId="0" applyFont="1" applyFill="1" applyNumberFormat="1"/>
    <xf numFmtId="49" fontId="22" fillId="39" borderId="12" xfId="0" applyFont="1" applyFill="1" applyBorder="1" applyNumberFormat="1" quotePrefix="1">
      <alignment horizontal="left" vertical="center" wrapText="1"/>
      <protection locked="0"/>
    </xf>
    <xf numFmtId="49" fontId="22" fillId="36" borderId="12" xfId="0" applyFont="1" applyFill="1" applyBorder="1" applyNumberFormat="1">
      <alignment horizontal="left" vertical="center" wrapText="1"/>
      <protection locked="0"/>
    </xf>
    <xf numFmtId="49" fontId="22" fillId="40" borderId="12"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0" fillId="35" borderId="14" xfId="0" applyFont="1" applyFill="1" applyBorder="1" applyNumberFormat="1">
      <alignment horizontal="left" vertical="center" wrapText="1" indent="1"/>
    </xf>
    <xf numFmtId="49" fontId="22" fillId="40" borderId="14" xfId="0" applyFont="1" applyFill="1" applyBorder="1" applyNumberFormat="1">
      <alignment horizontal="left" vertical="center" wrapText="1"/>
    </xf>
    <xf numFmtId="0" fontId="0" fillId="35" borderId="12" xfId="0" applyFont="1" applyFill="1" applyBorder="1" applyNumberFormat="1">
      <alignment vertical="top" wrapText="1"/>
    </xf>
    <xf numFmtId="49" fontId="22" fillId="35" borderId="0" xfId="0" applyFont="1" applyFill="1" applyNumberFormat="1">
      <alignment horizontal="center" vertical="center" wrapText="1"/>
    </xf>
    <xf numFmtId="0" fontId="0" fillId="35" borderId="14" xfId="0" applyFont="1" applyFill="1" applyBorder="1" applyNumberFormat="1">
      <alignment horizontal="left" vertical="center" wrapText="1"/>
    </xf>
    <xf numFmtId="0" fontId="0" fillId="35" borderId="23" xfId="0" applyFont="1" applyFill="1" applyBorder="1" applyNumberFormat="1">
      <alignment vertical="center" wrapText="1"/>
    </xf>
    <xf numFmtId="0" fontId="76" fillId="35" borderId="0" xfId="0" applyFont="1" applyFill="1" applyNumberFormat="1"/>
    <xf numFmtId="0" fontId="22" fillId="0" borderId="0" xfId="0" applyFont="1" applyNumberFormat="1">
      <alignment vertical="top" wrapText="1"/>
    </xf>
    <xf numFmtId="0" fontId="48" fillId="0" borderId="0" xfId="0" applyFont="1" applyNumberFormat="1">
      <alignment vertical="center" wrapText="1"/>
    </xf>
    <xf numFmtId="0" fontId="45" fillId="0" borderId="0" xfId="0" applyFont="1" applyNumberFormat="1">
      <alignment horizontal="right" vertical="top" wrapText="1"/>
    </xf>
    <xf numFmtId="0" fontId="45" fillId="0" borderId="0" xfId="0" applyFont="1" applyNumberFormat="1">
      <alignment horizontal="left" vertical="top" wrapText="1" indent="1"/>
    </xf>
    <xf numFmtId="0" fontId="45" fillId="0" borderId="0" xfId="0" applyFont="1" applyNumberFormat="1">
      <alignment vertical="center" wrapText="1"/>
    </xf>
    <xf numFmtId="0" fontId="76" fillId="35" borderId="0" xfId="0" applyFont="1" applyFill="1" applyNumberFormat="1"/>
    <xf numFmtId="0" fontId="75" fillId="35" borderId="0" xfId="0" applyFont="1" applyFill="1" applyNumberFormat="1">
      <alignment horizontal="center"/>
    </xf>
    <xf numFmtId="0" fontId="75" fillId="35" borderId="0" xfId="0" applyFont="1" applyFill="1" applyNumberFormat="1"/>
    <xf numFmtId="0" fontId="77" fillId="35" borderId="0" xfId="0" applyFont="1" applyFill="1" applyNumberFormat="1">
      <alignment horizontal="right" vertical="center"/>
    </xf>
    <xf numFmtId="0" fontId="78" fillId="35" borderId="0" xfId="0" applyFont="1" applyFill="1" applyNumberFormat="1">
      <alignment vertical="center"/>
    </xf>
    <xf numFmtId="0" fontId="77" fillId="35" borderId="0" xfId="0" applyFont="1" applyFill="1" applyNumberFormat="1">
      <alignment horizontal="right" vertical="top"/>
    </xf>
    <xf numFmtId="0" fontId="78" fillId="35" borderId="0" xfId="0" applyFont="1" applyFill="1" applyNumberFormat="1">
      <alignment vertical="center" wrapText="1"/>
    </xf>
    <xf numFmtId="0" fontId="0" fillId="35" borderId="0" xfId="0" applyFont="1" applyFill="1" applyNumberFormat="1">
      <alignment horizontal="center"/>
    </xf>
    <xf numFmtId="0" fontId="22" fillId="35" borderId="0" xfId="0" applyFont="1" applyFill="1" applyNumberFormat="1"/>
    <xf numFmtId="0" fontId="0" fillId="35" borderId="0" xfId="0" applyFont="1" applyFill="1" applyNumberFormat="1"/>
    <xf numFmtId="0" fontId="0" fillId="35" borderId="0" xfId="0" applyFont="1" applyFill="1" applyNumberFormat="1">
      <alignment horizontal="center"/>
    </xf>
    <xf numFmtId="0" fontId="47" fillId="0" borderId="0" xfId="0" applyFont="1" applyNumberFormat="1">
      <alignment horizontal="center" vertical="center" wrapText="1"/>
    </xf>
    <xf numFmtId="0" fontId="22" fillId="0" borderId="0" xfId="0" applyFont="1" applyNumberFormat="1">
      <alignment vertical="center" wrapText="1"/>
    </xf>
    <xf numFmtId="0" fontId="88" fillId="0" borderId="0" xfId="0" applyFont="1" applyNumberFormat="1">
      <alignment vertical="center" wrapText="1"/>
    </xf>
    <xf numFmtId="0" fontId="88" fillId="35" borderId="0" xfId="0" applyFont="1" applyFill="1" applyNumberFormat="1">
      <alignment horizontal="center" vertical="center" wrapText="1"/>
    </xf>
    <xf numFmtId="0" fontId="88" fillId="35" borderId="0" xfId="0" applyFont="1" applyFill="1" applyNumberFormat="1">
      <alignment horizontal="right" vertical="center" wrapText="1"/>
    </xf>
    <xf numFmtId="0" fontId="88" fillId="0" borderId="0" xfId="0" applyFont="1" applyNumberFormat="1">
      <alignment vertical="center" wrapText="1"/>
    </xf>
    <xf numFmtId="0" fontId="37" fillId="35" borderId="0" xfId="0" applyFont="1" applyFill="1" applyNumberFormat="1">
      <alignment horizontal="center" vertical="center" wrapText="1"/>
    </xf>
    <xf numFmtId="0" fontId="46" fillId="0" borderId="0" xfId="0" applyFont="1" applyNumberFormat="1">
      <alignment horizontal="left" vertical="center" wrapText="1" indent="3"/>
    </xf>
    <xf numFmtId="0" fontId="64" fillId="0" borderId="0" xfId="0" applyFont="1" applyNumberFormat="1">
      <alignment horizontal="center" vertical="center" wrapText="1"/>
    </xf>
    <xf numFmtId="0" fontId="64" fillId="0" borderId="0" xfId="0" applyFont="1" applyNumberFormat="1">
      <alignment vertical="center" wrapText="1"/>
    </xf>
    <xf numFmtId="0" fontId="32" fillId="0" borderId="0" xfId="0" applyFont="1" applyNumberFormat="1">
      <alignment vertical="center" wrapText="1"/>
    </xf>
    <xf numFmtId="0" fontId="37" fillId="35" borderId="0" xfId="0" applyFont="1" applyFill="1" applyNumberFormat="1">
      <alignment horizontal="center" vertical="center" wrapText="1"/>
    </xf>
    <xf numFmtId="0" fontId="22" fillId="0" borderId="29" xfId="0" applyFont="1" applyBorder="1" applyNumberFormat="1">
      <alignment horizontal="left" vertical="center" wrapText="1" indent="1"/>
    </xf>
    <xf numFmtId="0" fontId="22" fillId="0" borderId="23" xfId="0" applyFont="1" applyBorder="1" applyNumberFormat="1">
      <alignment horizontal="left" vertical="center" wrapText="1" indent="1"/>
    </xf>
    <xf numFmtId="0" fontId="22" fillId="0" borderId="30" xfId="0" applyFont="1" applyBorder="1" applyNumberFormat="1">
      <alignment horizontal="left" vertical="center" wrapText="1" indent="1"/>
    </xf>
    <xf numFmtId="0" fontId="58" fillId="0" borderId="0" xfId="0" applyFont="1" applyNumberFormat="1">
      <alignment vertical="center" wrapText="1"/>
    </xf>
    <xf numFmtId="0" fontId="79" fillId="35" borderId="0" xfId="0" applyFont="1" applyFill="1" applyNumberFormat="1">
      <alignment horizontal="center" vertical="center" wrapText="1"/>
    </xf>
    <xf numFmtId="0" fontId="60" fillId="0" borderId="0" xfId="0" applyFont="1" applyNumberFormat="1">
      <alignment horizontal="left" vertical="center" wrapText="1" indent="1"/>
    </xf>
    <xf numFmtId="0" fontId="22" fillId="0" borderId="0" xfId="0" applyFont="1" applyNumberFormat="1">
      <alignment horizontal="right" vertical="center"/>
    </xf>
    <xf numFmtId="0" fontId="48" fillId="0" borderId="0" xfId="0" applyFont="1" applyNumberFormat="1">
      <alignment vertical="center" wrapText="1"/>
    </xf>
    <xf numFmtId="0" fontId="60" fillId="0" borderId="0" xfId="0" applyFont="1" applyNumberFormat="1">
      <alignment vertical="center" wrapText="1"/>
    </xf>
    <xf numFmtId="0" fontId="0" fillId="0" borderId="14" xfId="0" applyFont="1" applyBorder="1" applyNumberFormat="1">
      <alignment horizontal="center" vertical="center" wrapText="1"/>
    </xf>
    <xf numFmtId="0" fontId="0" fillId="0" borderId="15" xfId="0" applyFont="1" applyBorder="1" applyNumberFormat="1">
      <alignment horizontal="center" vertical="center" wrapText="1"/>
    </xf>
    <xf numFmtId="0" fontId="0" fillId="0" borderId="13" xfId="0" applyFont="1" applyBorder="1" applyNumberFormat="1">
      <alignment horizontal="center" vertical="center" wrapText="1"/>
    </xf>
    <xf numFmtId="0" fontId="0" fillId="0" borderId="12"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37" xfId="0" applyFont="1" applyBorder="1" applyNumberFormat="1">
      <alignment horizontal="center" vertical="center" wrapText="1"/>
    </xf>
    <xf numFmtId="0" fontId="0" fillId="0" borderId="20" xfId="0" applyFont="1" applyBorder="1" applyNumberFormat="1">
      <alignment horizontal="center" vertical="center" wrapText="1"/>
    </xf>
    <xf numFmtId="0" fontId="0" fillId="0" borderId="20"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30" xfId="0" applyFont="1" applyBorder="1" applyNumberFormat="1">
      <alignment horizontal="center" vertical="center" wrapText="1"/>
    </xf>
    <xf numFmtId="0" fontId="0" fillId="0" borderId="12" xfId="0" applyFont="1" applyBorder="1" applyNumberFormat="1">
      <alignment horizontal="center" vertical="center" wrapText="1"/>
    </xf>
    <xf numFmtId="0" fontId="0" fillId="0" borderId="14" xfId="0" applyFont="1" applyBorder="1" applyNumberFormat="1">
      <alignment horizontal="center" vertical="center" wrapText="1"/>
    </xf>
    <xf numFmtId="0" fontId="0" fillId="0" borderId="29" xfId="0" applyFont="1" applyBorder="1" applyNumberFormat="1">
      <alignment horizontal="center" vertical="center" wrapText="1"/>
    </xf>
    <xf numFmtId="0" fontId="0" fillId="0" borderId="29"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23" xfId="0" applyFont="1" applyBorder="1" applyNumberFormat="1">
      <alignment horizontal="center" vertical="center" wrapText="1"/>
    </xf>
    <xf numFmtId="0" fontId="36" fillId="35" borderId="0" xfId="0" applyFont="1" applyFill="1" applyNumberFormat="1">
      <alignment horizontal="center" vertical="center" wrapText="1"/>
    </xf>
    <xf numFmtId="49" fontId="36" fillId="35" borderId="0" xfId="0" applyFont="1" applyFill="1" applyNumberFormat="1">
      <alignment horizontal="center" vertical="center" wrapText="1"/>
    </xf>
    <xf numFmtId="0" fontId="72" fillId="0" borderId="0" xfId="0" applyFont="1" applyNumberFormat="1">
      <alignment vertical="center" wrapText="1"/>
    </xf>
    <xf numFmtId="0" fontId="80" fillId="35" borderId="0" xfId="0" applyFont="1" applyFill="1" applyNumberFormat="1">
      <alignment horizontal="center" vertical="center" wrapText="1"/>
    </xf>
    <xf numFmtId="49" fontId="72" fillId="0" borderId="17" xfId="0" applyFont="1" applyBorder="1" applyNumberFormat="1">
      <alignment horizontal="left" vertical="center" wrapText="1"/>
    </xf>
    <xf numFmtId="49" fontId="72" fillId="0" borderId="12" xfId="0" applyFont="1" applyBorder="1" applyNumberFormat="1">
      <alignment horizontal="left" vertical="center" wrapText="1"/>
    </xf>
    <xf numFmtId="49" fontId="0" fillId="0" borderId="12" xfId="0" applyFont="1" applyBorder="1" applyNumberFormat="1">
      <alignment vertical="top" wrapText="1"/>
    </xf>
    <xf numFmtId="49" fontId="0" fillId="0" borderId="12" xfId="0" applyFont="1" applyBorder="1" applyNumberFormat="1">
      <alignment horizontal="center" vertical="center" wrapText="1"/>
    </xf>
    <xf numFmtId="49" fontId="0" fillId="36" borderId="12" xfId="0" applyFont="1" applyFill="1" applyBorder="1" applyNumberFormat="1">
      <alignment horizontal="left" vertical="center" wrapText="1"/>
      <protection locked="0"/>
    </xf>
    <xf numFmtId="0" fontId="22" fillId="40" borderId="14" xfId="0" applyFont="1" applyFill="1" applyBorder="1" applyNumberFormat="1">
      <alignment horizontal="left" vertical="center" wrapText="1"/>
    </xf>
    <xf numFmtId="49" fontId="36" fillId="35" borderId="12" xfId="0" applyFont="1" applyFill="1" applyBorder="1" applyNumberFormat="1">
      <alignment horizontal="center" vertical="center" wrapText="1"/>
    </xf>
    <xf numFmtId="4" fontId="0" fillId="39" borderId="12" xfId="0" applyFont="1" applyFill="1" applyBorder="1" applyNumberFormat="1">
      <alignment horizontal="right" vertical="center" wrapText="1"/>
      <protection locked="0"/>
    </xf>
    <xf numFmtId="3" fontId="0" fillId="39" borderId="12" xfId="0" applyFont="1" applyFill="1" applyBorder="1" applyNumberFormat="1">
      <alignment horizontal="right" vertical="center" wrapText="1"/>
      <protection locked="0"/>
    </xf>
    <xf numFmtId="4" fontId="0" fillId="39" borderId="13" xfId="0" applyFont="1" applyFill="1" applyBorder="1" applyNumberFormat="1">
      <alignment horizontal="right" vertical="center" wrapText="1"/>
      <protection locked="0"/>
    </xf>
    <xf numFmtId="0" fontId="0" fillId="36" borderId="12" xfId="0" applyFont="1" applyFill="1" applyBorder="1" applyNumberFormat="1">
      <alignment horizontal="right" vertical="center" wrapText="1"/>
      <protection locked="0"/>
    </xf>
    <xf numFmtId="3" fontId="0" fillId="0" borderId="13" xfId="0" applyFont="1" applyBorder="1" applyNumberFormat="1">
      <alignment horizontal="right" vertical="center" wrapText="1"/>
    </xf>
    <xf numFmtId="0" fontId="0" fillId="0" borderId="17" xfId="0" applyFont="1" applyBorder="1" applyNumberFormat="1">
      <alignment horizontal="left" vertical="top" wrapText="1"/>
    </xf>
    <xf numFmtId="49" fontId="50" fillId="37" borderId="14" xfId="0" applyFont="1" applyFill="1" applyBorder="1" applyNumberFormat="1">
      <alignment horizontal="center" vertical="center"/>
    </xf>
    <xf numFmtId="0" fontId="40" fillId="37" borderId="15" xfId="0" applyFont="1" applyFill="1" applyBorder="1" applyNumberFormat="1">
      <alignment vertical="center"/>
    </xf>
    <xf numFmtId="49" fontId="40" fillId="37" borderId="15" xfId="0" applyFont="1" applyFill="1" applyBorder="1" applyNumberFormat="1">
      <alignment vertical="center"/>
    </xf>
    <xf numFmtId="49" fontId="73" fillId="37" borderId="15" xfId="0" applyFont="1" applyFill="1" applyBorder="1" applyNumberFormat="1">
      <alignment vertical="center"/>
    </xf>
    <xf numFmtId="49" fontId="73" fillId="37" borderId="13" xfId="0" applyFont="1" applyFill="1" applyBorder="1" applyNumberFormat="1">
      <alignment vertical="center"/>
    </xf>
    <xf numFmtId="0" fontId="0" fillId="0" borderId="23" xfId="0" applyFont="1" applyBorder="1" applyNumberFormat="1">
      <alignment horizontal="left" vertical="top" wrapText="1"/>
    </xf>
    <xf numFmtId="0" fontId="32" fillId="0" borderId="0" xfId="0" applyFont="1" applyNumberFormat="1">
      <alignment vertical="center" wrapText="1"/>
    </xf>
    <xf numFmtId="0" fontId="37" fillId="0" borderId="0" xfId="0" applyFont="1" applyNumberFormat="1">
      <alignment horizontal="center" vertical="center" wrapText="1"/>
    </xf>
    <xf numFmtId="0" fontId="22" fillId="0" borderId="0" xfId="0" applyFont="1" applyNumberFormat="1">
      <alignment vertical="center" wrapText="1"/>
    </xf>
    <xf numFmtId="0" fontId="42" fillId="0" borderId="0" xfId="0" applyFont="1" applyNumberFormat="1">
      <alignment vertical="center" wrapText="1"/>
    </xf>
    <xf numFmtId="0" fontId="22" fillId="0" borderId="0" xfId="0" applyFont="1" applyNumberFormat="1">
      <alignment vertical="center" wrapText="1"/>
    </xf>
    <xf numFmtId="0" fontId="37" fillId="35" borderId="0" xfId="0" applyFont="1" applyFill="1" applyNumberFormat="1">
      <alignment horizontal="center" vertical="center" wrapText="1"/>
    </xf>
    <xf numFmtId="49" fontId="0" fillId="0" borderId="37" xfId="0" applyFont="1" applyBorder="1" applyNumberFormat="1">
      <alignment horizontal="center" vertical="center" wrapText="1"/>
    </xf>
    <xf numFmtId="0" fontId="22" fillId="40" borderId="19" xfId="0" applyFont="1" applyFill="1" applyBorder="1" applyNumberFormat="1">
      <alignment horizontal="left" vertical="center" wrapText="1"/>
    </xf>
    <xf numFmtId="0" fontId="37" fillId="35"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49" fontId="22" fillId="39" borderId="12" xfId="0" applyFont="1" applyFill="1" applyBorder="1" applyNumberFormat="1">
      <alignment horizontal="left" vertical="center" wrapText="1"/>
      <protection locked="0"/>
    </xf>
    <xf numFmtId="3" fontId="22" fillId="39" borderId="12" xfId="0" applyFont="1" applyFill="1" applyBorder="1" applyNumberFormat="1">
      <alignment horizontal="right" vertical="center" wrapText="1"/>
      <protection locked="0"/>
    </xf>
    <xf numFmtId="0" fontId="48" fillId="0" borderId="0" xfId="0" applyFont="1" applyNumberFormat="1">
      <alignment vertical="center" wrapText="1"/>
    </xf>
    <xf numFmtId="0" fontId="48" fillId="0" borderId="0" xfId="0" applyFont="1" applyNumberFormat="1">
      <alignment vertical="center"/>
    </xf>
    <xf numFmtId="0" fontId="22" fillId="0" borderId="0" xfId="0" applyFont="1" applyNumberFormat="1">
      <alignment vertical="center" wrapText="1"/>
    </xf>
    <xf numFmtId="49" fontId="0" fillId="0" borderId="30" xfId="0" applyFont="1" applyBorder="1" applyNumberFormat="1">
      <alignment horizontal="center" vertical="center" wrapText="1"/>
    </xf>
    <xf numFmtId="0" fontId="22" fillId="40" borderId="27" xfId="0" applyFont="1" applyFill="1" applyBorder="1" applyNumberFormat="1">
      <alignment horizontal="left" vertical="center" wrapText="1"/>
    </xf>
    <xf numFmtId="0" fontId="48" fillId="0" borderId="0" xfId="0" applyFont="1" applyNumberFormat="1">
      <alignment vertical="center" wrapText="1"/>
    </xf>
    <xf numFmtId="0" fontId="88" fillId="0" borderId="0" xfId="0" applyFont="1" applyNumberFormat="1">
      <alignment vertical="center" wrapText="1"/>
    </xf>
    <xf numFmtId="0" fontId="37" fillId="35" borderId="0" xfId="0" applyFont="1" applyFill="1" applyNumberFormat="1">
      <alignment horizontal="center" vertical="center" wrapText="1"/>
    </xf>
    <xf numFmtId="0" fontId="22" fillId="0" borderId="19" xfId="0" applyFont="1" applyBorder="1" applyNumberFormat="1">
      <alignment horizontal="left" vertical="top" wrapText="1" indent="1"/>
    </xf>
    <xf numFmtId="0" fontId="64" fillId="0" borderId="0" xfId="0" applyFont="1" applyNumberFormat="1">
      <alignment vertical="center" wrapText="1"/>
    </xf>
    <xf numFmtId="0" fontId="58" fillId="0" borderId="0" xfId="0" applyFont="1" applyNumberFormat="1">
      <alignment vertical="center" wrapText="1"/>
    </xf>
    <xf numFmtId="0" fontId="60" fillId="0" borderId="0" xfId="0" applyFont="1" applyNumberFormat="1">
      <alignment vertical="center" wrapText="1"/>
    </xf>
    <xf numFmtId="0" fontId="22" fillId="0" borderId="23" xfId="0" applyFont="1" applyBorder="1" applyNumberFormat="1">
      <alignment horizontal="center" vertical="center" wrapText="1"/>
    </xf>
    <xf numFmtId="0" fontId="37" fillId="35"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0" fontId="32" fillId="0" borderId="0" xfId="0" applyFont="1" applyNumberFormat="1">
      <alignment vertical="center" wrapText="1"/>
    </xf>
    <xf numFmtId="0" fontId="60" fillId="35" borderId="0" xfId="0" applyFont="1" applyFill="1" applyNumberFormat="1">
      <alignment vertical="center" wrapText="1"/>
    </xf>
    <xf numFmtId="0" fontId="60" fillId="35" borderId="0" xfId="0" applyFont="1" applyFill="1" applyNumberFormat="1">
      <alignment horizontal="right" vertical="center"/>
    </xf>
    <xf numFmtId="0" fontId="60" fillId="35" borderId="0" xfId="0" applyFont="1" applyFill="1" applyNumberFormat="1">
      <alignment horizontal="right" vertical="center" wrapText="1"/>
    </xf>
    <xf numFmtId="0" fontId="22" fillId="0" borderId="20" xfId="0" applyFont="1" applyBorder="1" applyNumberFormat="1">
      <alignment horizontal="left" vertical="center" wrapText="1" indent="1"/>
    </xf>
    <xf numFmtId="0" fontId="22" fillId="0" borderId="17" xfId="0" applyFont="1" applyBorder="1" applyNumberFormat="1">
      <alignment horizontal="left" vertical="center" wrapText="1" indent="1"/>
    </xf>
    <xf numFmtId="0" fontId="22" fillId="0" borderId="37" xfId="0" applyFont="1" applyBorder="1" applyNumberFormat="1">
      <alignment horizontal="left" vertical="center" wrapText="1" indent="1"/>
    </xf>
    <xf numFmtId="0" fontId="46" fillId="0" borderId="0" xfId="0" applyFont="1" applyNumberFormat="1">
      <alignment horizontal="center" vertical="center" wrapText="1"/>
    </xf>
    <xf numFmtId="4" fontId="60" fillId="0" borderId="0" xfId="0" applyFont="1" applyNumberFormat="1">
      <alignment horizontal="right" vertical="center" wrapText="1"/>
    </xf>
    <xf numFmtId="0" fontId="22" fillId="35" borderId="12" xfId="0" applyFont="1" applyFill="1" applyBorder="1" applyNumberFormat="1">
      <alignment horizontal="center" vertical="center" wrapText="1"/>
    </xf>
    <xf numFmtId="0" fontId="22" fillId="35" borderId="12" xfId="0" applyFont="1" applyFill="1" applyBorder="1" applyNumberFormat="1">
      <alignment horizontal="center" vertical="center" wrapText="1"/>
    </xf>
    <xf numFmtId="0" fontId="22" fillId="0" borderId="12" xfId="0" applyFont="1" applyBorder="1" applyNumberFormat="1">
      <alignment horizontal="center" vertical="center" wrapText="1"/>
    </xf>
    <xf numFmtId="0" fontId="0" fillId="0" borderId="12" xfId="0" applyFont="1" applyBorder="1" applyNumberFormat="1">
      <alignment horizontal="center" vertical="center" wrapText="1"/>
    </xf>
    <xf numFmtId="49" fontId="36" fillId="35" borderId="15" xfId="0" applyFont="1" applyFill="1" applyBorder="1" applyNumberFormat="1">
      <alignment horizontal="center" vertical="center" wrapText="1"/>
    </xf>
    <xf numFmtId="49" fontId="36" fillId="35" borderId="15" xfId="0" applyFont="1" applyFill="1" applyBorder="1" applyNumberFormat="1">
      <alignment horizontal="center" vertical="center" wrapText="1"/>
    </xf>
    <xf numFmtId="0" fontId="37" fillId="35" borderId="0" xfId="0" applyFont="1" applyFill="1" applyNumberFormat="1">
      <alignment horizontal="center" vertical="center" wrapText="1"/>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49" fontId="22" fillId="0" borderId="12" xfId="0" applyFont="1" applyBorder="1" applyNumberFormat="1">
      <alignment horizontal="left" vertical="center" wrapText="1"/>
    </xf>
    <xf numFmtId="49" fontId="22" fillId="0" borderId="0" xfId="0" applyFont="1" applyNumberFormat="1">
      <alignment vertical="top"/>
    </xf>
    <xf numFmtId="0" fontId="37" fillId="35" borderId="24" xfId="0" applyFont="1" applyFill="1" applyBorder="1" applyNumberFormat="1">
      <alignment vertical="top"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49" fontId="53" fillId="37" borderId="13" xfId="0" applyFont="1" applyFill="1" applyBorder="1" applyNumberFormat="1">
      <alignment horizontal="left" vertical="center" wrapText="1"/>
    </xf>
    <xf numFmtId="0" fontId="0" fillId="0" borderId="36" xfId="0" applyFont="1" applyBorder="1" applyNumberFormat="1">
      <alignment horizontal="left" vertical="top" wrapText="1"/>
    </xf>
    <xf numFmtId="0" fontId="48" fillId="0" borderId="0" xfId="0" applyFont="1" applyNumberFormat="1">
      <alignment horizontal="left" vertical="center" wrapText="1"/>
    </xf>
    <xf numFmtId="49" fontId="48" fillId="0" borderId="0" xfId="0" applyFont="1" applyNumberFormat="1">
      <alignment horizontal="left" vertical="center" wrapText="1"/>
    </xf>
    <xf numFmtId="0" fontId="37" fillId="35" borderId="0" xfId="0" applyFont="1" applyFill="1" applyNumberFormat="1">
      <alignment vertical="top" wrapText="1"/>
    </xf>
    <xf numFmtId="0" fontId="48" fillId="35" borderId="23" xfId="0" applyFont="1" applyFill="1" applyBorder="1" applyNumberFormat="1">
      <alignment horizontal="center" vertical="center" wrapText="1"/>
    </xf>
    <xf numFmtId="14" fontId="22" fillId="40" borderId="23" xfId="0" applyFont="1" applyFill="1" applyBorder="1" applyNumberFormat="1">
      <alignment horizontal="left" vertical="center" wrapText="1"/>
    </xf>
    <xf numFmtId="14" fontId="22" fillId="40" borderId="12" xfId="0" applyFont="1" applyFill="1" applyBorder="1" applyNumberFormat="1">
      <alignment horizontal="center" vertical="center" wrapText="1"/>
    </xf>
    <xf numFmtId="49" fontId="53" fillId="39" borderId="12" xfId="0" applyFont="1" applyFill="1" applyBorder="1" applyNumberFormat="1">
      <alignment horizontal="left" vertical="center" wrapText="1"/>
      <protection locked="0"/>
    </xf>
    <xf numFmtId="49" fontId="50" fillId="37" borderId="15" xfId="0" applyFont="1" applyFill="1" applyBorder="1" applyNumberFormat="1">
      <alignment horizontal="center" vertical="center"/>
    </xf>
    <xf numFmtId="49" fontId="73" fillId="37" borderId="15" xfId="0" applyFont="1" applyFill="1" applyBorder="1" applyNumberFormat="1">
      <alignment horizontal="left" vertical="center" indent="1"/>
    </xf>
    <xf numFmtId="49" fontId="73" fillId="37" borderId="13" xfId="0" applyFont="1" applyFill="1" applyBorder="1" applyNumberFormat="1">
      <alignment horizontal="left" vertical="center" indent="1"/>
    </xf>
    <xf numFmtId="0" fontId="79" fillId="0" borderId="0" xfId="0" applyFont="1" applyNumberFormat="1">
      <alignment horizontal="center" vertical="center" wrapText="1"/>
    </xf>
    <xf numFmtId="0" fontId="45" fillId="0" borderId="0" xfId="0" applyFont="1" applyNumberFormat="1">
      <alignment vertical="top" wrapText="1"/>
    </xf>
    <xf numFmtId="0" fontId="22" fillId="0" borderId="0" xfId="0" applyFont="1" applyNumberFormat="1">
      <alignment horizontal="right" vertical="top" wrapText="1"/>
    </xf>
    <xf numFmtId="0" fontId="45" fillId="0" borderId="0" xfId="0" applyFont="1" applyNumberFormat="1">
      <alignment vertical="top"/>
    </xf>
    <xf numFmtId="0" fontId="22" fillId="0" borderId="0" xfId="0" applyFont="1" applyNumberFormat="1">
      <alignment vertical="center" wrapText="1"/>
    </xf>
    <xf numFmtId="0" fontId="47" fillId="0" borderId="0" xfId="0" applyFont="1" applyNumberFormat="1">
      <alignment horizontal="left" vertical="center" indent="1"/>
    </xf>
    <xf numFmtId="0" fontId="47" fillId="0" borderId="12" xfId="0" applyFont="1" applyBorder="1" applyNumberFormat="1">
      <alignment horizontal="center" vertical="center"/>
    </xf>
    <xf numFmtId="0" fontId="47" fillId="0" borderId="0" xfId="0" applyFont="1" applyNumberFormat="1">
      <alignment horizontal="center" vertical="center"/>
    </xf>
    <xf numFmtId="0" fontId="47" fillId="0" borderId="0" xfId="0" applyFont="1" applyNumberFormat="1">
      <alignment horizontal="left" vertical="center" wrapText="1"/>
    </xf>
    <xf numFmtId="49" fontId="22" fillId="0" borderId="0" xfId="0" applyFont="1" applyNumberFormat="1">
      <alignment vertical="center" wrapText="1"/>
    </xf>
    <xf numFmtId="49" fontId="22" fillId="0" borderId="0" xfId="0" applyFont="1" applyNumberFormat="1">
      <alignment vertical="top"/>
    </xf>
    <xf numFmtId="49" fontId="22" fillId="0" borderId="24" xfId="0" applyFont="1" applyBorder="1" applyNumberFormat="1">
      <alignment vertical="top"/>
    </xf>
    <xf numFmtId="0" fontId="22" fillId="35" borderId="12" xfId="0" applyFont="1" applyFill="1" applyBorder="1" applyNumberFormat="1">
      <alignment horizontal="left" vertical="center" wrapText="1"/>
    </xf>
    <xf numFmtId="0" fontId="22" fillId="0" borderId="12" xfId="0" applyFont="1" applyBorder="1" applyNumberFormat="1">
      <alignment vertical="center" wrapText="1"/>
    </xf>
    <xf numFmtId="0" fontId="22" fillId="0" borderId="12" xfId="0" applyFont="1" applyBorder="1" applyNumberFormat="1">
      <alignment horizontal="left" vertical="center" wrapText="1" indent="6"/>
    </xf>
    <xf numFmtId="0" fontId="22" fillId="34" borderId="14" xfId="0" applyFont="1" applyFill="1" applyBorder="1" applyNumberFormat="1">
      <alignment horizontal="left" vertical="center" wrapText="1"/>
    </xf>
    <xf numFmtId="0" fontId="22" fillId="34" borderId="15" xfId="0" applyFont="1" applyFill="1" applyBorder="1" applyNumberFormat="1">
      <alignment horizontal="left" vertical="center" wrapText="1"/>
    </xf>
    <xf numFmtId="0" fontId="22" fillId="34" borderId="13" xfId="0" applyFont="1" applyFill="1" applyBorder="1" applyNumberFormat="1">
      <alignment horizontal="left" vertical="center" wrapText="1"/>
    </xf>
    <xf numFmtId="0" fontId="45" fillId="0" borderId="12" xfId="0" applyFont="1" applyBorder="1" applyNumberFormat="1">
      <alignment vertical="top" wrapText="1"/>
    </xf>
    <xf numFmtId="0" fontId="47" fillId="0" borderId="14" xfId="0" applyFont="1" applyBorder="1" applyNumberFormat="1">
      <alignment horizontal="center" vertical="center"/>
    </xf>
    <xf numFmtId="0" fontId="22" fillId="0" borderId="0" xfId="0" applyFont="1" applyNumberFormat="1">
      <alignment horizontal="center" vertical="center" wrapText="1"/>
    </xf>
    <xf numFmtId="0" fontId="42" fillId="35" borderId="0" xfId="0" applyFont="1" applyFill="1" applyNumberFormat="1">
      <alignment horizontal="center" vertical="center" wrapText="1"/>
    </xf>
    <xf numFmtId="0" fontId="22" fillId="0" borderId="24" xfId="0" applyFont="1" applyBorder="1" applyNumberFormat="1">
      <alignment vertical="center" wrapText="1"/>
    </xf>
    <xf numFmtId="0" fontId="22" fillId="35" borderId="12" xfId="0" applyFont="1" applyFill="1" applyBorder="1" applyNumberFormat="1">
      <alignment horizontal="left" vertical="center" wrapText="1" indent="1"/>
    </xf>
    <xf numFmtId="0" fontId="37" fillId="0" borderId="0" xfId="0" applyFont="1" applyNumberFormat="1">
      <alignment vertical="center" wrapText="1"/>
    </xf>
    <xf numFmtId="0" fontId="22" fillId="35" borderId="12" xfId="0" applyFont="1" applyFill="1" applyBorder="1" applyNumberFormat="1">
      <alignment horizontal="left" vertical="center" wrapText="1" indent="2"/>
    </xf>
    <xf numFmtId="0" fontId="22" fillId="35" borderId="12" xfId="0" applyFont="1" applyFill="1" applyBorder="1" applyNumberFormat="1">
      <alignment horizontal="left" vertical="center" wrapText="1" indent="3"/>
    </xf>
    <xf numFmtId="0" fontId="47" fillId="0" borderId="12" xfId="0" applyFont="1" applyBorder="1" applyNumberFormat="1">
      <alignment horizontal="center" vertical="center" wrapText="1"/>
    </xf>
    <xf numFmtId="0" fontId="47" fillId="0" borderId="0" xfId="0" applyFont="1" applyNumberFormat="1">
      <alignment vertical="center" wrapText="1"/>
    </xf>
    <xf numFmtId="0" fontId="48" fillId="0" borderId="0" xfId="0" applyFont="1" applyNumberFormat="1">
      <alignment horizontal="center" vertical="center" wrapText="1"/>
    </xf>
    <xf numFmtId="0" fontId="48" fillId="0" borderId="0" xfId="0" applyFont="1" applyNumberFormat="1">
      <alignment horizontal="center" vertical="center" wrapText="1"/>
    </xf>
    <xf numFmtId="0" fontId="48" fillId="0" borderId="24" xfId="0" applyFont="1" applyBorder="1" applyNumberFormat="1">
      <alignment horizontal="center" vertical="center" wrapText="1"/>
    </xf>
    <xf numFmtId="0" fontId="22" fillId="35" borderId="12" xfId="0" applyFont="1" applyFill="1" applyBorder="1" applyNumberFormat="1">
      <alignment horizontal="left" vertical="center" wrapText="1" indent="4"/>
    </xf>
    <xf numFmtId="0" fontId="22" fillId="40" borderId="14" xfId="0" applyFont="1" applyFill="1" applyBorder="1" applyNumberFormat="1">
      <alignment horizontal="left" vertical="center" wrapText="1"/>
    </xf>
    <xf numFmtId="0" fontId="22" fillId="40" borderId="15" xfId="0" applyFont="1" applyFill="1" applyBorder="1" applyNumberFormat="1">
      <alignment horizontal="left" vertical="center" wrapText="1"/>
    </xf>
    <xf numFmtId="0" fontId="22" fillId="40" borderId="13" xfId="0" applyFont="1" applyFill="1" applyBorder="1" applyNumberFormat="1">
      <alignment horizontal="left" vertical="center" wrapText="1"/>
    </xf>
    <xf numFmtId="0" fontId="47" fillId="0" borderId="14" xfId="0" applyFont="1" applyBorder="1" applyNumberFormat="1">
      <alignment horizontal="center" vertical="center" wrapText="1"/>
    </xf>
    <xf numFmtId="0" fontId="47" fillId="0" borderId="0" xfId="0" applyFont="1" applyNumberFormat="1">
      <alignment vertical="center" wrapText="1"/>
    </xf>
    <xf numFmtId="0" fontId="48" fillId="0" borderId="24" xfId="0" applyFont="1" applyBorder="1" applyNumberFormat="1">
      <alignment vertical="center" wrapText="1"/>
    </xf>
    <xf numFmtId="0" fontId="22" fillId="35" borderId="12" xfId="0" applyFont="1" applyFill="1" applyBorder="1" applyNumberFormat="1">
      <alignment horizontal="left" vertical="center" wrapText="1" indent="5"/>
    </xf>
    <xf numFmtId="0" fontId="22" fillId="40" borderId="12" xfId="0" applyFont="1" applyFill="1" applyBorder="1" applyNumberFormat="1">
      <alignment horizontal="left" vertical="center" wrapText="1" indent="6"/>
    </xf>
    <xf numFmtId="4" fontId="22" fillId="36" borderId="12" xfId="0" applyFont="1" applyFill="1" applyBorder="1" applyNumberFormat="1">
      <alignment horizontal="right" vertical="center" wrapText="1"/>
      <protection locked="0"/>
    </xf>
    <xf numFmtId="4" fontId="22" fillId="0" borderId="12" xfId="0" applyFont="1" applyBorder="1" applyNumberFormat="1">
      <alignment horizontal="right" vertical="center" wrapText="1"/>
    </xf>
    <xf numFmtId="502" fontId="22" fillId="36" borderId="12" xfId="0" applyFont="1" applyFill="1" applyBorder="1" applyNumberFormat="1">
      <alignment horizontal="right" vertical="center" wrapText="1"/>
      <protection locked="0"/>
    </xf>
    <xf numFmtId="504" fontId="0" fillId="39" borderId="12" xfId="0" applyFont="1" applyFill="1" applyBorder="1" applyNumberFormat="1">
      <alignment horizontal="center" vertical="center" wrapText="1"/>
      <protection locked="0"/>
    </xf>
    <xf numFmtId="0" fontId="45" fillId="0" borderId="17" xfId="0" applyFont="1" applyBorder="1" applyNumberFormat="1">
      <alignment horizontal="left" vertical="top" wrapText="1"/>
    </xf>
    <xf numFmtId="49" fontId="22" fillId="0" borderId="12" xfId="0" applyFont="1" applyBorder="1" applyNumberFormat="1">
      <alignment horizontal="left" vertical="center" wrapText="1"/>
    </xf>
    <xf numFmtId="4" fontId="48" fillId="0" borderId="12" xfId="0" applyFont="1" applyBorder="1" applyNumberFormat="1">
      <alignment horizontal="center" vertical="center" wrapText="1"/>
    </xf>
    <xf numFmtId="49" fontId="0" fillId="39" borderId="12" xfId="0" applyFont="1" applyFill="1" applyBorder="1" applyNumberFormat="1">
      <alignment horizontal="center" vertical="center" wrapText="1"/>
      <protection locked="0"/>
    </xf>
    <xf numFmtId="0" fontId="45" fillId="0" borderId="36" xfId="0" applyFont="1" applyBorder="1" applyNumberFormat="1">
      <alignment horizontal="left" vertical="top" wrapText="1"/>
    </xf>
    <xf numFmtId="49" fontId="73" fillId="37" borderId="14" xfId="0" applyFont="1" applyFill="1" applyBorder="1" applyNumberFormat="1">
      <alignment horizontal="left" vertical="center"/>
    </xf>
    <xf numFmtId="49" fontId="40" fillId="37" borderId="15" xfId="0" applyFont="1" applyFill="1" applyBorder="1" applyNumberFormat="1">
      <alignment horizontal="left" vertical="center" indent="6"/>
    </xf>
    <xf numFmtId="49" fontId="22" fillId="37" borderId="13" xfId="0" applyFont="1" applyFill="1" applyBorder="1" applyNumberFormat="1">
      <alignment horizontal="center" vertical="center" wrapText="1"/>
    </xf>
    <xf numFmtId="0" fontId="45" fillId="0" borderId="23" xfId="0" applyFont="1" applyBorder="1" applyNumberFormat="1">
      <alignment horizontal="left" vertical="top" wrapText="1"/>
    </xf>
    <xf numFmtId="49" fontId="40" fillId="37" borderId="15" xfId="0" applyFont="1" applyFill="1" applyBorder="1" applyNumberFormat="1">
      <alignment horizontal="left" vertical="center" indent="5"/>
    </xf>
    <xf numFmtId="49" fontId="0" fillId="37" borderId="15" xfId="0" applyFont="1" applyFill="1" applyBorder="1" applyNumberFormat="1">
      <alignment horizontal="center" vertical="center" wrapText="1"/>
    </xf>
    <xf numFmtId="49" fontId="0" fillId="37" borderId="13" xfId="0" applyFont="1" applyFill="1" applyBorder="1" applyNumberFormat="1">
      <alignment horizontal="center" vertical="center" wrapText="1"/>
    </xf>
    <xf numFmtId="49" fontId="39" fillId="0" borderId="0" xfId="0" applyFont="1" applyNumberFormat="1">
      <alignment vertical="top"/>
    </xf>
    <xf numFmtId="49" fontId="40" fillId="37" borderId="15" xfId="0" applyFont="1" applyFill="1" applyBorder="1" applyNumberFormat="1">
      <alignment horizontal="left" vertical="center" indent="4"/>
    </xf>
    <xf numFmtId="0" fontId="48" fillId="0" borderId="0" xfId="0" applyFont="1" applyNumberFormat="1">
      <alignment horizontal="left" vertical="center" indent="1"/>
    </xf>
    <xf numFmtId="0" fontId="48" fillId="0" borderId="0" xfId="0" applyFont="1" applyNumberFormat="1">
      <alignment horizontal="center" vertical="center"/>
    </xf>
    <xf numFmtId="0" fontId="48" fillId="0" borderId="0" xfId="0" applyFont="1" applyNumberFormat="1">
      <alignment horizontal="left" vertical="center" wrapText="1"/>
    </xf>
    <xf numFmtId="49" fontId="48" fillId="0" borderId="0" xfId="0" applyFont="1" applyNumberFormat="1">
      <alignment vertical="top"/>
    </xf>
    <xf numFmtId="49" fontId="107" fillId="0" borderId="0" xfId="0" applyFont="1" applyNumberFormat="1">
      <alignment vertical="top"/>
    </xf>
    <xf numFmtId="49" fontId="97" fillId="0" borderId="19" xfId="0" applyFont="1" applyBorder="1" applyNumberFormat="1">
      <alignment horizontal="left" vertical="center"/>
    </xf>
    <xf numFmtId="49" fontId="48" fillId="0" borderId="19" xfId="0" applyFont="1" applyBorder="1" applyNumberFormat="1">
      <alignment horizontal="left" vertical="center" indent="3"/>
    </xf>
    <xf numFmtId="49" fontId="48" fillId="0" borderId="19" xfId="0" applyFont="1" applyBorder="1" applyNumberFormat="1">
      <alignment horizontal="center" vertical="center" wrapText="1"/>
    </xf>
    <xf numFmtId="0" fontId="48" fillId="0" borderId="0" xfId="0" applyFont="1" applyNumberFormat="1">
      <alignment vertical="center" wrapText="1"/>
    </xf>
    <xf numFmtId="49" fontId="48" fillId="0" borderId="0" xfId="0" applyFont="1" applyNumberFormat="1">
      <alignment horizontal="left" vertical="center"/>
    </xf>
    <xf numFmtId="49" fontId="97" fillId="0" borderId="0" xfId="0" applyFont="1" applyNumberFormat="1">
      <alignment horizontal="left" vertical="center"/>
    </xf>
    <xf numFmtId="49" fontId="48" fillId="0" borderId="0" xfId="0" applyFont="1" applyNumberFormat="1">
      <alignment horizontal="left" vertical="center" indent="2"/>
    </xf>
    <xf numFmtId="49" fontId="48" fillId="0" borderId="0" xfId="0" applyFont="1" applyNumberFormat="1">
      <alignment horizontal="center" vertical="center" wrapText="1"/>
    </xf>
    <xf numFmtId="49" fontId="48" fillId="0" borderId="0" xfId="0" applyFont="1" applyNumberFormat="1">
      <alignment horizontal="left" vertical="center" indent="1"/>
    </xf>
    <xf numFmtId="49" fontId="22" fillId="0" borderId="0" xfId="0" applyFont="1" applyNumberFormat="1">
      <alignment vertical="center" wrapText="1"/>
    </xf>
    <xf numFmtId="4" fontId="47" fillId="0" borderId="12" xfId="0" applyFont="1" applyBorder="1" applyNumberFormat="1">
      <alignment horizontal="right" vertical="center" wrapText="1"/>
    </xf>
    <xf numFmtId="502" fontId="47" fillId="0" borderId="12" xfId="0" applyFont="1" applyBorder="1" applyNumberFormat="1">
      <alignment horizontal="right" vertical="center" wrapText="1"/>
    </xf>
    <xf numFmtId="504" fontId="47" fillId="0" borderId="12" xfId="0" applyFont="1" applyBorder="1" applyNumberFormat="1">
      <alignment horizontal="center" vertical="center" wrapText="1"/>
    </xf>
    <xf numFmtId="49" fontId="47" fillId="0" borderId="12" xfId="0" applyFont="1" applyBorder="1" applyNumberFormat="1">
      <alignment horizontal="center" vertical="center" wrapText="1"/>
    </xf>
    <xf numFmtId="0" fontId="47" fillId="0" borderId="0" xfId="0" applyFont="1" applyNumberFormat="1">
      <alignment horizontal="center" vertical="center" wrapText="1"/>
    </xf>
    <xf numFmtId="49" fontId="47" fillId="0" borderId="0" xfId="0" applyFont="1" applyNumberFormat="1">
      <alignment vertical="center" wrapText="1"/>
    </xf>
    <xf numFmtId="49" fontId="47" fillId="0" borderId="12" xfId="0" applyFont="1" applyBorder="1" applyNumberFormat="1">
      <alignment vertical="center" wrapText="1"/>
    </xf>
    <xf numFmtId="0" fontId="69" fillId="0" borderId="0" xfId="0" applyFont="1" applyNumberFormat="1">
      <alignment vertical="center" wrapText="1"/>
    </xf>
    <xf numFmtId="0" fontId="47" fillId="0" borderId="0" xfId="0" applyFont="1" applyNumberFormat="1">
      <alignment horizontal="left" vertical="center" wrapText="1"/>
    </xf>
    <xf numFmtId="0" fontId="47" fillId="0" borderId="0" xfId="0" applyFont="1" applyNumberFormat="1">
      <alignment vertical="center" wrapText="1"/>
    </xf>
    <xf numFmtId="0" fontId="39" fillId="35" borderId="0" xfId="0" applyFont="1" applyFill="1" applyNumberFormat="1">
      <alignment vertical="center" wrapText="1"/>
    </xf>
    <xf numFmtId="0" fontId="22" fillId="35" borderId="0" xfId="0" applyFont="1" applyFill="1" applyNumberFormat="1">
      <alignment horizontal="left" vertical="center" wrapText="1"/>
    </xf>
    <xf numFmtId="0" fontId="22" fillId="35" borderId="0" xfId="0" applyFont="1" applyFill="1" applyNumberFormat="1">
      <alignment vertical="center" wrapText="1"/>
    </xf>
    <xf numFmtId="0" fontId="22" fillId="0" borderId="19" xfId="0" applyFont="1" applyBorder="1" applyNumberFormat="1">
      <alignment horizontal="left" vertical="top" wrapText="1" indent="1"/>
    </xf>
    <xf numFmtId="0" fontId="46" fillId="0" borderId="0" xfId="0" applyFont="1" applyNumberFormat="1">
      <alignment vertical="center" wrapText="1"/>
    </xf>
    <xf numFmtId="0" fontId="22" fillId="0" borderId="27" xfId="0" applyFont="1" applyBorder="1" applyNumberFormat="1">
      <alignment horizontal="left" vertical="center" wrapText="1" indent="1"/>
    </xf>
    <xf numFmtId="0" fontId="50" fillId="35" borderId="0" xfId="0" applyFont="1" applyFill="1" applyNumberFormat="1">
      <alignment horizontal="center" vertical="center" wrapText="1"/>
    </xf>
    <xf numFmtId="0" fontId="47" fillId="0" borderId="0" xfId="0" applyFont="1" applyNumberFormat="1">
      <alignment vertical="center"/>
    </xf>
    <xf numFmtId="0" fontId="47" fillId="0" borderId="0" xfId="0" applyFont="1" applyNumberFormat="1">
      <alignment horizontal="center" vertical="center"/>
    </xf>
    <xf numFmtId="0" fontId="0" fillId="35" borderId="12" xfId="0" applyFont="1" applyFill="1" applyBorder="1" applyNumberFormat="1">
      <alignment horizontal="right" vertical="center" wrapText="1" indent="1"/>
    </xf>
    <xf numFmtId="0" fontId="0" fillId="0" borderId="15" xfId="0" applyFont="1" applyBorder="1" applyNumberFormat="1">
      <alignment vertical="center"/>
    </xf>
    <xf numFmtId="0" fontId="22" fillId="34" borderId="12" xfId="0" applyFont="1" applyFill="1" applyBorder="1" applyNumberFormat="1">
      <alignment horizontal="left" vertical="center" wrapText="1" indent="1"/>
    </xf>
    <xf numFmtId="0" fontId="22" fillId="0" borderId="0" xfId="0" applyFont="1" applyNumberFormat="1">
      <alignment vertical="center" wrapText="1"/>
    </xf>
    <xf numFmtId="0" fontId="68" fillId="0" borderId="0" xfId="0" applyFont="1" applyNumberFormat="1">
      <alignment vertical="center"/>
    </xf>
    <xf numFmtId="0" fontId="48" fillId="0" borderId="0" xfId="0" applyFont="1" applyNumberFormat="1">
      <alignment vertical="center"/>
    </xf>
    <xf numFmtId="0" fontId="0" fillId="0" borderId="0" xfId="0" applyFont="1" applyNumberFormat="1">
      <alignment vertical="center"/>
    </xf>
    <xf numFmtId="504" fontId="22" fillId="34" borderId="12" xfId="0" applyFont="1" applyFill="1" applyBorder="1" applyNumberFormat="1">
      <alignment horizontal="left" vertical="center" wrapText="1" indent="1"/>
    </xf>
    <xf numFmtId="49" fontId="22" fillId="0" borderId="0" xfId="0" applyFont="1" applyNumberFormat="1">
      <alignment vertical="center" wrapText="1"/>
    </xf>
    <xf numFmtId="0" fontId="22" fillId="0" borderId="0" xfId="0" applyFont="1" applyNumberFormat="1">
      <alignment horizontal="right" vertical="center" wrapText="1"/>
    </xf>
    <xf numFmtId="0" fontId="48" fillId="0" borderId="0" xfId="0" applyFont="1" applyNumberFormat="1">
      <alignment vertical="center" wrapText="1"/>
    </xf>
    <xf numFmtId="0" fontId="22" fillId="35" borderId="27" xfId="0" applyFont="1" applyFill="1" applyBorder="1" applyNumberFormat="1">
      <alignment vertical="center" wrapText="1"/>
    </xf>
    <xf numFmtId="0" fontId="37" fillId="0" borderId="27" xfId="0" applyFont="1" applyBorder="1" applyNumberFormat="1">
      <alignment horizontal="center" vertical="center" wrapText="1"/>
    </xf>
    <xf numFmtId="0" fontId="22" fillId="35" borderId="12" xfId="0" applyFont="1" applyFill="1" applyBorder="1" applyNumberFormat="1">
      <alignment horizontal="left" vertical="center" wrapText="1"/>
    </xf>
    <xf numFmtId="0" fontId="22" fillId="0" borderId="17" xfId="0" applyFont="1" applyBorder="1" applyNumberFormat="1">
      <alignment vertical="center" wrapText="1"/>
    </xf>
    <xf numFmtId="0" fontId="0" fillId="35" borderId="14" xfId="0" applyFont="1" applyFill="1" applyBorder="1" applyNumberFormat="1">
      <alignment horizontal="center" vertical="center" wrapText="1"/>
    </xf>
    <xf numFmtId="0" fontId="0" fillId="35" borderId="15" xfId="0" applyFont="1" applyFill="1" applyBorder="1" applyNumberFormat="1">
      <alignment horizontal="center" vertical="center" wrapText="1"/>
    </xf>
    <xf numFmtId="0" fontId="0" fillId="35" borderId="13" xfId="0" applyFont="1" applyFill="1" applyBorder="1" applyNumberFormat="1">
      <alignment horizontal="center" vertical="center" wrapText="1"/>
    </xf>
    <xf numFmtId="0" fontId="22" fillId="35" borderId="17" xfId="0" applyFont="1" applyFill="1" applyBorder="1" applyNumberFormat="1">
      <alignment horizontal="center" vertical="center" wrapText="1"/>
    </xf>
    <xf numFmtId="49" fontId="40" fillId="37" borderId="17" xfId="0" applyFont="1" applyFill="1" applyBorder="1" applyNumberFormat="1">
      <alignment horizontal="center" vertical="center" textRotation="90" wrapText="1"/>
    </xf>
    <xf numFmtId="0" fontId="22" fillId="0" borderId="36" xfId="0" applyFont="1" applyBorder="1" applyNumberFormat="1">
      <alignment vertical="center" wrapText="1"/>
    </xf>
    <xf numFmtId="0" fontId="22" fillId="0" borderId="17" xfId="0" applyFont="1" applyBorder="1" applyNumberFormat="1">
      <alignment horizontal="center" vertical="center" wrapText="1"/>
    </xf>
    <xf numFmtId="0" fontId="47" fillId="0" borderId="17" xfId="0" applyFont="1" applyBorder="1" applyNumberFormat="1">
      <alignment horizontal="center" vertical="center" wrapText="1"/>
    </xf>
    <xf numFmtId="0" fontId="22" fillId="0" borderId="14" xfId="0" applyFont="1" applyBorder="1" applyNumberFormat="1">
      <alignment horizontal="center" vertical="center" wrapText="1"/>
    </xf>
    <xf numFmtId="0" fontId="22" fillId="0" borderId="13" xfId="0" applyFont="1" applyBorder="1" applyNumberFormat="1">
      <alignment horizontal="center" vertical="center" wrapText="1"/>
    </xf>
    <xf numFmtId="0" fontId="22" fillId="0" borderId="15" xfId="0" applyFont="1" applyBorder="1" applyNumberFormat="1">
      <alignment horizontal="center" vertical="center" wrapText="1"/>
    </xf>
    <xf numFmtId="0" fontId="22" fillId="35" borderId="36" xfId="0" applyFont="1" applyFill="1" applyBorder="1" applyNumberFormat="1">
      <alignment horizontal="center" vertical="center" wrapText="1"/>
    </xf>
    <xf numFmtId="0" fontId="47" fillId="0" borderId="17" xfId="0" applyFont="1" applyBorder="1" applyNumberFormat="1">
      <alignment horizontal="center" vertical="center" wrapText="1"/>
    </xf>
    <xf numFmtId="49" fontId="40" fillId="37" borderId="36" xfId="0" applyFont="1" applyFill="1" applyBorder="1" applyNumberFormat="1">
      <alignment horizontal="center" vertical="center" textRotation="90" wrapText="1"/>
    </xf>
    <xf numFmtId="0" fontId="47" fillId="0" borderId="0" xfId="0" applyFont="1" applyNumberFormat="1">
      <alignment vertical="center"/>
    </xf>
    <xf numFmtId="0" fontId="22" fillId="0" borderId="23" xfId="0" applyFont="1" applyBorder="1" applyNumberFormat="1">
      <alignment vertical="center" wrapText="1"/>
    </xf>
    <xf numFmtId="0" fontId="22" fillId="0" borderId="23" xfId="0" applyFont="1" applyBorder="1" applyNumberFormat="1">
      <alignment horizontal="center" vertical="center" wrapText="1"/>
    </xf>
    <xf numFmtId="0" fontId="47" fillId="0" borderId="23" xfId="0" applyFont="1" applyBorder="1" applyNumberFormat="1">
      <alignment horizontal="center" vertical="center" wrapText="1"/>
    </xf>
    <xf numFmtId="0" fontId="0" fillId="0" borderId="12" xfId="0" applyFont="1" applyBorder="1" applyNumberFormat="1">
      <alignment horizontal="center" vertical="center" wrapText="1"/>
    </xf>
    <xf numFmtId="0" fontId="0" fillId="0" borderId="12" xfId="0" applyFont="1" applyBorder="1" applyNumberFormat="1">
      <alignment horizontal="center" vertical="center" wrapText="1"/>
    </xf>
    <xf numFmtId="0" fontId="0" fillId="0" borderId="14" xfId="0" applyFont="1" applyBorder="1" applyNumberFormat="1">
      <alignment horizontal="center" vertical="center" wrapText="1"/>
    </xf>
    <xf numFmtId="0" fontId="0" fillId="0" borderId="13" xfId="0" applyFont="1" applyBorder="1" applyNumberFormat="1">
      <alignment horizontal="center" vertical="center" wrapText="1"/>
    </xf>
    <xf numFmtId="0" fontId="22" fillId="35" borderId="23" xfId="0" applyFont="1" applyFill="1" applyBorder="1" applyNumberFormat="1">
      <alignment horizontal="center" vertical="center" wrapText="1"/>
    </xf>
    <xf numFmtId="0" fontId="0" fillId="0" borderId="12" xfId="0" applyFont="1" applyBorder="1" applyNumberFormat="1">
      <alignment horizontal="center" vertical="center" wrapText="1"/>
    </xf>
    <xf numFmtId="49" fontId="40" fillId="37" borderId="23" xfId="0" applyFont="1" applyFill="1" applyBorder="1" applyNumberFormat="1">
      <alignment horizontal="center" vertical="center" textRotation="90" wrapText="1"/>
    </xf>
    <xf numFmtId="49" fontId="72" fillId="0" borderId="0" xfId="0" applyFont="1" applyNumberFormat="1">
      <alignment vertical="center" wrapText="1"/>
    </xf>
    <xf numFmtId="0" fontId="106" fillId="35" borderId="0" xfId="0" applyFont="1" applyFill="1" applyNumberFormat="1">
      <alignment vertical="center" wrapText="1"/>
    </xf>
    <xf numFmtId="0" fontId="107" fillId="35" borderId="0" xfId="0" applyFont="1" applyFill="1" applyNumberFormat="1">
      <alignment vertical="center" wrapText="1"/>
    </xf>
    <xf numFmtId="49" fontId="80" fillId="35" borderId="19" xfId="0" applyFont="1" applyFill="1" applyBorder="1" applyNumberFormat="1">
      <alignment horizontal="left" vertical="center" wrapText="1"/>
    </xf>
    <xf numFmtId="49" fontId="80" fillId="35" borderId="19" xfId="0" applyFont="1" applyFill="1" applyBorder="1" applyNumberFormat="1">
      <alignment horizontal="center" vertical="center" wrapText="1"/>
    </xf>
    <xf numFmtId="0" fontId="48" fillId="35" borderId="19" xfId="0" applyFont="1" applyFill="1" applyBorder="1" applyNumberFormat="1">
      <alignment horizontal="center" vertical="center" wrapText="1"/>
    </xf>
    <xf numFmtId="0" fontId="80" fillId="35" borderId="19" xfId="0" applyFont="1" applyFill="1" applyBorder="1" applyNumberFormat="1">
      <alignment horizontal="center" vertical="center" wrapText="1"/>
    </xf>
    <xf numFmtId="0" fontId="80" fillId="35" borderId="19" xfId="0" applyFont="1" applyFill="1" applyBorder="1" applyNumberFormat="1">
      <alignment horizontal="center" vertical="center" wrapText="1"/>
    </xf>
    <xf numFmtId="0" fontId="80" fillId="35" borderId="19" xfId="0" applyFont="1" applyFill="1" applyBorder="1" applyNumberFormat="1">
      <alignment horizontal="center" vertical="center" wrapText="1"/>
    </xf>
    <xf numFmtId="0" fontId="22" fillId="35" borderId="12" xfId="0" applyFont="1" applyFill="1" applyBorder="1" applyNumberFormat="1">
      <alignment horizontal="left" vertical="center" wrapText="1"/>
    </xf>
    <xf numFmtId="0" fontId="22" fillId="0" borderId="0" xfId="0" applyFont="1" applyNumberFormat="1">
      <alignment horizontal="center" vertical="center" wrapText="1"/>
    </xf>
    <xf numFmtId="0" fontId="48" fillId="0" borderId="0" xfId="0" applyFont="1" applyNumberFormat="1">
      <alignment horizontal="center" vertical="center" wrapText="1"/>
    </xf>
    <xf numFmtId="504" fontId="0" fillId="39" borderId="17" xfId="0" applyFont="1" applyFill="1" applyBorder="1" applyNumberFormat="1">
      <alignment horizontal="center" vertical="center" wrapText="1"/>
      <protection locked="0"/>
    </xf>
    <xf numFmtId="4" fontId="22" fillId="0" borderId="17" xfId="0" applyFont="1" applyBorder="1" applyNumberFormat="1">
      <alignment horizontal="right" vertical="center" wrapText="1"/>
    </xf>
    <xf numFmtId="49" fontId="22" fillId="0" borderId="12" xfId="0" applyFont="1" applyBorder="1" applyNumberFormat="1">
      <alignment horizontal="left" vertical="center" wrapText="1"/>
    </xf>
    <xf numFmtId="49" fontId="0" fillId="39" borderId="23" xfId="0" applyFont="1" applyFill="1" applyBorder="1" applyNumberFormat="1">
      <alignment horizontal="center" vertical="center" wrapText="1"/>
      <protection locked="0"/>
    </xf>
    <xf numFmtId="4" fontId="22" fillId="0" borderId="23" xfId="0" applyFont="1" applyBorder="1" applyNumberFormat="1">
      <alignment horizontal="right" vertical="center" wrapText="1"/>
    </xf>
    <xf numFmtId="0" fontId="48" fillId="0" borderId="0" xfId="0" applyFont="1" applyNumberFormat="1">
      <alignment horizontal="left" vertical="center" indent="1"/>
    </xf>
    <xf numFmtId="0" fontId="48" fillId="0" borderId="0" xfId="0" applyFont="1" applyNumberFormat="1">
      <alignment horizontal="center" vertical="center"/>
    </xf>
    <xf numFmtId="49" fontId="48" fillId="0" borderId="0" xfId="0" applyFont="1" applyNumberFormat="1">
      <alignment vertical="top"/>
    </xf>
    <xf numFmtId="49" fontId="107" fillId="0" borderId="0" xfId="0" applyFont="1" applyNumberFormat="1">
      <alignment vertical="top"/>
    </xf>
    <xf numFmtId="0" fontId="22" fillId="0" borderId="0" xfId="0" applyFont="1" applyNumberFormat="1">
      <alignment horizontal="right" vertical="top" wrapText="1"/>
    </xf>
    <xf numFmtId="0" fontId="22" fillId="0" borderId="0" xfId="0" applyFont="1" applyNumberFormat="1">
      <alignment horizontal="left" vertical="top" wrapText="1"/>
    </xf>
    <xf numFmtId="49" fontId="22" fillId="0" borderId="0" xfId="0" applyFont="1" applyNumberFormat="1">
      <alignment vertical="center" wrapText="1"/>
    </xf>
    <xf numFmtId="49" fontId="22" fillId="0" borderId="0" xfId="0" applyFont="1" applyNumberFormat="1">
      <alignment vertical="center" wrapText="1"/>
    </xf>
    <xf numFmtId="0" fontId="39" fillId="0" borderId="0" xfId="0" applyFont="1" applyNumberFormat="1">
      <alignment vertical="center" wrapText="1"/>
    </xf>
    <xf numFmtId="0" fontId="22" fillId="0" borderId="0" xfId="0" applyFont="1" applyNumberFormat="1">
      <alignment horizontal="left" vertical="center" wrapText="1"/>
    </xf>
    <xf numFmtId="0" fontId="47" fillId="0" borderId="0" xfId="0" applyFont="1" applyNumberFormat="1">
      <alignment horizontal="center" vertical="center" wrapText="1"/>
    </xf>
    <xf numFmtId="49" fontId="47" fillId="0" borderId="0" xfId="0" applyFont="1" applyNumberFormat="1">
      <alignment vertical="center" wrapText="1"/>
    </xf>
    <xf numFmtId="49" fontId="22" fillId="0" borderId="0" xfId="0" applyFont="1" applyNumberFormat="1">
      <alignment vertical="center" wrapText="1"/>
    </xf>
    <xf numFmtId="0" fontId="39" fillId="0" borderId="0" xfId="0" applyFont="1" applyNumberFormat="1">
      <alignment vertical="center" wrapText="1"/>
    </xf>
    <xf numFmtId="0" fontId="22" fillId="0" borderId="0" xfId="0" applyFont="1" applyNumberFormat="1">
      <alignment horizontal="left" vertical="center" wrapText="1"/>
    </xf>
    <xf numFmtId="0" fontId="22" fillId="35" borderId="12" xfId="0" applyFont="1" applyFill="1" applyBorder="1" applyNumberFormat="1">
      <alignment horizontal="left" vertical="center" wrapText="1"/>
    </xf>
    <xf numFmtId="0" fontId="22" fillId="0" borderId="0" xfId="0" applyFont="1" applyNumberFormat="1">
      <alignment horizontal="center" vertical="center" wrapText="1"/>
    </xf>
    <xf numFmtId="0" fontId="48" fillId="0" borderId="0" xfId="0" applyFont="1" applyNumberFormat="1">
      <alignment horizontal="center" vertical="center" wrapText="1"/>
    </xf>
    <xf numFmtId="49" fontId="22" fillId="0" borderId="12" xfId="0" applyFont="1" applyBorder="1" applyNumberFormat="1">
      <alignment horizontal="left" vertical="center" wrapText="1"/>
    </xf>
    <xf numFmtId="0" fontId="22" fillId="0" borderId="0" xfId="0" applyFont="1" applyNumberFormat="1">
      <alignment horizontal="right" vertical="center" wrapText="1"/>
    </xf>
    <xf numFmtId="0" fontId="0" fillId="0" borderId="12" xfId="0" applyFont="1" applyBorder="1" applyNumberFormat="1">
      <alignment horizontal="center" vertical="center" wrapText="1"/>
    </xf>
    <xf numFmtId="0" fontId="80" fillId="35" borderId="19" xfId="0" applyFont="1" applyFill="1" applyBorder="1" applyNumberFormat="1">
      <alignment horizontal="center" vertical="center" wrapText="1"/>
    </xf>
    <xf numFmtId="504" fontId="0" fillId="39" borderId="12" xfId="0" applyFont="1" applyFill="1" applyBorder="1" applyNumberFormat="1">
      <alignment horizontal="center" vertical="center" wrapText="1"/>
      <protection locked="0"/>
    </xf>
    <xf numFmtId="504" fontId="0" fillId="39" borderId="17" xfId="0" applyFont="1" applyFill="1" applyBorder="1" applyNumberFormat="1">
      <alignment horizontal="center" vertical="center" wrapText="1"/>
      <protection locked="0"/>
    </xf>
    <xf numFmtId="49" fontId="0" fillId="0" borderId="0" xfId="0" applyFont="1" applyNumberFormat="1">
      <alignment vertical="top"/>
    </xf>
    <xf numFmtId="0" fontId="47" fillId="0" borderId="0" xfId="0" applyFont="1" applyNumberFormat="1">
      <alignment horizontal="left" vertical="center" indent="1"/>
    </xf>
    <xf numFmtId="0" fontId="47" fillId="0" borderId="14" xfId="0" applyFont="1" applyBorder="1" applyNumberFormat="1">
      <alignment horizontal="center" vertical="center"/>
    </xf>
    <xf numFmtId="0" fontId="47" fillId="0" borderId="14" xfId="0" applyFont="1" applyBorder="1" applyNumberFormat="1">
      <alignment horizontal="center" vertical="center" wrapText="1"/>
    </xf>
    <xf numFmtId="0" fontId="47" fillId="0" borderId="12" xfId="0" applyFont="1" applyBorder="1" applyNumberFormat="1">
      <alignment horizontal="center" vertical="center" wrapText="1"/>
    </xf>
    <xf numFmtId="0" fontId="47" fillId="0" borderId="0" xfId="0" applyFont="1" applyNumberFormat="1">
      <alignment horizontal="center" vertical="center"/>
    </xf>
    <xf numFmtId="0" fontId="47" fillId="0" borderId="0" xfId="0" applyFont="1" applyNumberFormat="1">
      <alignment vertical="center" wrapText="1"/>
    </xf>
    <xf numFmtId="49" fontId="47" fillId="0" borderId="0" xfId="0" applyFont="1" applyNumberFormat="1">
      <alignment vertical="center" wrapText="1"/>
    </xf>
    <xf numFmtId="0" fontId="48" fillId="0" borderId="0" xfId="0" applyFont="1" applyNumberFormat="1">
      <alignment horizontal="center" vertical="center" wrapText="1"/>
    </xf>
    <xf numFmtId="0" fontId="36" fillId="0" borderId="0" xfId="0" applyFont="1" applyNumberFormat="1">
      <alignment horizontal="center" vertical="center" wrapText="1"/>
    </xf>
    <xf numFmtId="0" fontId="48" fillId="0" borderId="24" xfId="0" applyFont="1" applyBorder="1" applyNumberFormat="1">
      <alignment vertical="center" wrapText="1"/>
    </xf>
    <xf numFmtId="0" fontId="22" fillId="35" borderId="12" xfId="0" applyFont="1" applyFill="1" applyBorder="1" applyNumberFormat="1">
      <alignment horizontal="left" vertical="center" wrapText="1"/>
    </xf>
    <xf numFmtId="0" fontId="22" fillId="35" borderId="12" xfId="0" applyFont="1" applyFill="1" applyBorder="1" applyNumberFormat="1">
      <alignment horizontal="left" vertical="center" wrapText="1" indent="5"/>
    </xf>
    <xf numFmtId="0" fontId="22" fillId="0" borderId="12" xfId="0" applyFont="1" applyBorder="1" applyNumberFormat="1">
      <alignment horizontal="left" vertical="center" wrapText="1" indent="6"/>
    </xf>
    <xf numFmtId="0" fontId="22" fillId="40" borderId="14" xfId="0" applyFont="1" applyFill="1" applyBorder="1" applyNumberFormat="1">
      <alignment horizontal="left" vertical="center" wrapText="1"/>
    </xf>
    <xf numFmtId="0" fontId="22" fillId="40" borderId="15" xfId="0" applyFont="1" applyFill="1" applyBorder="1" applyNumberFormat="1">
      <alignment horizontal="left" vertical="center" wrapText="1"/>
    </xf>
    <xf numFmtId="0" fontId="22" fillId="40" borderId="13" xfId="0" applyFont="1" applyFill="1" applyBorder="1" applyNumberFormat="1">
      <alignment horizontal="left" vertical="center" wrapText="1"/>
    </xf>
    <xf numFmtId="0" fontId="45" fillId="0" borderId="12" xfId="0" applyFont="1" applyBorder="1" applyNumberFormat="1">
      <alignment vertical="top" wrapText="1"/>
    </xf>
    <xf numFmtId="0" fontId="48" fillId="0" borderId="0" xfId="0" applyFont="1" applyNumberFormat="1">
      <alignment vertical="center" wrapText="1"/>
    </xf>
    <xf numFmtId="0" fontId="48" fillId="0" borderId="0" xfId="0" applyFont="1" applyNumberFormat="1">
      <alignment vertical="center"/>
    </xf>
    <xf numFmtId="0" fontId="22" fillId="0" borderId="0" xfId="0" applyFont="1" applyNumberFormat="1">
      <alignment vertical="center" wrapText="1"/>
    </xf>
    <xf numFmtId="49" fontId="0" fillId="0" borderId="0" xfId="0" applyFont="1" applyNumberFormat="1">
      <alignment vertical="top"/>
    </xf>
    <xf numFmtId="0" fontId="22" fillId="40" borderId="12" xfId="0" applyFont="1" applyFill="1" applyBorder="1" applyNumberFormat="1">
      <alignment horizontal="left" vertical="center" wrapText="1" indent="6"/>
    </xf>
    <xf numFmtId="4" fontId="22" fillId="36" borderId="12" xfId="0" applyFont="1" applyFill="1" applyBorder="1" applyNumberFormat="1">
      <alignment horizontal="right" vertical="center" wrapText="1"/>
      <protection locked="0"/>
    </xf>
    <xf numFmtId="4" fontId="22" fillId="0" borderId="12" xfId="0" applyFont="1" applyBorder="1" applyNumberFormat="1">
      <alignment horizontal="right" vertical="center" wrapText="1"/>
    </xf>
    <xf numFmtId="502" fontId="22" fillId="36" borderId="12" xfId="0" applyFont="1" applyFill="1" applyBorder="1" applyNumberFormat="1">
      <alignment horizontal="right" vertical="center" wrapText="1"/>
      <protection locked="0"/>
    </xf>
    <xf numFmtId="0" fontId="45" fillId="0" borderId="17" xfId="0" applyFont="1" applyBorder="1" applyNumberFormat="1">
      <alignment horizontal="left" vertical="top" wrapText="1"/>
    </xf>
    <xf numFmtId="49" fontId="0" fillId="0" borderId="0" xfId="0" applyFont="1" applyNumberFormat="1">
      <alignment vertical="top"/>
    </xf>
    <xf numFmtId="49" fontId="22" fillId="0" borderId="12" xfId="0" applyFont="1" applyBorder="1" applyNumberFormat="1">
      <alignment horizontal="left" vertical="center" wrapText="1"/>
    </xf>
    <xf numFmtId="4" fontId="48" fillId="0" borderId="12" xfId="0" applyFont="1" applyBorder="1" applyNumberFormat="1">
      <alignment horizontal="center" vertical="center" wrapText="1"/>
    </xf>
    <xf numFmtId="49" fontId="0" fillId="39" borderId="12" xfId="0" applyFont="1" applyFill="1" applyBorder="1" applyNumberFormat="1">
      <alignment horizontal="center" vertical="center" wrapText="1"/>
      <protection locked="0"/>
    </xf>
    <xf numFmtId="0" fontId="45" fillId="0" borderId="36" xfId="0" applyFont="1" applyBorder="1" applyNumberFormat="1">
      <alignment horizontal="left" vertical="top" wrapText="1"/>
    </xf>
    <xf numFmtId="49" fontId="0" fillId="0" borderId="0" xfId="0" applyFont="1" applyNumberFormat="1">
      <alignment vertical="top"/>
    </xf>
    <xf numFmtId="0" fontId="48" fillId="0" borderId="24" xfId="0" applyFont="1" applyBorder="1" applyNumberFormat="1">
      <alignment horizontal="center" vertical="center" wrapText="1"/>
    </xf>
    <xf numFmtId="49" fontId="73" fillId="37" borderId="14" xfId="0" applyFont="1" applyFill="1" applyBorder="1" applyNumberFormat="1">
      <alignment horizontal="left" vertical="center"/>
    </xf>
    <xf numFmtId="49" fontId="40" fillId="37" borderId="15" xfId="0" applyFont="1" applyFill="1" applyBorder="1" applyNumberFormat="1">
      <alignment horizontal="left" vertical="center" indent="6"/>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3" xfId="0" applyFont="1" applyFill="1" applyBorder="1" applyNumberFormat="1">
      <alignment horizontal="center" vertical="center" wrapText="1"/>
    </xf>
    <xf numFmtId="0" fontId="45" fillId="0" borderId="23" xfId="0" applyFont="1" applyBorder="1" applyNumberFormat="1">
      <alignment horizontal="left" vertical="top" wrapText="1"/>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73" fillId="37" borderId="14" xfId="0" applyFont="1" applyFill="1" applyBorder="1" applyNumberFormat="1">
      <alignment horizontal="left" vertical="center"/>
    </xf>
    <xf numFmtId="49" fontId="40" fillId="37" borderId="15" xfId="0" applyFont="1" applyFill="1" applyBorder="1" applyNumberFormat="1">
      <alignment horizontal="left" vertical="center" indent="6"/>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3" xfId="0" applyFont="1" applyFill="1" applyBorder="1" applyNumberFormat="1">
      <alignment horizontal="center" vertical="center" wrapText="1"/>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73" fillId="37" borderId="14" xfId="0" applyFont="1" applyFill="1" applyBorder="1" applyNumberFormat="1">
      <alignment horizontal="left" vertical="center"/>
    </xf>
    <xf numFmtId="49" fontId="40" fillId="37" borderId="15" xfId="0" applyFont="1" applyFill="1" applyBorder="1" applyNumberFormat="1">
      <alignment horizontal="left" vertical="center" indent="6"/>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3" xfId="0" applyFont="1" applyFill="1" applyBorder="1" applyNumberFormat="1">
      <alignment horizontal="center" vertical="center" wrapText="1"/>
    </xf>
    <xf numFmtId="0" fontId="22" fillId="0" borderId="12" xfId="0" applyFont="1" applyBorder="1" applyNumberFormat="1">
      <alignment horizontal="center" vertical="center"/>
    </xf>
    <xf numFmtId="0" fontId="22" fillId="0" borderId="0" xfId="0" applyFont="1" applyNumberFormat="1">
      <alignment horizontal="center" vertical="center"/>
    </xf>
    <xf numFmtId="0" fontId="22" fillId="35" borderId="12" xfId="0" applyFont="1" applyFill="1" applyBorder="1" applyNumberFormat="1">
      <alignment horizontal="left" vertical="center" wrapText="1"/>
    </xf>
    <xf numFmtId="0" fontId="22" fillId="0" borderId="12" xfId="0" applyFont="1" applyBorder="1" applyNumberFormat="1">
      <alignment vertical="center" wrapText="1"/>
    </xf>
    <xf numFmtId="0" fontId="22" fillId="0" borderId="14" xfId="0" applyFont="1" applyBorder="1" applyNumberFormat="1">
      <alignment horizontal="center" vertical="center"/>
    </xf>
    <xf numFmtId="0" fontId="22" fillId="0" borderId="0" xfId="0" applyFont="1" applyNumberFormat="1">
      <alignment horizontal="center" vertical="center" wrapText="1"/>
    </xf>
    <xf numFmtId="0" fontId="22" fillId="35" borderId="12" xfId="0" applyFont="1" applyFill="1" applyBorder="1" applyNumberFormat="1">
      <alignment horizontal="left" vertical="center" wrapText="1" indent="1"/>
    </xf>
    <xf numFmtId="0" fontId="22" fillId="0" borderId="0" xfId="0" applyFont="1" applyNumberFormat="1">
      <alignment vertical="center" wrapText="1"/>
    </xf>
    <xf numFmtId="0" fontId="48" fillId="0" borderId="0" xfId="0" applyFont="1" applyNumberFormat="1">
      <alignment horizontal="center" vertical="center" wrapText="1"/>
    </xf>
    <xf numFmtId="0" fontId="48" fillId="0" borderId="0" xfId="0" applyFont="1" applyNumberFormat="1">
      <alignment vertical="center" wrapText="1"/>
    </xf>
    <xf numFmtId="49" fontId="22" fillId="0" borderId="12" xfId="0" applyFont="1" applyBorder="1" applyNumberFormat="1">
      <alignment horizontal="left" vertical="center" wrapText="1"/>
    </xf>
    <xf numFmtId="0" fontId="72" fillId="0" borderId="0" xfId="0" applyFont="1" applyNumberFormat="1">
      <alignment horizontal="left" vertical="center" indent="1"/>
    </xf>
    <xf numFmtId="0" fontId="72" fillId="0" borderId="0" xfId="0" applyFont="1" applyNumberFormat="1">
      <alignment horizontal="center" vertical="center"/>
    </xf>
    <xf numFmtId="0" fontId="72" fillId="0" borderId="0" xfId="0" applyFont="1" applyNumberFormat="1">
      <alignment horizontal="left" vertical="center" wrapText="1"/>
    </xf>
    <xf numFmtId="0" fontId="72" fillId="0" borderId="0" xfId="0" applyFont="1" applyNumberFormat="1">
      <alignment vertical="center" wrapText="1"/>
    </xf>
    <xf numFmtId="0" fontId="48" fillId="0" borderId="0" xfId="0" applyFont="1" applyNumberFormat="1">
      <alignment vertical="center"/>
    </xf>
    <xf numFmtId="0" fontId="48" fillId="0" borderId="0" xfId="0" applyFont="1" applyNumberFormat="1">
      <alignment vertical="center" wrapText="1"/>
    </xf>
    <xf numFmtId="49" fontId="72" fillId="0" borderId="0" xfId="0" applyFont="1" applyNumberFormat="1">
      <alignment horizontal="left" vertical="center"/>
    </xf>
    <xf numFmtId="0" fontId="22" fillId="0" borderId="0" xfId="0" applyFont="1" applyNumberFormat="1">
      <alignment horizontal="center" vertical="center" wrapText="1"/>
    </xf>
    <xf numFmtId="49" fontId="22" fillId="0" borderId="0" xfId="0" applyFont="1" applyNumberFormat="1">
      <alignment vertical="center" wrapText="1"/>
    </xf>
    <xf numFmtId="49" fontId="22" fillId="0" borderId="12" xfId="0" applyFont="1" applyBorder="1" applyNumberFormat="1">
      <alignment vertical="center" wrapText="1"/>
    </xf>
    <xf numFmtId="0" fontId="22" fillId="0" borderId="0" xfId="0" applyFont="1" applyNumberFormat="1">
      <alignment vertical="center"/>
    </xf>
    <xf numFmtId="0" fontId="22" fillId="0" borderId="0" xfId="0" applyFont="1" applyNumberFormat="1">
      <alignment horizontal="center" vertical="center"/>
    </xf>
    <xf numFmtId="0" fontId="22" fillId="0" borderId="0" xfId="0" applyFont="1" applyNumberFormat="1">
      <alignment horizontal="right" vertical="center" wrapText="1"/>
    </xf>
    <xf numFmtId="0" fontId="22" fillId="0" borderId="17" xfId="0" applyFont="1" applyBorder="1" applyNumberFormat="1">
      <alignment vertical="center" wrapText="1"/>
    </xf>
    <xf numFmtId="0" fontId="0" fillId="0" borderId="12" xfId="0" applyFont="1" applyBorder="1" applyNumberFormat="1">
      <alignment horizontal="center" vertical="center" wrapText="1"/>
    </xf>
    <xf numFmtId="0" fontId="80" fillId="35" borderId="19" xfId="0" applyFont="1" applyFill="1" applyBorder="1" applyNumberFormat="1">
      <alignment horizontal="center" vertical="center" wrapText="1"/>
    </xf>
    <xf numFmtId="0" fontId="72" fillId="0" borderId="0" xfId="0" applyFont="1" applyNumberFormat="1">
      <alignment vertical="center" wrapText="1"/>
    </xf>
    <xf numFmtId="0" fontId="72" fillId="0" borderId="0" xfId="0" applyFont="1" applyNumberFormat="1">
      <alignment horizontal="left" vertical="center" indent="1"/>
    </xf>
    <xf numFmtId="0" fontId="72" fillId="0" borderId="0" xfId="0" applyFont="1" applyNumberFormat="1">
      <alignment horizontal="center" vertical="center"/>
    </xf>
    <xf numFmtId="0" fontId="22" fillId="0" borderId="0" xfId="0" applyFont="1" applyNumberFormat="1">
      <alignment horizontal="left" vertical="center" indent="1"/>
    </xf>
    <xf numFmtId="49" fontId="22" fillId="0" borderId="0" xfId="0" applyFont="1" applyNumberFormat="1">
      <alignment horizontal="left" vertical="center"/>
    </xf>
    <xf numFmtId="502" fontId="22" fillId="0" borderId="12" xfId="0" applyFont="1" applyBorder="1" applyNumberFormat="1">
      <alignment horizontal="right" vertical="center" wrapText="1"/>
    </xf>
    <xf numFmtId="0" fontId="0" fillId="35" borderId="19" xfId="0" applyFont="1" applyFill="1" applyBorder="1" applyNumberFormat="1">
      <alignment horizontal="center" vertical="center" wrapText="1"/>
    </xf>
    <xf numFmtId="0" fontId="48" fillId="0" borderId="17" xfId="0" applyFont="1" applyBorder="1" applyNumberFormat="1">
      <alignment horizontal="center" vertical="center" wrapText="1"/>
    </xf>
    <xf numFmtId="0" fontId="22" fillId="0" borderId="37" xfId="0" applyFont="1" applyBorder="1" applyNumberFormat="1">
      <alignment horizontal="center" vertical="center" wrapText="1"/>
    </xf>
    <xf numFmtId="0" fontId="48" fillId="0" borderId="12" xfId="0" applyFont="1" applyBorder="1" applyNumberFormat="1">
      <alignment vertical="center" wrapText="1"/>
    </xf>
    <xf numFmtId="0" fontId="48" fillId="0" borderId="23" xfId="0" applyFont="1" applyBorder="1" applyNumberFormat="1">
      <alignment horizontal="center" vertical="center" wrapText="1"/>
    </xf>
    <xf numFmtId="0" fontId="22" fillId="0" borderId="30" xfId="0" applyFont="1" applyBorder="1" applyNumberFormat="1">
      <alignment horizontal="center" vertical="center" wrapText="1"/>
    </xf>
    <xf numFmtId="0" fontId="48" fillId="0" borderId="12" xfId="0" applyFont="1" applyBorder="1" applyNumberFormat="1">
      <alignment horizontal="center" vertical="center" wrapText="1"/>
    </xf>
    <xf numFmtId="0" fontId="0" fillId="0" borderId="13" xfId="0" applyFont="1" applyBorder="1" applyNumberFormat="1">
      <alignment horizontal="center" vertical="center" wrapText="1"/>
    </xf>
    <xf numFmtId="0" fontId="22" fillId="0" borderId="0" xfId="0" applyFont="1" applyNumberFormat="1">
      <alignment vertical="center"/>
    </xf>
    <xf numFmtId="0" fontId="80" fillId="35" borderId="0" xfId="0" applyFont="1" applyFill="1" applyNumberFormat="1">
      <alignment horizontal="center" vertical="center" wrapText="1"/>
    </xf>
    <xf numFmtId="0" fontId="48" fillId="0" borderId="12" xfId="0" applyFont="1" applyBorder="1" applyNumberFormat="1">
      <alignment horizontal="left" vertical="center" wrapText="1"/>
    </xf>
    <xf numFmtId="0" fontId="48" fillId="0" borderId="12" xfId="0" applyFont="1" applyBorder="1" applyNumberFormat="1">
      <alignment horizontal="left" vertical="center" wrapText="1" indent="4"/>
    </xf>
    <xf numFmtId="0" fontId="48" fillId="0" borderId="12" xfId="0" applyFont="1" applyBorder="1" applyNumberFormat="1">
      <alignment horizontal="left" vertical="center" wrapText="1" indent="6"/>
    </xf>
    <xf numFmtId="0" fontId="48" fillId="0" borderId="14" xfId="0" applyFont="1" applyBorder="1" applyNumberFormat="1">
      <alignment horizontal="left" vertical="center" wrapText="1"/>
    </xf>
    <xf numFmtId="0" fontId="48" fillId="0" borderId="15" xfId="0" applyFont="1" applyBorder="1" applyNumberFormat="1">
      <alignment horizontal="left" vertical="center" wrapText="1"/>
    </xf>
    <xf numFmtId="0" fontId="48" fillId="0" borderId="13" xfId="0" applyFont="1" applyBorder="1" applyNumberFormat="1">
      <alignment horizontal="left" vertical="center" wrapText="1"/>
    </xf>
    <xf numFmtId="0" fontId="48" fillId="0" borderId="12" xfId="0" applyFont="1" applyBorder="1" applyNumberFormat="1">
      <alignment vertical="top" wrapText="1"/>
    </xf>
    <xf numFmtId="49" fontId="97" fillId="0" borderId="14" xfId="0" applyFont="1" applyBorder="1" applyNumberFormat="1">
      <alignment horizontal="left" vertical="center"/>
    </xf>
    <xf numFmtId="49" fontId="48" fillId="0" borderId="15" xfId="0" applyFont="1" applyBorder="1" applyNumberFormat="1">
      <alignment horizontal="left" vertical="center" indent="4"/>
    </xf>
    <xf numFmtId="49" fontId="48" fillId="0" borderId="15" xfId="0" applyFont="1" applyBorder="1" applyNumberFormat="1">
      <alignment horizontal="center" vertical="center" wrapText="1"/>
    </xf>
    <xf numFmtId="49" fontId="48" fillId="0" borderId="13" xfId="0" applyFont="1" applyBorder="1" applyNumberFormat="1">
      <alignment horizontal="center" vertical="center" wrapText="1"/>
    </xf>
    <xf numFmtId="49" fontId="48" fillId="0" borderId="0" xfId="0" applyFont="1" applyNumberFormat="1">
      <alignment vertical="center" wrapText="1"/>
    </xf>
    <xf numFmtId="0" fontId="0" fillId="0" borderId="0" xfId="0" applyFont="1" applyNumberFormat="1">
      <alignment horizontal="left" vertical="top" wrapText="1"/>
    </xf>
    <xf numFmtId="0" fontId="47" fillId="0" borderId="0" xfId="0" applyFont="1" applyNumberFormat="1">
      <alignment vertical="top" wrapText="1"/>
    </xf>
    <xf numFmtId="0" fontId="22" fillId="35" borderId="17" xfId="0" applyFont="1" applyFill="1" applyBorder="1" applyNumberFormat="1">
      <alignment horizontal="left" vertical="center" wrapText="1"/>
    </xf>
    <xf numFmtId="0" fontId="22" fillId="35" borderId="17" xfId="0" applyFont="1" applyFill="1" applyBorder="1" applyNumberFormat="1">
      <alignment horizontal="left" vertical="center" wrapText="1" indent="2"/>
    </xf>
    <xf numFmtId="0" fontId="22" fillId="0" borderId="17" xfId="0" applyFont="1" applyBorder="1" applyNumberFormat="1">
      <alignment horizontal="left" vertical="center" wrapText="1" indent="6"/>
    </xf>
    <xf numFmtId="0" fontId="22" fillId="34" borderId="37" xfId="0" applyFont="1" applyFill="1" applyBorder="1" applyNumberFormat="1">
      <alignment horizontal="left" vertical="center" wrapText="1"/>
    </xf>
    <xf numFmtId="0" fontId="22" fillId="34" borderId="19" xfId="0" applyFont="1" applyFill="1" applyBorder="1" applyNumberFormat="1">
      <alignment horizontal="left" vertical="center" wrapText="1"/>
    </xf>
    <xf numFmtId="0" fontId="22" fillId="34" borderId="20" xfId="0" applyFont="1" applyFill="1" applyBorder="1" applyNumberFormat="1">
      <alignment horizontal="left" vertical="center" wrapText="1"/>
    </xf>
    <xf numFmtId="0" fontId="22" fillId="35" borderId="12" xfId="0" applyFont="1" applyFill="1" applyBorder="1" applyNumberFormat="1">
      <alignment horizontal="left" vertical="center" wrapText="1"/>
    </xf>
    <xf numFmtId="0" fontId="22" fillId="34" borderId="12" xfId="0" applyFont="1" applyFill="1" applyBorder="1" applyNumberFormat="1">
      <alignment horizontal="left" vertical="center" wrapText="1"/>
    </xf>
    <xf numFmtId="0" fontId="45" fillId="0" borderId="13" xfId="0" applyFont="1" applyBorder="1" applyNumberFormat="1">
      <alignment vertical="top" wrapText="1"/>
    </xf>
    <xf numFmtId="0" fontId="48" fillId="0" borderId="0" xfId="0" applyFont="1" applyNumberFormat="1">
      <alignment horizontal="center" vertical="center" wrapText="1"/>
    </xf>
    <xf numFmtId="0" fontId="48" fillId="0" borderId="12" xfId="0" applyFont="1" applyBorder="1" applyNumberFormat="1">
      <alignment horizontal="left" vertical="center" wrapText="1"/>
    </xf>
    <xf numFmtId="0" fontId="48" fillId="0" borderId="13" xfId="0" applyFont="1" applyBorder="1" applyNumberFormat="1">
      <alignment vertical="top" wrapText="1"/>
    </xf>
    <xf numFmtId="0" fontId="22" fillId="40" borderId="12" xfId="0" applyFont="1" applyFill="1" applyBorder="1" applyNumberFormat="1">
      <alignment horizontal="left" vertical="center" wrapText="1"/>
    </xf>
    <xf numFmtId="0" fontId="22" fillId="35" borderId="23" xfId="0" applyFont="1" applyFill="1" applyBorder="1" applyNumberFormat="1">
      <alignment horizontal="left" vertical="center" wrapText="1"/>
    </xf>
    <xf numFmtId="0" fontId="22" fillId="40" borderId="23" xfId="0" applyFont="1" applyFill="1" applyBorder="1" applyNumberFormat="1">
      <alignment horizontal="left" vertical="center" wrapText="1" indent="6"/>
    </xf>
    <xf numFmtId="0" fontId="22" fillId="0" borderId="23" xfId="0" applyFont="1" applyBorder="1" applyNumberFormat="1">
      <alignment horizontal="left" vertical="center" wrapText="1" indent="6"/>
    </xf>
    <xf numFmtId="4" fontId="22" fillId="36" borderId="23" xfId="0" applyFont="1" applyFill="1" applyBorder="1" applyNumberFormat="1">
      <alignment horizontal="right" vertical="center" wrapText="1"/>
      <protection locked="0"/>
    </xf>
    <xf numFmtId="502" fontId="22" fillId="36" borderId="23" xfId="0" applyFont="1" applyFill="1" applyBorder="1" applyNumberFormat="1">
      <alignment horizontal="right" vertical="center" wrapText="1"/>
      <protection locked="0"/>
    </xf>
    <xf numFmtId="504" fontId="0" fillId="39" borderId="23" xfId="0" applyFont="1" applyFill="1" applyBorder="1" applyNumberFormat="1">
      <alignment horizontal="center" vertical="center" wrapText="1"/>
      <protection locked="0"/>
    </xf>
    <xf numFmtId="0" fontId="22" fillId="0" borderId="19" xfId="0" applyFont="1" applyBorder="1" applyNumberFormat="1">
      <alignment horizontal="left" vertical="center" wrapText="1" indent="1"/>
    </xf>
    <xf numFmtId="0" fontId="22" fillId="0" borderId="0" xfId="0" applyFont="1" applyNumberFormat="1">
      <alignment horizontal="left" vertical="center" wrapText="1"/>
    </xf>
    <xf numFmtId="0" fontId="22" fillId="40" borderId="20" xfId="0" applyFont="1" applyFill="1" applyBorder="1" applyNumberFormat="1">
      <alignment horizontal="left" vertical="center" wrapText="1"/>
    </xf>
    <xf numFmtId="0" fontId="22" fillId="0" borderId="0" xfId="0" applyFont="1" applyNumberFormat="1">
      <alignment horizontal="center" vertical="center" wrapText="1"/>
    </xf>
    <xf numFmtId="502" fontId="22" fillId="36" borderId="14" xfId="0" applyFont="1" applyFill="1" applyBorder="1" applyNumberFormat="1">
      <alignment horizontal="right" vertical="center" wrapText="1"/>
      <protection locked="0"/>
    </xf>
    <xf numFmtId="4" fontId="22" fillId="36" borderId="13" xfId="0" applyFont="1" applyFill="1" applyBorder="1" applyNumberFormat="1">
      <alignment horizontal="right" vertical="center" wrapText="1"/>
      <protection locked="0"/>
    </xf>
    <xf numFmtId="0" fontId="45" fillId="0" borderId="17" xfId="0" applyFont="1" applyBorder="1" applyNumberFormat="1">
      <alignment vertical="top" wrapText="1"/>
    </xf>
    <xf numFmtId="0" fontId="22" fillId="36" borderId="12" xfId="0" applyFont="1" applyFill="1" applyBorder="1" applyNumberFormat="1">
      <alignment horizontal="left" vertical="center" wrapText="1" indent="7"/>
      <protection locked="0"/>
    </xf>
    <xf numFmtId="49" fontId="0" fillId="39" borderId="12" xfId="0" applyFont="1" applyFill="1" applyBorder="1" applyNumberFormat="1">
      <alignment horizontal="center" vertical="center" wrapText="1"/>
      <protection locked="0"/>
    </xf>
    <xf numFmtId="4" fontId="48" fillId="0" borderId="14" xfId="0" applyFont="1" applyBorder="1" applyNumberFormat="1">
      <alignment horizontal="center" vertical="center" wrapText="1"/>
    </xf>
    <xf numFmtId="4" fontId="22" fillId="0" borderId="13" xfId="0" applyFont="1" applyBorder="1" applyNumberFormat="1">
      <alignment horizontal="right" vertical="center" wrapText="1"/>
    </xf>
    <xf numFmtId="0" fontId="22" fillId="37" borderId="15" xfId="0" applyFont="1" applyFill="1" applyBorder="1" applyNumberFormat="1">
      <alignment horizontal="left" vertical="center" wrapText="1" indent="6"/>
    </xf>
    <xf numFmtId="4" fontId="22" fillId="37" borderId="15" xfId="0" applyFont="1" applyFill="1" applyBorder="1" applyNumberFormat="1">
      <alignment horizontal="right" vertical="center" wrapText="1"/>
    </xf>
    <xf numFmtId="4" fontId="48"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9" fontId="22" fillId="37" borderId="27" xfId="0" applyFont="1" applyFill="1" applyBorder="1" applyNumberFormat="1">
      <alignment horizontal="center" vertical="center" wrapText="1"/>
    </xf>
    <xf numFmtId="0" fontId="22" fillId="0" borderId="0" xfId="0" applyFont="1" applyNumberFormat="1">
      <alignment horizontal="center" vertical="center" wrapText="1"/>
    </xf>
    <xf numFmtId="0" fontId="22" fillId="0" borderId="12" xfId="0" applyFont="1" applyBorder="1" applyNumberFormat="1">
      <alignment horizontal="center" vertical="center" wrapText="1"/>
    </xf>
    <xf numFmtId="0" fontId="22" fillId="0" borderId="19" xfId="0" applyFont="1" applyBorder="1" applyNumberFormat="1">
      <alignment horizontal="center" vertical="center" wrapText="1"/>
    </xf>
    <xf numFmtId="0" fontId="22" fillId="0" borderId="20" xfId="0" applyFont="1" applyBorder="1" applyNumberFormat="1">
      <alignment horizontal="center" vertical="center" wrapText="1"/>
    </xf>
    <xf numFmtId="0" fontId="22" fillId="0" borderId="22"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15" xfId="0" applyFont="1" applyBorder="1" applyNumberFormat="1">
      <alignment horizontal="center" vertical="center" wrapText="1"/>
    </xf>
    <xf numFmtId="0" fontId="22" fillId="0" borderId="27" xfId="0" applyFont="1" applyBorder="1" applyNumberFormat="1">
      <alignment horizontal="center" vertical="center" wrapText="1"/>
    </xf>
    <xf numFmtId="0" fontId="22" fillId="0" borderId="29" xfId="0" applyFont="1" applyBorder="1" applyNumberFormat="1">
      <alignment horizontal="center" vertical="center" wrapText="1"/>
    </xf>
    <xf numFmtId="0" fontId="0" fillId="0" borderId="36" xfId="0" applyFont="1" applyBorder="1" applyNumberFormat="1">
      <alignment horizontal="center" vertical="center" wrapText="1"/>
    </xf>
    <xf numFmtId="0" fontId="0" fillId="0" borderId="37" xfId="0" applyFont="1" applyBorder="1" applyNumberFormat="1">
      <alignment horizontal="center" vertical="center" wrapText="1"/>
    </xf>
    <xf numFmtId="0" fontId="0" fillId="0" borderId="20"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30" xfId="0" applyFont="1" applyBorder="1" applyNumberFormat="1">
      <alignment horizontal="center" vertical="center" wrapText="1"/>
    </xf>
    <xf numFmtId="0" fontId="0" fillId="0" borderId="29" xfId="0" applyFont="1" applyBorder="1" applyNumberFormat="1">
      <alignment horizontal="center" vertical="center" wrapText="1"/>
    </xf>
    <xf numFmtId="0" fontId="22" fillId="0" borderId="12" xfId="0" applyFont="1" applyBorder="1" applyNumberFormat="1">
      <alignment horizontal="center" vertical="center"/>
    </xf>
    <xf numFmtId="0" fontId="22" fillId="0" borderId="14" xfId="0" applyFont="1" applyBorder="1" applyNumberFormat="1">
      <alignment horizontal="center" vertical="center"/>
    </xf>
    <xf numFmtId="49" fontId="47" fillId="0" borderId="0" xfId="0" applyFont="1" applyNumberFormat="1">
      <alignment vertical="center" wrapText="1"/>
    </xf>
    <xf numFmtId="0" fontId="47" fillId="0" borderId="0" xfId="0" applyFont="1" applyNumberFormat="1">
      <alignment horizontal="center" vertical="center" wrapText="1"/>
    </xf>
    <xf numFmtId="0" fontId="56" fillId="35" borderId="0" xfId="0" applyFont="1" applyFill="1" applyNumberFormat="1">
      <alignment horizontal="center" vertical="center" wrapText="1"/>
    </xf>
    <xf numFmtId="0" fontId="56" fillId="0" borderId="0" xfId="0" applyFont="1" applyNumberFormat="1">
      <alignment vertical="center" wrapText="1"/>
    </xf>
    <xf numFmtId="0" fontId="48" fillId="0" borderId="12" xfId="0" applyFont="1" applyBorder="1" applyNumberFormat="1">
      <alignment horizontal="left" vertical="center" wrapText="1" indent="5"/>
    </xf>
    <xf numFmtId="0" fontId="48" fillId="0" borderId="24" xfId="0" applyFont="1" applyBorder="1" applyNumberFormat="1">
      <alignment horizontal="center" vertical="top" wrapText="1"/>
    </xf>
    <xf numFmtId="0" fontId="22" fillId="35" borderId="17" xfId="0" applyFont="1" applyFill="1" applyBorder="1" applyNumberFormat="1">
      <alignment horizontal="left" vertical="center" wrapText="1"/>
    </xf>
    <xf numFmtId="49" fontId="22" fillId="39" borderId="17" xfId="0" applyFont="1" applyFill="1" applyBorder="1" applyNumberFormat="1">
      <alignment horizontal="left" vertical="center" wrapText="1" indent="6"/>
      <protection locked="0"/>
    </xf>
    <xf numFmtId="0" fontId="37" fillId="0" borderId="12" xfId="0" applyFont="1" applyBorder="1" applyNumberFormat="1">
      <alignment horizontal="center" vertical="center" wrapText="1"/>
    </xf>
    <xf numFmtId="49" fontId="22" fillId="40" borderId="12" xfId="0" applyFont="1" applyFill="1" applyBorder="1" applyNumberFormat="1">
      <alignment horizontal="left" vertical="center" wrapText="1" indent="1"/>
    </xf>
    <xf numFmtId="0" fontId="22" fillId="0" borderId="12" xfId="0" applyFont="1" applyBorder="1" applyNumberFormat="1">
      <alignment horizontal="left" vertical="center" wrapText="1" indent="4"/>
    </xf>
    <xf numFmtId="49" fontId="22" fillId="35" borderId="12" xfId="0" applyFont="1" applyFill="1" applyBorder="1" applyNumberFormat="1">
      <alignment horizontal="center" vertical="center" wrapText="1"/>
    </xf>
    <xf numFmtId="0" fontId="22" fillId="40" borderId="12" xfId="0" applyFont="1" applyFill="1" applyBorder="1" applyNumberFormat="1">
      <alignment horizontal="left" vertical="center" wrapText="1" indent="1"/>
    </xf>
    <xf numFmtId="504" fontId="0" fillId="39" borderId="12" xfId="0" applyFont="1" applyFill="1" applyBorder="1" applyNumberFormat="1">
      <alignment horizontal="center" vertical="center" wrapText="1"/>
      <protection locked="0"/>
    </xf>
    <xf numFmtId="49" fontId="22" fillId="40" borderId="12" xfId="0" applyFont="1" applyFill="1" applyBorder="1" applyNumberFormat="1">
      <alignment horizontal="center" vertical="center" wrapText="1"/>
    </xf>
    <xf numFmtId="0" fontId="22" fillId="35" borderId="36" xfId="0" applyFont="1" applyFill="1" applyBorder="1" applyNumberFormat="1">
      <alignment horizontal="left" vertical="center" wrapText="1"/>
    </xf>
    <xf numFmtId="49" fontId="22" fillId="39" borderId="36" xfId="0" applyFont="1" applyFill="1" applyBorder="1" applyNumberFormat="1">
      <alignment horizontal="left" vertical="center" wrapText="1" indent="6"/>
      <protection locked="0"/>
    </xf>
    <xf numFmtId="502" fontId="22" fillId="37" borderId="13" xfId="0" applyFont="1" applyFill="1" applyBorder="1" applyNumberFormat="1">
      <alignment horizontal="right" vertical="center" wrapText="1"/>
    </xf>
    <xf numFmtId="49" fontId="40" fillId="37" borderId="14" xfId="0" applyFont="1" applyFill="1" applyBorder="1" applyNumberFormat="1">
      <alignment horizontal="left" vertical="center"/>
    </xf>
    <xf numFmtId="502" fontId="22" fillId="37" borderId="15" xfId="0" applyFont="1" applyFill="1" applyBorder="1" applyNumberFormat="1">
      <alignment horizontal="right" vertical="center" wrapText="1"/>
    </xf>
    <xf numFmtId="4" fontId="22" fillId="0" borderId="36" xfId="0" applyFont="1" applyBorder="1" applyNumberFormat="1">
      <alignment horizontal="right" vertical="center" wrapText="1"/>
    </xf>
    <xf numFmtId="49" fontId="40" fillId="37" borderId="14" xfId="0" applyFont="1" applyFill="1" applyBorder="1" applyNumberFormat="1">
      <alignment horizontal="left" vertical="center" indent="1"/>
    </xf>
    <xf numFmtId="0" fontId="22" fillId="35" borderId="23" xfId="0" applyFont="1" applyFill="1" applyBorder="1" applyNumberFormat="1">
      <alignment horizontal="left" vertical="center" wrapText="1"/>
    </xf>
    <xf numFmtId="49" fontId="22" fillId="39" borderId="23" xfId="0" applyFont="1" applyFill="1" applyBorder="1" applyNumberFormat="1">
      <alignment horizontal="left" vertical="center" wrapText="1" indent="6"/>
      <protection locked="0"/>
    </xf>
    <xf numFmtId="4" fontId="48" fillId="37" borderId="13" xfId="0" applyFont="1" applyFill="1" applyBorder="1" applyNumberFormat="1">
      <alignment horizontal="center" vertical="center" wrapText="1"/>
    </xf>
    <xf numFmtId="49" fontId="40" fillId="37" borderId="14" xfId="0" applyFont="1" applyFill="1" applyBorder="1" applyNumberFormat="1">
      <alignment vertical="center" wrapText="1"/>
    </xf>
    <xf numFmtId="49" fontId="40" fillId="37" borderId="15" xfId="0" applyFont="1" applyFill="1" applyBorder="1" applyNumberFormat="1">
      <alignment vertical="center" wrapText="1"/>
    </xf>
    <xf numFmtId="49" fontId="48" fillId="0" borderId="24" xfId="0" applyFont="1" applyBorder="1" applyNumberFormat="1">
      <alignment vertical="top"/>
    </xf>
    <xf numFmtId="0" fontId="111" fillId="0" borderId="0" xfId="0" applyFont="1" applyNumberFormat="1">
      <alignment horizontal="center" vertical="center" wrapText="1"/>
    </xf>
    <xf numFmtId="49" fontId="48" fillId="0" borderId="0" xfId="0" applyFont="1" applyNumberFormat="1">
      <alignment horizontal="center" vertical="center" wrapText="1"/>
    </xf>
    <xf numFmtId="49" fontId="48" fillId="0" borderId="0" xfId="0" applyFont="1" applyNumberFormat="1">
      <alignment horizontal="left" vertical="center" wrapText="1" indent="1"/>
    </xf>
    <xf numFmtId="0" fontId="48" fillId="0" borderId="0" xfId="0" applyFont="1" applyNumberFormat="1">
      <alignment horizontal="left" vertical="center" wrapText="1" indent="4"/>
    </xf>
    <xf numFmtId="0" fontId="48" fillId="0" borderId="24" xfId="0" applyFont="1" applyBorder="1" applyNumberFormat="1">
      <alignment horizontal="left" vertical="center" wrapText="1" indent="1"/>
    </xf>
    <xf numFmtId="4" fontId="48" fillId="0" borderId="12" xfId="0" applyFont="1" applyBorder="1" applyNumberFormat="1">
      <alignment horizontal="right" vertical="center" wrapText="1"/>
    </xf>
    <xf numFmtId="502" fontId="48" fillId="0" borderId="12" xfId="0" applyFont="1" applyBorder="1" applyNumberFormat="1">
      <alignment horizontal="right" vertical="center" wrapText="1"/>
    </xf>
    <xf numFmtId="504" fontId="48" fillId="0" borderId="12" xfId="0" applyFont="1" applyBorder="1" applyNumberFormat="1">
      <alignment horizontal="center" vertical="center" wrapText="1"/>
    </xf>
    <xf numFmtId="49" fontId="48" fillId="0" borderId="12" xfId="0" applyFont="1" applyBorder="1" applyNumberFormat="1">
      <alignment horizontal="center" vertical="center" wrapText="1"/>
    </xf>
    <xf numFmtId="0" fontId="47" fillId="0" borderId="0" xfId="0" applyFont="1" applyNumberFormat="1">
      <alignment horizontal="left" vertical="center"/>
    </xf>
    <xf numFmtId="49" fontId="47" fillId="0" borderId="0" xfId="0" applyFont="1" applyNumberFormat="1">
      <alignment horizontal="left" vertical="center"/>
    </xf>
    <xf numFmtId="0" fontId="47" fillId="0" borderId="0" xfId="0" applyFont="1" applyNumberFormat="1">
      <alignment horizontal="left" vertical="center"/>
    </xf>
    <xf numFmtId="0" fontId="69" fillId="0" borderId="0" xfId="0" applyFont="1" applyNumberFormat="1">
      <alignment horizontal="left" vertical="center"/>
    </xf>
    <xf numFmtId="0" fontId="47" fillId="0" borderId="0" xfId="0" applyFont="1" applyNumberFormat="1">
      <alignment horizontal="left" vertical="center"/>
    </xf>
    <xf numFmtId="0" fontId="48" fillId="0" borderId="0" xfId="0" applyFont="1" applyNumberFormat="1">
      <alignment horizontal="left" vertical="center"/>
    </xf>
    <xf numFmtId="0" fontId="69" fillId="35" borderId="0" xfId="0" applyFont="1" applyFill="1" applyNumberFormat="1">
      <alignment vertical="center" wrapText="1"/>
    </xf>
    <xf numFmtId="0" fontId="22" fillId="35" borderId="37" xfId="0" applyFont="1" applyFill="1" applyBorder="1" applyNumberFormat="1">
      <alignment horizontal="center" vertical="center" wrapText="1"/>
    </xf>
    <xf numFmtId="0" fontId="0" fillId="35" borderId="37" xfId="0" applyFont="1" applyFill="1" applyBorder="1" applyNumberFormat="1">
      <alignment horizontal="center" vertical="center" wrapText="1"/>
    </xf>
    <xf numFmtId="0" fontId="0" fillId="35" borderId="20" xfId="0" applyFont="1" applyFill="1" applyBorder="1" applyNumberFormat="1">
      <alignment horizontal="center" vertical="center" wrapText="1"/>
    </xf>
    <xf numFmtId="0" fontId="22" fillId="0" borderId="19" xfId="0" applyFont="1" applyBorder="1" applyNumberFormat="1">
      <alignment horizontal="center" vertical="center" wrapText="1"/>
    </xf>
    <xf numFmtId="0" fontId="22" fillId="35" borderId="22" xfId="0" applyFont="1" applyFill="1" applyBorder="1" applyNumberFormat="1">
      <alignment horizontal="center" vertical="center" wrapText="1"/>
    </xf>
    <xf numFmtId="0" fontId="0" fillId="35" borderId="22" xfId="0" applyFont="1" applyFill="1" applyBorder="1" applyNumberFormat="1">
      <alignment horizontal="center" vertical="center" wrapText="1"/>
    </xf>
    <xf numFmtId="0" fontId="0" fillId="35" borderId="0" xfId="0" applyFont="1" applyFill="1" applyNumberFormat="1">
      <alignment horizontal="center" vertical="center" wrapText="1"/>
    </xf>
    <xf numFmtId="0" fontId="0" fillId="35" borderId="24" xfId="0" applyFont="1" applyFill="1" applyBorder="1" applyNumberFormat="1">
      <alignment horizontal="center" vertical="center" wrapText="1"/>
    </xf>
    <xf numFmtId="0" fontId="22" fillId="34" borderId="12" xfId="0" applyFont="1" applyFill="1" applyBorder="1" applyNumberFormat="1">
      <alignment horizontal="center" vertical="center" wrapText="1"/>
    </xf>
    <xf numFmtId="0" fontId="22" fillId="0" borderId="27" xfId="0" applyFont="1" applyBorder="1" applyNumberFormat="1">
      <alignment horizontal="center" vertical="center" wrapText="1"/>
    </xf>
    <xf numFmtId="0" fontId="22" fillId="39" borderId="12" xfId="0" applyFont="1" applyFill="1" applyBorder="1" applyNumberFormat="1">
      <alignment horizontal="center" vertical="center" wrapText="1"/>
      <protection locked="0"/>
    </xf>
    <xf numFmtId="0" fontId="22" fillId="35" borderId="12" xfId="0" applyFont="1" applyFill="1" applyBorder="1" applyNumberFormat="1">
      <alignment horizontal="center" vertical="center" wrapText="1"/>
    </xf>
    <xf numFmtId="0" fontId="22" fillId="35" borderId="30" xfId="0" applyFont="1" applyFill="1" applyBorder="1" applyNumberFormat="1">
      <alignment horizontal="center" vertical="center" wrapText="1"/>
    </xf>
    <xf numFmtId="0" fontId="0" fillId="35" borderId="30" xfId="0" applyFont="1" applyFill="1" applyBorder="1" applyNumberFormat="1">
      <alignment horizontal="center" vertical="center" wrapText="1"/>
    </xf>
    <xf numFmtId="0" fontId="0" fillId="35" borderId="27" xfId="0" applyFont="1" applyFill="1" applyBorder="1" applyNumberFormat="1">
      <alignment horizontal="center" vertical="center" wrapText="1"/>
    </xf>
    <xf numFmtId="0" fontId="0" fillId="35" borderId="29" xfId="0" applyFont="1" applyFill="1" applyBorder="1" applyNumberFormat="1">
      <alignment horizontal="center" vertical="center" wrapText="1"/>
    </xf>
    <xf numFmtId="0" fontId="22" fillId="35" borderId="23" xfId="0" applyFont="1" applyFill="1" applyBorder="1" applyNumberFormat="1">
      <alignment horizontal="center" vertical="center" wrapText="1"/>
    </xf>
    <xf numFmtId="49" fontId="22" fillId="0" borderId="12" xfId="0" applyFont="1" applyBorder="1" applyNumberFormat="1">
      <alignment horizontal="left" vertical="center" wrapText="1" indent="1"/>
    </xf>
    <xf numFmtId="0" fontId="22" fillId="0" borderId="12" xfId="0" applyFont="1" applyBorder="1" applyNumberFormat="1">
      <alignment horizontal="left" vertical="center" wrapText="1" indent="1"/>
    </xf>
    <xf numFmtId="49" fontId="22" fillId="37" borderId="14" xfId="0" applyFont="1" applyFill="1" applyBorder="1" applyNumberFormat="1">
      <alignment horizontal="center" vertical="center" wrapText="1"/>
    </xf>
    <xf numFmtId="49" fontId="72" fillId="0" borderId="24" xfId="0" applyFont="1" applyBorder="1" applyNumberFormat="1">
      <alignment vertical="top"/>
    </xf>
    <xf numFmtId="0" fontId="22" fillId="0" borderId="0" xfId="0" applyFont="1" applyNumberFormat="1">
      <alignment horizontal="left" vertical="top" wrapText="1"/>
    </xf>
    <xf numFmtId="0" fontId="69" fillId="0" borderId="0" xfId="0" applyFont="1" applyNumberFormat="1">
      <alignment vertical="center" wrapText="1"/>
    </xf>
    <xf numFmtId="0" fontId="22" fillId="35" borderId="12" xfId="0" applyFont="1" applyFill="1" applyBorder="1" applyNumberFormat="1">
      <alignment horizontal="left" vertical="center" wrapText="1"/>
    </xf>
    <xf numFmtId="0" fontId="22" fillId="0" borderId="0" xfId="0" applyFont="1" applyNumberFormat="1">
      <alignment horizontal="center" vertical="center" wrapText="1"/>
    </xf>
    <xf numFmtId="0" fontId="48" fillId="0" borderId="0" xfId="0" applyFont="1" applyNumberFormat="1">
      <alignment horizontal="center" vertical="center" wrapText="1"/>
    </xf>
    <xf numFmtId="0" fontId="22" fillId="36" borderId="14" xfId="0" applyFont="1" applyFill="1" applyBorder="1" applyNumberFormat="1">
      <alignment horizontal="left" vertical="center" wrapText="1"/>
      <protection locked="0"/>
    </xf>
    <xf numFmtId="0" fontId="22" fillId="36" borderId="15" xfId="0" applyFont="1" applyFill="1" applyBorder="1" applyNumberFormat="1">
      <alignment horizontal="left" vertical="center" wrapText="1"/>
      <protection locked="0"/>
    </xf>
    <xf numFmtId="0" fontId="22" fillId="36" borderId="13" xfId="0" applyFont="1" applyFill="1" applyBorder="1" applyNumberFormat="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indent="6"/>
      <protection locked="0"/>
    </xf>
    <xf numFmtId="4" fontId="22" fillId="0" borderId="37" xfId="0" applyFont="1" applyBorder="1" applyNumberFormat="1">
      <alignment horizontal="right" vertical="center" wrapText="1"/>
    </xf>
    <xf numFmtId="0" fontId="45" fillId="0" borderId="12" xfId="0" applyFont="1" applyBorder="1" applyNumberFormat="1">
      <alignment horizontal="left" vertical="top" wrapText="1"/>
    </xf>
    <xf numFmtId="49" fontId="22" fillId="0" borderId="12" xfId="0" applyFont="1" applyBorder="1" applyNumberFormat="1">
      <alignment horizontal="left" vertical="center" wrapText="1"/>
    </xf>
    <xf numFmtId="4" fontId="22" fillId="0" borderId="30" xfId="0" applyFont="1" applyBorder="1" applyNumberFormat="1">
      <alignment horizontal="right" vertical="center" wrapText="1"/>
    </xf>
    <xf numFmtId="49" fontId="0" fillId="37" borderId="29" xfId="0" applyFont="1" applyFill="1" applyBorder="1" applyNumberFormat="1">
      <alignment horizontal="center" vertical="center" wrapText="1"/>
    </xf>
    <xf numFmtId="49" fontId="40" fillId="37" borderId="15" xfId="0" applyFont="1" applyFill="1" applyBorder="1" applyNumberFormat="1">
      <alignment horizontal="left" vertical="center" indent="3"/>
    </xf>
    <xf numFmtId="0" fontId="48" fillId="0" borderId="0" xfId="0" applyFont="1" applyNumberFormat="1">
      <alignment horizontal="center" vertical="center"/>
    </xf>
    <xf numFmtId="0" fontId="47" fillId="0" borderId="0" xfId="0" applyFont="1" applyNumberFormat="1">
      <alignment horizontal="center" vertical="center" wrapText="1"/>
    </xf>
    <xf numFmtId="0" fontId="110" fillId="0" borderId="0" xfId="0" applyFont="1" applyNumberFormat="1">
      <alignment vertical="center" wrapText="1"/>
    </xf>
    <xf numFmtId="0" fontId="22" fillId="0" borderId="0" xfId="0" applyFont="1" applyNumberFormat="1">
      <alignment horizontal="right" vertical="center" wrapText="1"/>
    </xf>
    <xf numFmtId="0" fontId="22" fillId="0" borderId="17" xfId="0" applyFont="1" applyBorder="1" applyNumberFormat="1">
      <alignment horizontal="center" vertical="center" wrapText="1"/>
    </xf>
    <xf numFmtId="0" fontId="0" fillId="0" borderId="12" xfId="0" applyFont="1" applyBorder="1" applyNumberFormat="1">
      <alignment horizontal="center" vertical="center" wrapText="1"/>
    </xf>
    <xf numFmtId="0" fontId="80" fillId="35" borderId="19" xfId="0" applyFont="1" applyFill="1" applyBorder="1" applyNumberFormat="1">
      <alignment horizontal="center" vertical="center" wrapText="1"/>
    </xf>
    <xf numFmtId="0" fontId="22" fillId="35" borderId="12" xfId="0" applyFont="1" applyFill="1" applyBorder="1" applyNumberFormat="1">
      <alignment horizontal="left" vertical="center" wrapText="1"/>
    </xf>
    <xf numFmtId="0" fontId="22" fillId="0" borderId="0" xfId="0" applyFont="1" applyNumberFormat="1">
      <alignment horizontal="center" vertical="center" wrapText="1"/>
    </xf>
    <xf numFmtId="0" fontId="48" fillId="0" borderId="0" xfId="0" applyFont="1" applyNumberFormat="1">
      <alignment horizontal="center" vertical="center" wrapText="1"/>
    </xf>
    <xf numFmtId="49" fontId="22" fillId="0" borderId="12" xfId="0" applyFont="1" applyBorder="1" applyNumberFormat="1">
      <alignment horizontal="left" vertical="center" wrapText="1"/>
    </xf>
    <xf numFmtId="49" fontId="22" fillId="0" borderId="0" xfId="0" applyFont="1" applyNumberFormat="1">
      <alignment vertical="center" wrapText="1"/>
    </xf>
    <xf numFmtId="0" fontId="22" fillId="35" borderId="12" xfId="0" applyFont="1" applyFill="1" applyBorder="1" applyNumberFormat="1">
      <alignment horizontal="left" vertical="center" wrapText="1"/>
    </xf>
    <xf numFmtId="0" fontId="22" fillId="0" borderId="0" xfId="0" applyFont="1" applyNumberFormat="1">
      <alignment horizontal="center" vertical="center" wrapText="1"/>
    </xf>
    <xf numFmtId="0" fontId="48" fillId="0" borderId="0" xfId="0" applyFont="1" applyNumberFormat="1">
      <alignment horizontal="center" vertical="center" wrapText="1"/>
    </xf>
    <xf numFmtId="49" fontId="22" fillId="0" borderId="12" xfId="0" applyFont="1" applyBorder="1" applyNumberFormat="1">
      <alignment horizontal="left" vertical="center" wrapText="1"/>
    </xf>
    <xf numFmtId="0" fontId="48" fillId="0" borderId="0" xfId="0" applyFont="1" applyNumberFormat="1">
      <alignment horizontal="center" vertical="center"/>
    </xf>
    <xf numFmtId="0" fontId="47" fillId="0" borderId="0" xfId="0" applyFont="1" applyNumberFormat="1">
      <alignment horizontal="center" vertical="center" wrapText="1"/>
    </xf>
    <xf numFmtId="0" fontId="22" fillId="0" borderId="0" xfId="0" applyFont="1" applyNumberFormat="1">
      <alignment horizontal="right" vertical="center" wrapText="1"/>
    </xf>
    <xf numFmtId="0" fontId="22" fillId="0" borderId="17" xfId="0" applyFont="1" applyBorder="1" applyNumberFormat="1">
      <alignment horizontal="center" vertical="center" wrapText="1"/>
    </xf>
    <xf numFmtId="0" fontId="0" fillId="0" borderId="12" xfId="0" applyFont="1" applyBorder="1" applyNumberFormat="1">
      <alignment horizontal="center" vertical="center" wrapText="1"/>
    </xf>
    <xf numFmtId="0" fontId="80" fillId="35" borderId="19" xfId="0" applyFont="1" applyFill="1" applyBorder="1" applyNumberFormat="1">
      <alignment horizontal="center" vertical="center" wrapText="1"/>
    </xf>
    <xf numFmtId="49" fontId="22" fillId="0" borderId="0" xfId="0" applyFont="1" applyNumberFormat="1">
      <alignment vertical="center" wrapText="1"/>
    </xf>
    <xf numFmtId="0" fontId="22" fillId="34" borderId="15" xfId="0" applyFont="1" applyFill="1" applyBorder="1" applyNumberFormat="1">
      <alignment horizontal="left" vertical="center" wrapText="1"/>
    </xf>
    <xf numFmtId="0" fontId="47" fillId="0" borderId="0" xfId="0" applyFont="1" applyNumberFormat="1">
      <alignment horizontal="center" vertical="center" wrapText="1"/>
    </xf>
    <xf numFmtId="0" fontId="48" fillId="0" borderId="15" xfId="0" applyFont="1" applyBorder="1" applyNumberFormat="1">
      <alignment horizontal="left" vertical="center" wrapText="1"/>
    </xf>
    <xf numFmtId="0" fontId="22" fillId="0" borderId="12" xfId="0" applyFont="1" applyBorder="1" applyNumberFormat="1">
      <alignment horizontal="center" vertical="center" wrapText="1"/>
    </xf>
    <xf numFmtId="0" fontId="48" fillId="0" borderId="24" xfId="0" applyFont="1" applyBorder="1" applyNumberFormat="1">
      <alignment horizontal="center" vertical="top" wrapText="1"/>
    </xf>
    <xf numFmtId="0" fontId="22" fillId="35" borderId="17" xfId="0" applyFont="1" applyFill="1" applyBorder="1" applyNumberFormat="1">
      <alignment horizontal="left" vertical="center" wrapText="1"/>
    </xf>
    <xf numFmtId="49" fontId="22" fillId="39" borderId="17" xfId="0" applyFont="1" applyFill="1" applyBorder="1" applyNumberFormat="1">
      <alignment horizontal="left" vertical="center" wrapText="1" indent="6"/>
      <protection locked="0"/>
    </xf>
    <xf numFmtId="504" fontId="0" fillId="39" borderId="12" xfId="0" applyFont="1" applyFill="1" applyBorder="1" applyNumberFormat="1">
      <alignment horizontal="center" vertical="center" wrapText="1"/>
      <protection locked="0"/>
    </xf>
    <xf numFmtId="49" fontId="22" fillId="40" borderId="12" xfId="0" applyFont="1" applyFill="1" applyBorder="1" applyNumberFormat="1">
      <alignment horizontal="center" vertical="center"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504" fontId="0" fillId="39" borderId="12" xfId="0" applyFont="1" applyFill="1" applyBorder="1" applyNumberFormat="1">
      <alignment horizontal="center" vertical="center" wrapText="1"/>
      <protection locked="0"/>
    </xf>
    <xf numFmtId="49" fontId="22" fillId="40" borderId="12" xfId="0" applyFont="1" applyFill="1" applyBorder="1" applyNumberFormat="1">
      <alignment horizontal="center" vertical="center" wrapText="1"/>
    </xf>
    <xf numFmtId="49" fontId="48" fillId="0" borderId="12" xfId="0" applyFont="1" applyBorder="1" applyNumberFormat="1">
      <alignment horizontal="center" vertical="center" wrapText="1"/>
    </xf>
    <xf numFmtId="0" fontId="22" fillId="0" borderId="0" xfId="0" applyFont="1" applyNumberFormat="1">
      <alignment horizontal="left" vertical="center"/>
    </xf>
    <xf numFmtId="49" fontId="22" fillId="0" borderId="0" xfId="0" applyFont="1" applyNumberFormat="1">
      <alignment horizontal="left" vertical="center"/>
    </xf>
    <xf numFmtId="0" fontId="22" fillId="0" borderId="0" xfId="0" applyFont="1" applyNumberFormat="1">
      <alignment horizontal="left" vertical="center"/>
    </xf>
    <xf numFmtId="0" fontId="37" fillId="0" borderId="27" xfId="0" applyFont="1" applyBorder="1" applyNumberFormat="1">
      <alignment horizontal="center" vertical="center" wrapText="1"/>
    </xf>
    <xf numFmtId="0" fontId="22" fillId="39" borderId="13" xfId="0" applyFont="1" applyFill="1" applyBorder="1" applyNumberFormat="1">
      <alignment horizontal="center" vertical="center" wrapText="1"/>
      <protection locked="0"/>
    </xf>
    <xf numFmtId="0" fontId="22" fillId="35" borderId="12" xfId="0" applyFont="1" applyFill="1" applyBorder="1" applyNumberFormat="1">
      <alignment horizontal="center" vertical="center" wrapText="1"/>
    </xf>
    <xf numFmtId="0" fontId="22" fillId="35" borderId="29" xfId="0" applyFont="1" applyFill="1" applyBorder="1" applyNumberFormat="1">
      <alignment horizontal="center" vertical="center" wrapText="1"/>
    </xf>
    <xf numFmtId="0" fontId="22" fillId="35" borderId="23" xfId="0" applyFont="1" applyFill="1" applyBorder="1" applyNumberFormat="1">
      <alignment horizontal="center" vertical="center" wrapText="1"/>
    </xf>
    <xf numFmtId="0" fontId="22" fillId="0" borderId="12" xfId="0" applyFont="1" applyBorder="1" applyNumberFormat="1">
      <alignment horizontal="center" vertical="center" wrapText="1"/>
    </xf>
    <xf numFmtId="0" fontId="22" fillId="35" borderId="17" xfId="0" applyFont="1" applyFill="1" applyBorder="1" applyNumberFormat="1">
      <alignment horizontal="left" vertical="center" wrapText="1"/>
    </xf>
    <xf numFmtId="49" fontId="22" fillId="39" borderId="17" xfId="0" applyFont="1" applyFill="1" applyBorder="1" applyNumberFormat="1">
      <alignment horizontal="left" vertical="center" wrapText="1" indent="6"/>
      <protection locked="0"/>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0" fontId="22" fillId="0" borderId="0" xfId="0" applyFont="1" applyNumberFormat="1">
      <alignment horizontal="left" vertical="top" wrapText="1"/>
    </xf>
    <xf numFmtId="0" fontId="22" fillId="35" borderId="12" xfId="0" applyFont="1" applyFill="1" applyBorder="1" applyNumberFormat="1">
      <alignment horizontal="left" vertical="center" wrapText="1"/>
    </xf>
    <xf numFmtId="0" fontId="111" fillId="0" borderId="0" xfId="0" applyFont="1" applyNumberFormat="1">
      <alignment vertical="center" wrapText="1"/>
    </xf>
    <xf numFmtId="0" fontId="111" fillId="35" borderId="0" xfId="0" applyFont="1" applyFill="1" applyNumberFormat="1">
      <alignment horizontal="center" vertical="center" wrapText="1"/>
    </xf>
    <xf numFmtId="0" fontId="48" fillId="35" borderId="12" xfId="0" applyFont="1" applyFill="1" applyBorder="1" applyNumberFormat="1">
      <alignment horizontal="left" vertical="center" wrapText="1" indent="3"/>
    </xf>
    <xf numFmtId="0" fontId="48" fillId="0" borderId="0" xfId="0" applyFont="1" applyNumberFormat="1">
      <alignment horizontal="center" vertical="center"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49" fontId="22" fillId="36" borderId="36" xfId="0" applyFont="1" applyFill="1" applyBorder="1" applyNumberFormat="1">
      <alignment horizontal="left" vertical="center" wrapText="1" indent="6"/>
      <protection locked="0"/>
    </xf>
    <xf numFmtId="49" fontId="22" fillId="40" borderId="29" xfId="0" applyFont="1" applyFill="1" applyBorder="1" applyNumberFormat="1">
      <alignment horizontal="center" vertical="center" wrapText="1"/>
    </xf>
    <xf numFmtId="49" fontId="40" fillId="37" borderId="27" xfId="0" applyFont="1" applyFill="1" applyBorder="1" applyNumberFormat="1">
      <alignment horizontal="left" vertical="center"/>
    </xf>
    <xf numFmtId="49" fontId="22" fillId="36" borderId="23" xfId="0" applyFont="1" applyFill="1" applyBorder="1" applyNumberFormat="1">
      <alignment horizontal="left" vertical="center" wrapText="1" indent="6"/>
      <protection locked="0"/>
    </xf>
    <xf numFmtId="0" fontId="48" fillId="0" borderId="0" xfId="0" applyFont="1" applyNumberFormat="1">
      <alignment horizontal="center" vertical="center"/>
    </xf>
    <xf numFmtId="0" fontId="48" fillId="0" borderId="0" xfId="0" applyFont="1" applyNumberFormat="1">
      <alignment horizontal="left" vertical="center" wrapText="1" indent="1"/>
    </xf>
    <xf numFmtId="0" fontId="22" fillId="35" borderId="12" xfId="0" applyFont="1" applyFill="1" applyBorder="1" applyNumberFormat="1">
      <alignment horizontal="center" vertical="center" wrapText="1"/>
    </xf>
    <xf numFmtId="0" fontId="48" fillId="0" borderId="19" xfId="0" applyFont="1" applyBorder="1" applyNumberFormat="1">
      <alignment horizontal="left" vertical="center" wrapText="1"/>
    </xf>
    <xf numFmtId="0" fontId="22" fillId="0" borderId="0" xfId="0" applyFont="1" applyNumberFormat="1">
      <alignment horizontal="left" vertical="top" wrapText="1"/>
    </xf>
    <xf numFmtId="0" fontId="47" fillId="0" borderId="0" xfId="0" applyFont="1" applyNumberFormat="1">
      <alignment horizontal="center" vertical="center" wrapText="1"/>
    </xf>
    <xf numFmtId="0" fontId="22" fillId="35" borderId="12" xfId="0" applyFont="1" applyFill="1" applyBorder="1" applyNumberFormat="1">
      <alignment horizontal="left" vertical="center" wrapText="1"/>
    </xf>
    <xf numFmtId="0" fontId="22" fillId="0" borderId="0" xfId="0" applyFont="1" applyNumberFormat="1">
      <alignment horizontal="center" vertical="center" wrapText="1"/>
    </xf>
    <xf numFmtId="0" fontId="48" fillId="0" borderId="0" xfId="0" applyFont="1" applyNumberFormat="1">
      <alignment horizontal="center" vertical="center" wrapText="1"/>
    </xf>
    <xf numFmtId="49" fontId="22" fillId="0" borderId="12" xfId="0" applyFont="1" applyBorder="1" applyNumberFormat="1">
      <alignment horizontal="left" vertical="center" wrapText="1"/>
    </xf>
    <xf numFmtId="0" fontId="48" fillId="0" borderId="0" xfId="0" applyFont="1" applyNumberFormat="1">
      <alignment horizontal="center" vertical="center"/>
    </xf>
    <xf numFmtId="0" fontId="47" fillId="0" borderId="0" xfId="0" applyFont="1" applyNumberFormat="1">
      <alignment horizontal="center" vertical="center" wrapText="1"/>
    </xf>
    <xf numFmtId="0" fontId="22" fillId="0" borderId="0" xfId="0" applyFont="1" applyNumberFormat="1">
      <alignment horizontal="right" vertical="center" wrapText="1"/>
    </xf>
    <xf numFmtId="0" fontId="22" fillId="0" borderId="17" xfId="0" applyFont="1" applyBorder="1" applyNumberFormat="1">
      <alignment horizontal="center" vertical="center" wrapText="1"/>
    </xf>
    <xf numFmtId="0" fontId="0" fillId="0" borderId="12" xfId="0" applyFont="1" applyBorder="1" applyNumberFormat="1">
      <alignment horizontal="center" vertical="center" wrapText="1"/>
    </xf>
    <xf numFmtId="0" fontId="80" fillId="35" borderId="19" xfId="0" applyFont="1" applyFill="1" applyBorder="1" applyNumberFormat="1">
      <alignment horizontal="center" vertical="center" wrapText="1"/>
    </xf>
    <xf numFmtId="49" fontId="22" fillId="0" borderId="0" xfId="0" applyFont="1" applyNumberFormat="1">
      <alignment vertical="center" wrapText="1"/>
    </xf>
    <xf numFmtId="49" fontId="22" fillId="40"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49" fontId="48" fillId="0" borderId="12" xfId="0" applyFont="1" applyBorder="1" applyNumberFormat="1">
      <alignment horizontal="center" vertical="center" wrapText="1"/>
    </xf>
    <xf numFmtId="0" fontId="22" fillId="35" borderId="12" xfId="0" applyFont="1" applyFill="1" applyBorder="1" applyNumberFormat="1">
      <alignment horizontal="center" vertical="center" wrapText="1"/>
    </xf>
    <xf numFmtId="0" fontId="22" fillId="0" borderId="0" xfId="0" applyFont="1" applyNumberFormat="1">
      <alignment horizontal="left" vertical="top" wrapText="1"/>
    </xf>
    <xf numFmtId="0" fontId="22" fillId="0" borderId="12" xfId="0" applyFont="1" applyBorder="1" applyNumberFormat="1">
      <alignment horizontal="center" vertical="center" wrapText="1"/>
    </xf>
    <xf numFmtId="49" fontId="22" fillId="35" borderId="12" xfId="0" applyFont="1" applyFill="1" applyBorder="1" applyNumberFormat="1">
      <alignment horizontal="center" vertical="center" wrapText="1"/>
    </xf>
    <xf numFmtId="0" fontId="47" fillId="0" borderId="0" xfId="0" applyFont="1" applyNumberFormat="1">
      <alignment horizontal="center" vertical="center" wrapText="1"/>
    </xf>
    <xf numFmtId="49" fontId="22" fillId="35" borderId="12" xfId="0" applyFont="1" applyFill="1" applyBorder="1" applyNumberFormat="1">
      <alignment horizontal="center" vertical="center" wrapText="1"/>
    </xf>
    <xf numFmtId="0" fontId="47" fillId="0" borderId="0" xfId="0" applyFont="1" applyNumberFormat="1">
      <alignment horizontal="center" vertical="center" wrapText="1"/>
    </xf>
    <xf numFmtId="49" fontId="22" fillId="0" borderId="0" xfId="0" applyFont="1" applyNumberFormat="1">
      <alignment vertical="center" wrapText="1"/>
    </xf>
    <xf numFmtId="0" fontId="80" fillId="35" borderId="19" xfId="0" applyFont="1" applyFill="1" applyBorder="1" applyNumberFormat="1">
      <alignment horizontal="center" vertical="center" wrapText="1"/>
    </xf>
    <xf numFmtId="49" fontId="48" fillId="0" borderId="0" xfId="0" applyFont="1" applyNumberFormat="1">
      <alignment horizontal="center" vertical="center" wrapText="1"/>
    </xf>
    <xf numFmtId="49" fontId="22" fillId="0" borderId="0" xfId="0" applyFont="1" applyNumberFormat="1">
      <alignment horizontal="center" vertical="center" wrapText="1"/>
    </xf>
    <xf numFmtId="0" fontId="22" fillId="0" borderId="28" xfId="0" applyFont="1" applyBorder="1" applyNumberFormat="1">
      <alignment horizontal="center" vertical="center" wrapText="1"/>
    </xf>
    <xf numFmtId="0" fontId="22" fillId="39" borderId="12" xfId="0" applyFont="1" applyFill="1" applyBorder="1" applyNumberFormat="1">
      <alignment horizontal="left" vertical="center" wrapText="1" indent="2"/>
      <protection locked="0"/>
    </xf>
    <xf numFmtId="0" fontId="22" fillId="0" borderId="12" xfId="0" applyFont="1" applyBorder="1" applyNumberFormat="1">
      <alignment horizontal="center" vertical="center" wrapText="1"/>
    </xf>
    <xf numFmtId="0" fontId="22" fillId="0" borderId="12" xfId="0" applyFont="1" applyBorder="1" applyNumberFormat="1">
      <alignment vertical="center" wrapText="1"/>
    </xf>
    <xf numFmtId="0" fontId="84" fillId="0" borderId="0" xfId="0" applyFont="1" applyNumberFormat="1">
      <alignment vertical="center" wrapText="1"/>
    </xf>
    <xf numFmtId="0" fontId="48" fillId="0" borderId="28" xfId="0" applyFont="1" applyBorder="1" applyNumberFormat="1">
      <alignment horizontal="center" vertical="center" wrapText="1"/>
    </xf>
    <xf numFmtId="0" fontId="48" fillId="0" borderId="12" xfId="0" applyFont="1" applyBorder="1" applyNumberFormat="1">
      <alignment horizontal="left" vertical="center" wrapText="1" indent="2"/>
    </xf>
    <xf numFmtId="0" fontId="48" fillId="0" borderId="12" xfId="0" applyFont="1" applyBorder="1" applyNumberFormat="1">
      <alignment horizontal="center" vertical="center" wrapText="1"/>
    </xf>
    <xf numFmtId="0" fontId="48" fillId="0" borderId="12" xfId="0" applyFont="1" applyBorder="1" applyNumberFormat="1">
      <alignment vertical="center" wrapText="1"/>
    </xf>
    <xf numFmtId="0" fontId="22" fillId="0" borderId="12" xfId="0" applyFont="1" applyBorder="1" applyNumberFormat="1">
      <alignment horizontal="left" vertical="center" wrapText="1" indent="3"/>
    </xf>
    <xf numFmtId="49" fontId="22" fillId="39" borderId="12" xfId="0" applyFont="1" applyFill="1" applyBorder="1" applyNumberFormat="1">
      <alignment horizontal="center" vertical="center" wrapText="1"/>
      <protection locked="0"/>
    </xf>
    <xf numFmtId="4" fontId="22" fillId="36" borderId="12" xfId="0" applyFont="1" applyFill="1" applyBorder="1" applyNumberFormat="1">
      <alignment horizontal="right" vertical="center" wrapText="1"/>
      <protection locked="0"/>
    </xf>
    <xf numFmtId="0" fontId="22" fillId="36" borderId="12" xfId="0" applyFont="1" applyFill="1" applyBorder="1" applyNumberFormat="1">
      <alignment horizontal="left" vertical="center" wrapText="1"/>
      <protection locked="0"/>
    </xf>
    <xf numFmtId="49" fontId="91" fillId="0" borderId="0" xfId="0" applyFont="1" applyNumberFormat="1">
      <alignment horizontal="center" vertical="center" wrapText="1"/>
    </xf>
    <xf numFmtId="49" fontId="22" fillId="0" borderId="0" xfId="0" applyFont="1" applyNumberFormat="1">
      <alignment horizontal="center" vertical="top" wrapText="1"/>
    </xf>
    <xf numFmtId="0" fontId="22" fillId="0" borderId="12" xfId="0" applyFont="1" applyBorder="1" applyNumberFormat="1">
      <alignment horizontal="center" vertical="center" wrapText="1"/>
    </xf>
    <xf numFmtId="0" fontId="22" fillId="0" borderId="13" xfId="0" applyFont="1" applyBorder="1" applyNumberFormat="1">
      <alignment vertical="top" wrapText="1"/>
    </xf>
    <xf numFmtId="0" fontId="54" fillId="0" borderId="0" xfId="0" applyFont="1" applyNumberFormat="1">
      <alignment vertical="center" wrapText="1"/>
    </xf>
    <xf numFmtId="0" fontId="22" fillId="0" borderId="13" xfId="0" applyFont="1" applyBorder="1" applyNumberFormat="1">
      <alignment horizontal="center" vertical="center" wrapText="1"/>
    </xf>
    <xf numFmtId="503" fontId="22" fillId="36" borderId="12" xfId="0" applyFont="1" applyFill="1" applyBorder="1" applyNumberFormat="1">
      <alignment horizontal="right" vertical="center" wrapText="1"/>
      <protection locked="0"/>
    </xf>
    <xf numFmtId="0" fontId="22" fillId="0" borderId="20" xfId="0" applyFont="1" applyBorder="1" applyNumberFormat="1">
      <alignment vertical="center" wrapText="1"/>
    </xf>
    <xf numFmtId="0" fontId="32" fillId="0" borderId="0" xfId="0" applyFont="1" applyNumberFormat="1">
      <alignment vertical="center" wrapText="1"/>
    </xf>
    <xf numFmtId="0" fontId="46" fillId="0" borderId="0" xfId="0" applyFont="1" applyNumberFormat="1">
      <alignment vertical="center" wrapText="1"/>
    </xf>
    <xf numFmtId="0" fontId="22" fillId="0" borderId="0" xfId="0" applyFont="1" applyNumberFormat="1">
      <alignment horizontal="left" vertical="center" wrapText="1" indent="3"/>
    </xf>
    <xf numFmtId="0" fontId="97" fillId="35" borderId="0" xfId="0" applyFont="1" applyFill="1" applyNumberFormat="1">
      <alignment horizontal="right" vertical="center"/>
    </xf>
    <xf numFmtId="0" fontId="22" fillId="0" borderId="14" xfId="0" applyFont="1" applyBorder="1" applyNumberFormat="1">
      <alignment vertical="center" wrapText="1"/>
    </xf>
    <xf numFmtId="0" fontId="22" fillId="0" borderId="15" xfId="0" applyFont="1" applyBorder="1" applyNumberFormat="1">
      <alignment horizontal="right" vertical="center" wrapText="1" indent="1"/>
    </xf>
    <xf numFmtId="0" fontId="22" fillId="0" borderId="13" xfId="0" applyFont="1" applyBorder="1" applyNumberFormat="1">
      <alignment horizontal="right" vertical="center" wrapText="1" indent="1"/>
    </xf>
    <xf numFmtId="0" fontId="22" fillId="34" borderId="14" xfId="0" applyFont="1" applyFill="1" applyBorder="1" applyNumberFormat="1">
      <alignment horizontal="left" vertical="top" wrapText="1"/>
    </xf>
    <xf numFmtId="0" fontId="22" fillId="0" borderId="14" xfId="0" applyFont="1" applyBorder="1" applyNumberFormat="1">
      <alignment horizontal="right" vertical="center" wrapText="1"/>
    </xf>
    <xf numFmtId="0" fontId="22" fillId="0" borderId="15" xfId="0" applyFont="1" applyBorder="1" applyNumberFormat="1">
      <alignment horizontal="right" vertical="center" wrapText="1"/>
    </xf>
    <xf numFmtId="0" fontId="22" fillId="0" borderId="15" xfId="0" applyFont="1" applyBorder="1" applyNumberFormat="1">
      <alignment horizontal="right" vertical="center" wrapText="1" indent="1"/>
    </xf>
    <xf numFmtId="0" fontId="22" fillId="0" borderId="12" xfId="0" applyFont="1" applyBorder="1" applyNumberFormat="1">
      <alignment horizontal="center" vertical="center" wrapText="1"/>
    </xf>
    <xf numFmtId="0" fontId="22" fillId="0" borderId="12" xfId="0" applyFont="1" applyBorder="1" applyNumberFormat="1">
      <alignment horizontal="left" vertical="center" wrapText="1"/>
    </xf>
    <xf numFmtId="0" fontId="22" fillId="0" borderId="12" xfId="0" applyFont="1" applyBorder="1" applyNumberFormat="1">
      <alignment horizontal="center" vertical="center" wrapText="1"/>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0" fontId="22" fillId="0" borderId="12" xfId="0" applyFont="1" applyBorder="1" applyNumberFormat="1">
      <alignment horizontal="left" vertical="center" wrapText="1" indent="1"/>
    </xf>
    <xf numFmtId="49" fontId="91" fillId="46" borderId="0" xfId="0" applyFont="1" applyFill="1" applyNumberFormat="1">
      <alignment horizontal="center" vertical="center" textRotation="90" wrapText="1"/>
    </xf>
    <xf numFmtId="0" fontId="72" fillId="0" borderId="0" xfId="0" applyFont="1" applyNumberFormat="1">
      <alignment horizontal="center" vertical="center" wrapTex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pplyNumberFormat="1">
      <alignment horizontal="left" vertical="center" wrapText="1" indent="2"/>
    </xf>
    <xf numFmtId="0" fontId="72" fillId="0" borderId="12" xfId="0" applyFont="1" applyBorder="1" applyNumberFormat="1">
      <alignment horizontal="center" vertical="center" wrapText="1"/>
    </xf>
    <xf numFmtId="0" fontId="72" fillId="0" borderId="12" xfId="0" applyFont="1" applyBorder="1" applyNumberFormat="1">
      <alignment vertical="center" wrapText="1"/>
    </xf>
    <xf numFmtId="0" fontId="85" fillId="0" borderId="0" xfId="0" applyFont="1" applyNumberFormat="1">
      <alignment vertical="center" wrapText="1"/>
    </xf>
    <xf numFmtId="0" fontId="63" fillId="0" borderId="0" xfId="0" applyFont="1" applyNumberFormat="1">
      <alignment vertical="center" wrapText="1"/>
    </xf>
    <xf numFmtId="0" fontId="72" fillId="0" borderId="28" xfId="0" applyFont="1" applyBorder="1" applyNumberFormat="1">
      <alignment horizontal="center" vertical="center" wrapText="1"/>
    </xf>
    <xf numFmtId="0" fontId="72" fillId="0" borderId="12" xfId="0" applyFont="1" applyBorder="1" applyNumberFormat="1">
      <alignment horizontal="left" vertical="center" wrapText="1" indent="3"/>
    </xf>
    <xf numFmtId="4" fontId="72" fillId="0" borderId="12" xfId="0" applyFont="1" applyBorder="1" applyNumberFormat="1">
      <alignment horizontal="right" vertical="center" wrapText="1"/>
    </xf>
    <xf numFmtId="0" fontId="37" fillId="0" borderId="0" xfId="0" applyFont="1" applyNumberFormat="1">
      <alignment horizontal="center" vertical="center" wrapText="1"/>
    </xf>
    <xf numFmtId="49" fontId="22" fillId="37" borderId="14" xfId="0" applyFont="1" applyFill="1" applyBorder="1" applyNumberFormat="1">
      <alignment vertical="center" wrapText="1"/>
    </xf>
    <xf numFmtId="0" fontId="22" fillId="37" borderId="15" xfId="0" applyFont="1" applyFill="1" applyBorder="1" applyNumberFormat="1">
      <alignment vertical="center" wrapText="1"/>
    </xf>
    <xf numFmtId="0" fontId="47" fillId="37" borderId="13" xfId="0" applyFont="1" applyFill="1" applyBorder="1" applyNumberFormat="1">
      <alignment vertical="center" wrapText="1"/>
    </xf>
    <xf numFmtId="0" fontId="22" fillId="0" borderId="12" xfId="0" applyFont="1" applyBorder="1" applyNumberFormat="1">
      <alignment horizontal="left" vertical="center" wrapText="1" indent="2"/>
    </xf>
    <xf numFmtId="14" fontId="22" fillId="0" borderId="0" xfId="0" applyFont="1" applyNumberFormat="1">
      <alignment horizontal="center" vertical="center" wrapText="1"/>
    </xf>
    <xf numFmtId="49" fontId="91" fillId="46" borderId="0" xfId="0" applyFont="1" applyFill="1" applyNumberFormat="1">
      <alignment horizontal="center" vertical="center" wrapText="1"/>
    </xf>
    <xf numFmtId="49" fontId="50" fillId="0" borderId="0" xfId="0" applyFont="1" applyNumberFormat="1">
      <alignment horizontal="center" vertical="center"/>
    </xf>
    <xf numFmtId="503" fontId="22" fillId="39" borderId="12" xfId="0" applyFont="1" applyFill="1" applyBorder="1" applyNumberFormat="1">
      <alignment horizontal="right" vertical="center" wrapText="1"/>
      <protection locked="0"/>
    </xf>
    <xf numFmtId="0" fontId="47" fillId="0" borderId="0" xfId="0" applyFont="1" applyNumberFormat="1">
      <alignment horizontal="left" vertical="center" wrapText="1"/>
    </xf>
    <xf numFmtId="49" fontId="91" fillId="0" borderId="0" xfId="0" applyFont="1" applyNumberFormat="1">
      <alignment horizontal="left" vertical="center" wrapText="1"/>
    </xf>
    <xf numFmtId="0" fontId="48" fillId="0" borderId="0" xfId="0" applyFont="1" applyNumberFormat="1">
      <alignment horizontal="left" vertical="center" wrapText="1"/>
    </xf>
    <xf numFmtId="49" fontId="22" fillId="0" borderId="0" xfId="0" applyFont="1" applyNumberFormat="1">
      <alignment horizontal="left" vertical="center" wrapText="1"/>
    </xf>
    <xf numFmtId="0" fontId="54" fillId="0" borderId="0" xfId="0" applyFont="1" applyNumberFormat="1">
      <alignment horizontal="left" vertical="center" wrapText="1"/>
    </xf>
    <xf numFmtId="0" fontId="32" fillId="0" borderId="0" xfId="0" applyFont="1" applyNumberFormat="1">
      <alignment horizontal="left" vertical="center" wrapText="1"/>
    </xf>
    <xf numFmtId="49" fontId="22" fillId="40" borderId="12" xfId="0" applyFont="1" applyFill="1" applyBorder="1" applyNumberFormat="1">
      <alignment horizontal="left" vertical="center" wrapText="1"/>
    </xf>
    <xf numFmtId="0" fontId="22" fillId="0" borderId="17" xfId="0" applyFont="1" applyBorder="1" applyNumberFormat="1">
      <alignment horizontal="center" vertical="center" wrapText="1"/>
    </xf>
    <xf numFmtId="4" fontId="22" fillId="34" borderId="17" xfId="0" applyFont="1" applyFill="1" applyBorder="1" applyNumberFormat="1">
      <alignment horizontal="right" vertical="center" wrapText="1"/>
    </xf>
    <xf numFmtId="0" fontId="48" fillId="0" borderId="12" xfId="0" applyFont="1" applyBorder="1" applyNumberFormat="1">
      <alignment horizontal="left" vertical="center" wrapText="1" indent="3"/>
    </xf>
    <xf numFmtId="49" fontId="48" fillId="0" borderId="12" xfId="0" applyFont="1" applyBorder="1" applyNumberFormat="1">
      <alignment vertical="center" wrapText="1"/>
    </xf>
    <xf numFmtId="0" fontId="48" fillId="0" borderId="17" xfId="0" applyFont="1" applyBorder="1" applyNumberFormat="1">
      <alignment vertical="top" wrapText="1"/>
    </xf>
    <xf numFmtId="0" fontId="22" fillId="0" borderId="17" xfId="0" applyFont="1" applyBorder="1" applyNumberFormat="1">
      <alignment horizontal="center" vertical="center" wrapText="1"/>
    </xf>
    <xf numFmtId="0" fontId="22" fillId="0" borderId="14" xfId="0" applyFont="1" applyBorder="1" applyNumberFormat="1">
      <alignment horizontal="left" vertical="center" wrapText="1" indent="2"/>
    </xf>
    <xf numFmtId="0" fontId="22" fillId="0" borderId="12" xfId="0" applyFont="1" applyBorder="1" applyNumberFormat="1">
      <alignment horizontal="center" vertical="center" wrapText="1"/>
    </xf>
    <xf numFmtId="4" fontId="22" fillId="39" borderId="13" xfId="0" applyFont="1" applyFill="1" applyBorder="1" applyNumberFormat="1">
      <alignment horizontal="right" vertical="center" wrapText="1"/>
      <protection locked="0"/>
    </xf>
    <xf numFmtId="0" fontId="22" fillId="0" borderId="14" xfId="0" applyFont="1" applyBorder="1" applyNumberFormat="1">
      <alignment horizontal="left" vertical="center" wrapText="1" indent="1"/>
    </xf>
    <xf numFmtId="0" fontId="22" fillId="0" borderId="14" xfId="0" applyFont="1" applyBorder="1" applyNumberFormat="1">
      <alignment horizontal="left" vertical="center" wrapText="1"/>
    </xf>
    <xf numFmtId="0" fontId="22" fillId="0" borderId="23" xfId="0" applyFont="1" applyBorder="1" applyNumberFormat="1">
      <alignment horizontal="center" vertical="center" wrapText="1"/>
    </xf>
    <xf numFmtId="49" fontId="53" fillId="36" borderId="13" xfId="0" applyFont="1" applyFill="1" applyBorder="1" applyNumberFormat="1">
      <alignment horizontal="left" vertical="center" wrapText="1"/>
      <protection locked="0"/>
    </xf>
    <xf numFmtId="49" fontId="53" fillId="36" borderId="12" xfId="0" applyFont="1" applyFill="1" applyBorder="1" applyNumberFormat="1">
      <alignment horizontal="left" vertical="center" wrapText="1"/>
      <protection locked="0"/>
    </xf>
    <xf numFmtId="0" fontId="48" fillId="0" borderId="0" xfId="0" applyFont="1" applyNumberFormat="1">
      <alignment vertical="center" wrapText="1"/>
    </xf>
    <xf numFmtId="49" fontId="22" fillId="0" borderId="0" xfId="0" applyFont="1" applyNumberFormat="1">
      <alignment horizontal="center" vertical="center" wrapText="1"/>
    </xf>
    <xf numFmtId="0" fontId="22" fillId="0" borderId="12" xfId="0" applyFont="1" applyBorder="1" applyNumberFormat="1">
      <alignment horizontal="center" vertical="center" wrapText="1"/>
    </xf>
    <xf numFmtId="503" fontId="22" fillId="39" borderId="13" xfId="0" applyFont="1" applyFill="1" applyBorder="1" applyNumberFormat="1">
      <alignment horizontal="right" vertical="center" wrapText="1"/>
      <protection locked="0"/>
    </xf>
    <xf numFmtId="0" fontId="84" fillId="0" borderId="0" xfId="0" applyFont="1" applyNumberFormat="1">
      <alignment vertical="center" wrapText="1"/>
    </xf>
    <xf numFmtId="0" fontId="54" fillId="0" borderId="0" xfId="0" applyFont="1" applyNumberFormat="1">
      <alignment vertical="center" wrapText="1"/>
    </xf>
    <xf numFmtId="0" fontId="32" fillId="0" borderId="0" xfId="0" applyFont="1" applyNumberFormat="1">
      <alignment vertical="center" wrapText="1"/>
    </xf>
    <xf numFmtId="0" fontId="47" fillId="0" borderId="0" xfId="0" applyFont="1" applyNumberFormat="1">
      <alignment vertical="center" wrapText="1"/>
    </xf>
    <xf numFmtId="49" fontId="50" fillId="0" borderId="0" xfId="0" applyFont="1" applyNumberFormat="1">
      <alignment horizontal="center" vertical="center"/>
    </xf>
    <xf numFmtId="0" fontId="22" fillId="0" borderId="0" xfId="0" applyFont="1" applyNumberFormat="1">
      <alignment vertical="center" wrapText="1"/>
    </xf>
    <xf numFmtId="503" fontId="22" fillId="34" borderId="13" xfId="0" applyFont="1" applyFill="1" applyBorder="1" applyNumberFormat="1">
      <alignment horizontal="right" vertical="center" wrapText="1"/>
    </xf>
    <xf numFmtId="503" fontId="22" fillId="34" borderId="12" xfId="0" applyFont="1" applyFill="1" applyBorder="1" applyNumberFormat="1">
      <alignment horizontal="right" vertical="center" wrapText="1"/>
    </xf>
    <xf numFmtId="49" fontId="91" fillId="46" borderId="0" xfId="0" applyFont="1" applyFill="1" applyNumberFormat="1">
      <alignment horizontal="center" vertical="center" textRotation="90" wrapText="1"/>
    </xf>
    <xf numFmtId="0" fontId="22" fillId="39" borderId="12" xfId="0" applyFont="1" applyFill="1" applyBorder="1" applyNumberFormat="1">
      <alignment horizontal="center" vertical="center" wrapText="1"/>
      <protection locked="0"/>
    </xf>
    <xf numFmtId="4" fontId="22" fillId="39" borderId="29"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0" fontId="48" fillId="0" borderId="36" xfId="0" applyFont="1" applyBorder="1" applyNumberFormat="1">
      <alignment horizontal="left" vertical="center" wrapText="1" indent="1"/>
    </xf>
    <xf numFmtId="0" fontId="48" fillId="0" borderId="36" xfId="0" applyFont="1" applyBorder="1" applyNumberFormat="1">
      <alignment horizontal="center" vertical="center" wrapText="1"/>
    </xf>
    <xf numFmtId="0" fontId="48" fillId="0" borderId="17" xfId="0" applyFont="1" applyBorder="1" applyNumberFormat="1">
      <alignment vertical="center" wrapText="1"/>
    </xf>
    <xf numFmtId="49" fontId="22" fillId="37" borderId="37" xfId="0" applyFont="1" applyFill="1" applyBorder="1" applyNumberFormat="1">
      <alignment vertical="center" wrapText="1"/>
    </xf>
    <xf numFmtId="49" fontId="40" fillId="37" borderId="19" xfId="0" applyFont="1" applyFill="1" applyBorder="1" applyNumberFormat="1">
      <alignment horizontal="left" vertical="center" indent="1"/>
    </xf>
    <xf numFmtId="0" fontId="22" fillId="0" borderId="23" xfId="0" applyFont="1" applyBorder="1" applyNumberFormat="1">
      <alignment vertical="top" wrapText="1"/>
    </xf>
    <xf numFmtId="0" fontId="22" fillId="0" borderId="13" xfId="0" applyFont="1" applyBorder="1" applyNumberFormat="1">
      <alignment horizontal="center" vertical="center" wrapText="1"/>
    </xf>
    <xf numFmtId="0" fontId="22" fillId="0" borderId="13" xfId="0" applyFont="1" applyBorder="1" applyNumberFormat="1">
      <alignment horizontal="center" vertical="center" wrapText="1"/>
    </xf>
    <xf numFmtId="0" fontId="22" fillId="0" borderId="20" xfId="0" applyFont="1" applyBorder="1" applyNumberFormat="1">
      <alignment horizontal="center" vertical="center" wrapText="1"/>
    </xf>
    <xf numFmtId="503" fontId="22" fillId="39" borderId="17" xfId="0" applyFont="1" applyFill="1" applyBorder="1" applyNumberFormat="1">
      <alignment horizontal="right" vertical="center" wrapText="1"/>
      <protection locked="0"/>
    </xf>
    <xf numFmtId="0" fontId="48" fillId="0" borderId="23" xfId="0" applyFont="1" applyBorder="1" applyNumberFormat="1">
      <alignment horizontal="left" vertical="center" wrapText="1" indent="1"/>
    </xf>
    <xf numFmtId="0" fontId="48" fillId="0" borderId="17" xfId="0" applyFont="1" applyBorder="1" applyNumberFormat="1">
      <alignment horizontal="center" vertical="center" wrapText="1"/>
    </xf>
    <xf numFmtId="0" fontId="37" fillId="0" borderId="0" xfId="0" applyFont="1" applyNumberFormat="1">
      <alignment horizontal="center" vertical="center" wrapText="1"/>
    </xf>
    <xf numFmtId="49" fontId="22" fillId="37" borderId="37" xfId="0" applyFont="1" applyFill="1" applyBorder="1" applyNumberFormat="1">
      <alignment vertical="center" wrapText="1"/>
    </xf>
    <xf numFmtId="49" fontId="40" fillId="37" borderId="19" xfId="0" applyFont="1" applyFill="1" applyBorder="1" applyNumberFormat="1">
      <alignment horizontal="left" vertical="center" indent="1"/>
    </xf>
    <xf numFmtId="0" fontId="22" fillId="37" borderId="15" xfId="0" applyFont="1" applyFill="1" applyBorder="1" applyNumberFormat="1">
      <alignment vertical="center" wrapText="1"/>
    </xf>
    <xf numFmtId="0" fontId="47" fillId="37" borderId="13" xfId="0" applyFont="1" applyFill="1" applyBorder="1" applyNumberFormat="1">
      <alignment vertical="center" wrapText="1"/>
    </xf>
    <xf numFmtId="0" fontId="22" fillId="0" borderId="23" xfId="0" applyFont="1" applyBorder="1" applyNumberFormat="1">
      <alignment vertical="top" wrapText="1"/>
    </xf>
    <xf numFmtId="0" fontId="48" fillId="0" borderId="17" xfId="0" applyFont="1" applyBorder="1" applyNumberFormat="1">
      <alignment horizontal="left" vertical="center" wrapText="1" indent="1"/>
    </xf>
    <xf numFmtId="49" fontId="53" fillId="36" borderId="12" xfId="0" applyFont="1" applyFill="1" applyBorder="1" applyNumberFormat="1">
      <alignment horizontal="left" vertical="center" wrapText="1"/>
      <protection locked="0"/>
    </xf>
    <xf numFmtId="0" fontId="22" fillId="0" borderId="0" xfId="0" applyFont="1" applyNumberFormat="1">
      <alignment vertical="top" wrapText="1"/>
    </xf>
    <xf numFmtId="0" fontId="22" fillId="0" borderId="0" xfId="0" applyFont="1" applyNumberFormat="1">
      <alignment horizontal="left" vertical="top" wrapText="1"/>
    </xf>
    <xf numFmtId="0" fontId="54" fillId="0" borderId="0" xfId="0" applyFont="1" applyNumberFormat="1">
      <alignment vertical="center"/>
    </xf>
    <xf numFmtId="0" fontId="91" fillId="0" borderId="0" xfId="0" applyFont="1" applyNumberFormat="1">
      <alignment vertical="center" wrapText="1"/>
    </xf>
    <xf numFmtId="49" fontId="91" fillId="0" borderId="0" xfId="0" applyFont="1" applyNumberFormat="1">
      <alignment horizontal="center" vertical="center" wrapText="1"/>
    </xf>
    <xf numFmtId="0" fontId="54" fillId="0" borderId="0" xfId="0" applyFont="1" applyNumberFormat="1">
      <alignment vertical="center" wrapText="1"/>
    </xf>
    <xf numFmtId="0" fontId="22" fillId="0" borderId="19" xfId="0" applyFont="1" applyBorder="1" applyNumberFormat="1">
      <alignment vertical="center" wrapText="1"/>
    </xf>
    <xf numFmtId="0" fontId="22" fillId="0" borderId="0" xfId="0" applyFont="1" applyNumberFormat="1">
      <alignment horizontal="center" vertical="center" wrapText="1"/>
    </xf>
    <xf numFmtId="49" fontId="32" fillId="0" borderId="0" xfId="0" applyFont="1" applyNumberFormat="1">
      <alignment horizontal="center" vertical="center" wrapText="1"/>
    </xf>
    <xf numFmtId="0" fontId="22" fillId="0" borderId="27" xfId="0" applyFont="1" applyBorder="1" applyNumberFormat="1">
      <alignment vertical="center" wrapText="1"/>
    </xf>
    <xf numFmtId="0" fontId="48" fillId="0" borderId="0" xfId="0" applyFont="1" applyNumberFormat="1">
      <alignment vertical="center" wrapText="1"/>
    </xf>
    <xf numFmtId="0" fontId="32" fillId="0" borderId="0" xfId="0" applyFont="1" applyNumberFormat="1">
      <alignment vertical="center" wrapText="1"/>
    </xf>
    <xf numFmtId="0" fontId="50" fillId="0" borderId="0" xfId="0" applyFont="1" applyNumberFormat="1">
      <alignment horizontal="center" vertical="center" wrapText="1"/>
    </xf>
    <xf numFmtId="49" fontId="63" fillId="0" borderId="0" xfId="0" applyFont="1" applyNumberFormat="1">
      <alignment horizontal="center" vertical="center" wrapText="1"/>
    </xf>
    <xf numFmtId="0" fontId="72" fillId="0" borderId="0" xfId="0" applyFont="1" applyNumberFormat="1">
      <alignment horizontal="center" vertical="center" wrapText="1"/>
    </xf>
    <xf numFmtId="0" fontId="100" fillId="0" borderId="0" xfId="0" applyFont="1" applyNumberFormat="1">
      <alignment horizontal="center" vertical="center" wrapText="1"/>
    </xf>
    <xf numFmtId="0" fontId="101" fillId="35" borderId="0" xfId="0" applyFont="1" applyFill="1" applyNumberFormat="1">
      <alignment horizontal="right" vertical="center"/>
    </xf>
    <xf numFmtId="0" fontId="63" fillId="0" borderId="0" xfId="0" applyFont="1" applyNumberFormat="1">
      <alignment vertical="center" wrapText="1"/>
    </xf>
    <xf numFmtId="0" fontId="71" fillId="0" borderId="0" xfId="0" applyFont="1" applyNumberFormat="1">
      <alignment vertical="center" wrapText="1"/>
    </xf>
    <xf numFmtId="0" fontId="22" fillId="0" borderId="12" xfId="0" applyFont="1" applyBorder="1" applyNumberFormat="1">
      <alignment horizontal="center" vertical="center" wrapText="1"/>
    </xf>
    <xf numFmtId="49" fontId="48" fillId="0" borderId="0" xfId="0" applyFont="1" applyNumberFormat="1">
      <alignment horizontal="center" vertical="center" wrapText="1"/>
    </xf>
    <xf numFmtId="49" fontId="48" fillId="0" borderId="0" xfId="0" applyFont="1" applyNumberFormat="1">
      <alignment horizontal="center" vertical="center" wrapText="1"/>
    </xf>
    <xf numFmtId="49" fontId="32" fillId="0" borderId="0" xfId="0" applyFont="1" applyNumberFormat="1">
      <alignment horizontal="center" vertical="center" wrapText="1"/>
    </xf>
    <xf numFmtId="49" fontId="22" fillId="0" borderId="0" xfId="0" applyFont="1" applyNumberFormat="1">
      <alignment horizontal="center" vertical="center" wrapText="1"/>
    </xf>
    <xf numFmtId="4" fontId="22" fillId="0" borderId="0" xfId="0" applyFont="1" applyNumberFormat="1">
      <alignment horizontal="right" vertical="center" wrapText="1"/>
    </xf>
    <xf numFmtId="9" fontId="50" fillId="0" borderId="0" xfId="0" applyFont="1" applyNumberFormat="1">
      <alignment horizontal="center" vertical="center" wrapText="1"/>
    </xf>
    <xf numFmtId="0" fontId="71" fillId="0" borderId="0" xfId="0" applyFont="1" applyNumberFormat="1">
      <alignment vertical="center" wrapText="1"/>
    </xf>
    <xf numFmtId="0" fontId="48" fillId="0" borderId="0" xfId="0" applyFont="1" applyNumberFormat="1">
      <alignment vertical="center" wrapText="1"/>
    </xf>
    <xf numFmtId="0" fontId="32" fillId="0" borderId="0" xfId="0" applyFont="1" applyNumberFormat="1">
      <alignment vertical="center" wrapText="1"/>
    </xf>
    <xf numFmtId="0" fontId="0" fillId="0" borderId="0" xfId="0" applyFont="1" applyNumberFormat="1">
      <alignment vertical="top"/>
    </xf>
    <xf numFmtId="49" fontId="0" fillId="0" borderId="0" xfId="0" applyFont="1" applyNumberFormat="1">
      <alignment vertical="top"/>
    </xf>
    <xf numFmtId="49" fontId="48" fillId="0" borderId="17" xfId="0" applyFont="1" applyBorder="1" applyNumberFormat="1">
      <alignment horizontal="center" vertical="center" wrapText="1"/>
    </xf>
    <xf numFmtId="0" fontId="0" fillId="0" borderId="14" xfId="0" applyFont="1" applyBorder="1" applyNumberFormat="1">
      <alignment horizontal="right" vertical="center" wrapText="1" indent="1"/>
    </xf>
    <xf numFmtId="0" fontId="0" fillId="0" borderId="15" xfId="0" applyFont="1" applyBorder="1" applyNumberFormat="1">
      <alignment horizontal="right" vertical="center" wrapText="1" indent="1"/>
    </xf>
    <xf numFmtId="0" fontId="0" fillId="0" borderId="13" xfId="0" applyFont="1" applyBorder="1" applyNumberFormat="1">
      <alignment horizontal="right" vertical="center" wrapText="1" indent="1"/>
    </xf>
    <xf numFmtId="0" fontId="0" fillId="34" borderId="12" xfId="0" applyFont="1" applyFill="1" applyBorder="1" applyNumberFormat="1">
      <alignment horizontal="left" vertical="center" wrapText="1" indent="1"/>
    </xf>
    <xf numFmtId="0" fontId="22" fillId="0" borderId="13" xfId="0" applyFont="1" applyBorder="1" applyNumberFormat="1">
      <alignment horizontal="left" vertical="center" wrapText="1" indent="1"/>
    </xf>
    <xf numFmtId="49" fontId="48" fillId="0" borderId="22" xfId="0" applyFont="1" applyBorder="1" applyNumberFormat="1">
      <alignment vertical="top"/>
    </xf>
    <xf numFmtId="49" fontId="48" fillId="0" borderId="0" xfId="0" applyFont="1" applyNumberFormat="1">
      <alignment vertical="top"/>
    </xf>
    <xf numFmtId="49" fontId="47" fillId="0" borderId="0" xfId="0" applyFont="1" applyNumberFormat="1">
      <alignment vertical="top"/>
    </xf>
    <xf numFmtId="49" fontId="48" fillId="0" borderId="0" xfId="0" applyFont="1" applyNumberFormat="1">
      <alignment vertical="top"/>
    </xf>
    <xf numFmtId="49" fontId="47" fillId="0" borderId="0" xfId="0" applyFont="1" applyNumberFormat="1">
      <alignment vertical="top"/>
    </xf>
    <xf numFmtId="0" fontId="47" fillId="0" borderId="0" xfId="0" applyFont="1" applyNumberFormat="1">
      <alignment horizontal="center" vertical="top"/>
    </xf>
    <xf numFmtId="49" fontId="47" fillId="0" borderId="0" xfId="0" applyFont="1" applyNumberFormat="1">
      <alignment vertical="top"/>
    </xf>
    <xf numFmtId="0" fontId="47" fillId="0" borderId="0" xfId="0" applyFont="1" applyNumberFormat="1">
      <alignment vertical="top"/>
    </xf>
    <xf numFmtId="0" fontId="74" fillId="0" borderId="0" xfId="0" applyFont="1" applyNumberFormat="1">
      <alignment vertical="top"/>
    </xf>
    <xf numFmtId="0" fontId="87" fillId="0" borderId="0" xfId="0" applyFont="1" applyNumberFormat="1">
      <alignment vertical="top"/>
    </xf>
    <xf numFmtId="49" fontId="48" fillId="0" borderId="36" xfId="0" applyFont="1" applyBorder="1" applyNumberFormat="1">
      <alignment horizontal="center" vertical="center" wrapText="1"/>
    </xf>
    <xf numFmtId="0" fontId="47" fillId="0" borderId="0" xfId="0" applyFont="1" applyNumberFormat="1">
      <alignment horizontal="center" vertical="center" wrapText="1"/>
    </xf>
    <xf numFmtId="0" fontId="22" fillId="0" borderId="23" xfId="0" applyFont="1" applyBorder="1" applyNumberFormat="1">
      <alignment horizontal="left" vertical="center" wrapText="1"/>
    </xf>
    <xf numFmtId="2" fontId="22" fillId="0" borderId="23" xfId="0" applyFont="1" applyBorder="1" applyNumberFormat="1">
      <alignment horizontal="center" vertical="center" wrapText="1"/>
    </xf>
    <xf numFmtId="0" fontId="22" fillId="0" borderId="12" xfId="0" applyFont="1" applyBorder="1" applyNumberFormat="1">
      <alignment horizontal="left" vertical="center" wrapText="1"/>
    </xf>
    <xf numFmtId="49" fontId="48" fillId="0" borderId="22" xfId="0" applyFont="1" applyBorder="1" applyNumberFormat="1">
      <alignment vertical="top"/>
    </xf>
    <xf numFmtId="0" fontId="48" fillId="0" borderId="0" xfId="0" applyFont="1" applyNumberFormat="1">
      <alignment horizontal="center" vertical="center" wrapText="1"/>
    </xf>
    <xf numFmtId="0" fontId="48" fillId="0" borderId="0" xfId="0" applyFont="1" applyNumberFormat="1">
      <alignment horizontal="center" vertical="center" wrapText="1"/>
    </xf>
    <xf numFmtId="0" fontId="48" fillId="0" borderId="12" xfId="0" applyFont="1" applyBorder="1" applyNumberFormat="1">
      <alignment horizontal="left" vertical="center" wrapText="1"/>
    </xf>
    <xf numFmtId="0" fontId="48" fillId="0" borderId="12" xfId="0" applyFont="1" applyBorder="1" applyNumberFormat="1">
      <alignment vertical="center" wrapText="1"/>
    </xf>
    <xf numFmtId="0" fontId="48" fillId="0" borderId="22" xfId="0" applyFont="1" applyBorder="1" applyNumberFormat="1">
      <alignment vertical="center" wrapText="1"/>
    </xf>
    <xf numFmtId="49" fontId="40" fillId="37" borderId="14" xfId="0" applyFont="1" applyFill="1" applyBorder="1" applyNumberFormat="1">
      <alignment horizontal="left" vertical="center"/>
    </xf>
    <xf numFmtId="49" fontId="40" fillId="37" borderId="15" xfId="0" applyFont="1" applyFill="1" applyBorder="1" applyNumberFormat="1">
      <alignment horizontal="left" vertical="center" indent="1"/>
    </xf>
    <xf numFmtId="49" fontId="40" fillId="37" borderId="15" xfId="0" applyFont="1" applyFill="1" applyBorder="1" applyNumberFormat="1">
      <alignment horizontal="left" vertical="center"/>
    </xf>
    <xf numFmtId="49" fontId="40" fillId="37" borderId="13" xfId="0" applyFont="1" applyFill="1" applyBorder="1" applyNumberFormat="1">
      <alignment horizontal="left" vertical="center" indent="1"/>
    </xf>
    <xf numFmtId="0" fontId="22" fillId="0" borderId="23" xfId="0" applyFont="1" applyBorder="1" applyNumberFormat="1">
      <alignment horizontal="left" vertical="center" wrapText="1"/>
    </xf>
    <xf numFmtId="0" fontId="22" fillId="0" borderId="12" xfId="0" applyFont="1" applyBorder="1" applyNumberFormat="1">
      <alignment horizontal="left" vertical="center" wrapText="1"/>
    </xf>
    <xf numFmtId="0" fontId="47" fillId="0" borderId="0" xfId="0" applyFont="1" applyNumberFormat="1">
      <alignment horizontal="center" vertical="top"/>
    </xf>
    <xf numFmtId="0" fontId="48" fillId="0" borderId="0" xfId="0" applyFont="1" applyNumberFormat="1">
      <alignment horizontal="center" vertical="center" wrapText="1"/>
    </xf>
    <xf numFmtId="49" fontId="48" fillId="0" borderId="23" xfId="0" applyFont="1" applyBorder="1" applyNumberFormat="1">
      <alignment horizontal="center" vertical="center" wrapText="1"/>
    </xf>
    <xf numFmtId="49" fontId="40" fillId="0" borderId="19" xfId="0" applyFont="1" applyBorder="1" applyNumberFormat="1">
      <alignment horizontal="right" vertical="center"/>
    </xf>
    <xf numFmtId="0" fontId="22" fillId="0" borderId="0" xfId="0" applyFont="1" applyNumberFormat="1">
      <alignment horizontal="right" vertical="center" wrapText="1"/>
    </xf>
    <xf numFmtId="0" fontId="0" fillId="0" borderId="0" xfId="0" applyFont="1" applyNumberFormat="1">
      <alignment vertical="center"/>
    </xf>
    <xf numFmtId="0" fontId="45" fillId="0" borderId="0" xfId="0" applyFont="1" applyNumberFormat="1">
      <alignment horizontal="right" vertical="top" wrapText="1"/>
    </xf>
    <xf numFmtId="0" fontId="45" fillId="0" borderId="0" xfId="0" applyFont="1" applyNumberFormat="1">
      <alignment horizontal="left" vertical="top" wrapText="1"/>
    </xf>
    <xf numFmtId="49" fontId="32" fillId="0" borderId="0" xfId="0" applyFont="1" applyNumberFormat="1">
      <alignment horizontal="center" vertical="center" wrapText="1"/>
    </xf>
    <xf numFmtId="0" fontId="47" fillId="55" borderId="12" xfId="0" applyFont="1" applyFill="1" applyBorder="1" applyNumberFormat="1">
      <alignment horizontal="left" vertical="center" wrapText="1"/>
    </xf>
    <xf numFmtId="0" fontId="22" fillId="54" borderId="12" xfId="0" applyFont="1" applyFill="1" applyBorder="1" applyNumberFormat="1">
      <alignment vertical="center"/>
    </xf>
    <xf numFmtId="49" fontId="0" fillId="7" borderId="12" xfId="0" applyFont="1" applyFill="1" applyBorder="1" applyNumberFormat="1">
      <alignment horizontal="center" vertical="center" wrapText="1"/>
    </xf>
    <xf numFmtId="49" fontId="0" fillId="7" borderId="12" xfId="0" applyFont="1" applyFill="1" applyBorder="1" applyNumberFormat="1">
      <alignment horizontal="center" vertical="center" wrapText="1"/>
    </xf>
    <xf numFmtId="49" fontId="36"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3" xfId="0" applyFont="1" applyBorder="1" applyNumberFormat="1">
      <alignment horizontal="center" vertical="center" wrapText="1"/>
    </xf>
    <xf numFmtId="49" fontId="126" fillId="0" borderId="17" xfId="0" applyFont="1" applyBorder="1" applyNumberFormat="1">
      <alignment horizontal="center" vertical="center" wrapText="1"/>
    </xf>
    <xf numFmtId="49" fontId="126" fillId="0" borderId="12" xfId="0" applyFont="1" applyBorder="1" applyNumberFormat="1">
      <alignment horizontal="center" vertical="center" wrapText="1"/>
    </xf>
    <xf numFmtId="0" fontId="22" fillId="34" borderId="14" xfId="0" applyFont="1" applyFill="1" applyBorder="1" applyNumberFormat="1">
      <alignment horizontal="left" vertical="top" wrapText="1"/>
    </xf>
    <xf numFmtId="0" fontId="48" fillId="0" borderId="14" xfId="0" applyFont="1" applyBorder="1" applyNumberFormat="1">
      <alignment vertical="center" wrapText="1"/>
    </xf>
    <xf numFmtId="0" fontId="22" fillId="0" borderId="15" xfId="0" applyFont="1" applyBorder="1" applyNumberFormat="1">
      <alignment horizontal="right" vertical="center" wrapText="1" indent="1"/>
    </xf>
    <xf numFmtId="0" fontId="22" fillId="0" borderId="19" xfId="0" applyFont="1" applyBorder="1" applyNumberFormat="1">
      <alignment horizontal="right" vertical="center" wrapText="1" indent="1"/>
    </xf>
    <xf numFmtId="0" fontId="22" fillId="0" borderId="12" xfId="0" applyFont="1" applyBorder="1" applyNumberFormat="1">
      <alignment horizontal="center" vertical="center" wrapText="1"/>
    </xf>
    <xf numFmtId="0" fontId="22" fillId="0" borderId="14" xfId="0" applyFont="1" applyBorder="1" applyNumberFormat="1">
      <alignment horizontal="center" vertical="center" wrapText="1"/>
    </xf>
    <xf numFmtId="0" fontId="22" fillId="0" borderId="12" xfId="0" applyFont="1" applyBorder="1" applyNumberFormat="1">
      <alignment horizontal="center" vertical="center" wrapText="1"/>
    </xf>
    <xf numFmtId="0" fontId="91" fillId="0" borderId="0" xfId="0" applyFont="1" applyNumberFormat="1">
      <alignment horizontal="center" vertical="center" wrapText="1"/>
    </xf>
    <xf numFmtId="49" fontId="22" fillId="0" borderId="0" xfId="0" applyFont="1" applyNumberFormat="1">
      <alignment horizontal="center" vertical="center" wrapText="1"/>
    </xf>
    <xf numFmtId="49" fontId="22" fillId="0" borderId="28" xfId="0" applyFont="1" applyBorder="1" applyNumberFormat="1">
      <alignment horizontal="center" vertical="center" wrapText="1"/>
    </xf>
    <xf numFmtId="0" fontId="22" fillId="0" borderId="12" xfId="0" applyFont="1" applyBorder="1" applyNumberFormat="1">
      <alignment horizontal="left" vertical="center" wrapText="1"/>
    </xf>
    <xf numFmtId="49" fontId="53" fillId="36" borderId="14" xfId="0" applyFont="1" applyFill="1" applyBorder="1" applyNumberFormat="1">
      <alignment horizontal="left" vertical="center" wrapText="1"/>
      <protection locked="0"/>
    </xf>
    <xf numFmtId="49" fontId="22" fillId="0" borderId="57" xfId="0" applyFont="1" applyBorder="1" applyNumberFormat="1">
      <alignment horizontal="center" vertical="center" wrapText="1"/>
    </xf>
    <xf numFmtId="0" fontId="22" fillId="0" borderId="17" xfId="0" applyFont="1" applyBorder="1" applyNumberFormat="1">
      <alignment horizontal="left" vertical="center" wrapText="1"/>
    </xf>
    <xf numFmtId="0" fontId="22" fillId="0" borderId="17" xfId="0" applyFont="1" applyBorder="1" applyNumberFormat="1">
      <alignment horizontal="center" vertical="center" wrapText="1"/>
    </xf>
    <xf numFmtId="4" fontId="22" fillId="39" borderId="37" xfId="0" applyFont="1" applyFill="1" applyBorder="1" applyNumberFormat="1">
      <alignment horizontal="right" vertical="center" wrapText="1"/>
      <protection locked="0"/>
    </xf>
    <xf numFmtId="4" fontId="22" fillId="39" borderId="17" xfId="0" applyFont="1" applyFill="1" applyBorder="1" applyNumberFormat="1">
      <alignment horizontal="right" vertical="center" wrapText="1"/>
      <protection locked="0"/>
    </xf>
    <xf numFmtId="0" fontId="47" fillId="37" borderId="15" xfId="0" applyFont="1" applyFill="1" applyBorder="1" applyNumberFormat="1">
      <alignment vertical="center" wrapText="1"/>
    </xf>
    <xf numFmtId="49" fontId="22" fillId="0" borderId="58" xfId="0" applyFont="1" applyBorder="1" applyNumberFormat="1">
      <alignment horizontal="center" vertical="center" wrapText="1"/>
    </xf>
    <xf numFmtId="0" fontId="22" fillId="0" borderId="15" xfId="0" applyFont="1" applyBorder="1" applyNumberFormat="1">
      <alignment horizontal="center" vertical="center" wrapText="1"/>
    </xf>
    <xf numFmtId="4" fontId="22" fillId="39" borderId="14" xfId="0" applyFont="1" applyFill="1" applyBorder="1" applyNumberFormat="1">
      <alignment horizontal="right" vertical="center" wrapText="1"/>
      <protection locked="0"/>
    </xf>
    <xf numFmtId="49" fontId="22" fillId="0" borderId="59" xfId="0" applyFont="1" applyBorder="1" applyNumberFormat="1">
      <alignment horizontal="center" vertical="center" wrapText="1"/>
    </xf>
    <xf numFmtId="3" fontId="22" fillId="39" borderId="14" xfId="0" applyFont="1" applyFill="1" applyBorder="1" applyNumberFormat="1">
      <alignment horizontal="right" vertical="center" wrapText="1"/>
      <protection locked="0"/>
    </xf>
    <xf numFmtId="0" fontId="22" fillId="0" borderId="17" xfId="0" applyFont="1" applyBorder="1" applyNumberFormat="1">
      <alignment horizontal="left" vertical="center" wrapText="1"/>
    </xf>
    <xf numFmtId="0" fontId="22" fillId="0" borderId="37" xfId="0" applyFont="1" applyBorder="1" applyNumberFormat="1">
      <alignment horizontal="center" vertical="center" wrapText="1"/>
    </xf>
    <xf numFmtId="49" fontId="22" fillId="0" borderId="12" xfId="0" applyFont="1" applyBorder="1" applyNumberFormat="1">
      <alignment horizontal="center" vertical="center" wrapText="1"/>
    </xf>
    <xf numFmtId="0" fontId="22" fillId="0" borderId="12" xfId="0" applyFont="1" applyBorder="1" applyNumberFormat="1">
      <alignment horizontal="left" vertical="center" wrapText="1"/>
    </xf>
    <xf numFmtId="49" fontId="53" fillId="39" borderId="14" xfId="0" applyFont="1" applyFill="1" applyBorder="1" applyNumberFormat="1">
      <alignment horizontal="left" vertical="center" wrapText="1"/>
      <protection locked="0"/>
    </xf>
    <xf numFmtId="0" fontId="22" fillId="0" borderId="0" xfId="0" applyFont="1" applyNumberFormat="1">
      <alignment horizontal="left" vertical="center" wrapText="1" indent="2"/>
    </xf>
    <xf numFmtId="49" fontId="121" fillId="0" borderId="0" xfId="0" applyFont="1" applyNumberFormat="1">
      <alignment horizontal="center" vertical="center" wrapText="1"/>
    </xf>
    <xf numFmtId="49" fontId="0" fillId="35" borderId="12" xfId="0" applyFont="1" applyFill="1" applyBorder="1" applyNumberFormat="1">
      <alignment horizontal="center" vertical="center" wrapText="1"/>
    </xf>
    <xf numFmtId="49" fontId="0" fillId="39" borderId="12" xfId="0" applyFont="1" applyFill="1" applyBorder="1" applyNumberFormat="1">
      <alignment horizontal="left" vertical="center" wrapText="1" indent="1"/>
      <protection locked="0"/>
    </xf>
    <xf numFmtId="0" fontId="22" fillId="0" borderId="12" xfId="0" applyFont="1" applyBorder="1" applyNumberFormat="1">
      <alignment vertical="top" wrapText="1"/>
    </xf>
    <xf numFmtId="0" fontId="22" fillId="35" borderId="0" xfId="0" applyFont="1" applyFill="1" applyNumberFormat="1">
      <alignment horizontal="right" vertical="center" wrapText="1"/>
    </xf>
    <xf numFmtId="0" fontId="64" fillId="0" borderId="0" xfId="0" applyFont="1" applyNumberFormat="1">
      <alignment vertical="center" wrapText="1"/>
    </xf>
    <xf numFmtId="0" fontId="22" fillId="35" borderId="0" xfId="0" applyFont="1" applyFill="1" applyNumberFormat="1">
      <alignment horizontal="right" vertical="center"/>
    </xf>
    <xf numFmtId="0" fontId="22" fillId="35" borderId="14" xfId="0" applyFont="1" applyFill="1" applyBorder="1" applyNumberFormat="1">
      <alignment horizontal="center" vertical="center" wrapText="1"/>
    </xf>
    <xf numFmtId="0" fontId="22" fillId="35" borderId="15" xfId="0" applyFont="1" applyFill="1" applyBorder="1" applyNumberFormat="1">
      <alignment horizontal="center" vertical="center" wrapText="1"/>
    </xf>
    <xf numFmtId="0" fontId="22" fillId="35" borderId="20" xfId="0" applyFont="1" applyFill="1" applyBorder="1" applyNumberFormat="1">
      <alignment horizontal="center" vertical="center" wrapText="1"/>
    </xf>
    <xf numFmtId="0" fontId="22" fillId="35" borderId="12" xfId="0" applyFont="1" applyFill="1" applyBorder="1" applyNumberFormat="1">
      <alignment horizontal="center" vertical="center"/>
    </xf>
    <xf numFmtId="0" fontId="22" fillId="35" borderId="12" xfId="0" applyFont="1" applyFill="1" applyBorder="1" applyNumberFormat="1">
      <alignment horizontal="center" vertical="center" wrapText="1"/>
    </xf>
    <xf numFmtId="0" fontId="0" fillId="0" borderId="12" xfId="0" applyFont="1" applyBorder="1" applyNumberFormat="1">
      <alignment horizontal="center" vertical="center" wrapText="1"/>
    </xf>
    <xf numFmtId="0" fontId="0" fillId="0" borderId="14" xfId="0" applyFont="1" applyBorder="1" applyNumberFormat="1">
      <alignment horizontal="center" vertical="center" wrapText="1"/>
    </xf>
    <xf numFmtId="0" fontId="0" fillId="0" borderId="12" xfId="0" applyFont="1" applyBorder="1" applyNumberFormat="1">
      <alignment horizontal="center" vertical="center" wrapText="1"/>
    </xf>
    <xf numFmtId="0" fontId="0" fillId="0" borderId="12" xfId="0" applyFont="1" applyBorder="1" applyNumberFormat="1">
      <alignment horizontal="left" vertical="top" wrapText="1"/>
    </xf>
    <xf numFmtId="0" fontId="0" fillId="0" borderId="12" xfId="0" applyFont="1" applyBorder="1" applyNumberFormat="1">
      <alignment horizontal="left" vertical="center" wrapText="1"/>
    </xf>
    <xf numFmtId="49" fontId="22" fillId="0" borderId="0" xfId="0" applyFont="1" applyNumberFormat="1">
      <alignment vertical="top"/>
    </xf>
    <xf numFmtId="0" fontId="22" fillId="37" borderId="14" xfId="0" applyFont="1" applyFill="1" applyBorder="1" applyNumberFormat="1">
      <alignment vertical="center" wrapText="1"/>
    </xf>
    <xf numFmtId="49" fontId="44" fillId="37" borderId="13" xfId="0" applyFont="1" applyFill="1" applyBorder="1" applyNumberFormat="1">
      <alignment horizontal="center" vertical="top"/>
    </xf>
    <xf numFmtId="49" fontId="40" fillId="0" borderId="19" xfId="0" applyFont="1" applyBorder="1" applyNumberFormat="1">
      <alignment horizontal="left" vertical="center"/>
    </xf>
    <xf numFmtId="49" fontId="40" fillId="0" borderId="19" xfId="0" applyFont="1" applyBorder="1" applyNumberFormat="1">
      <alignment horizontal="left" vertical="center" indent="2"/>
    </xf>
    <xf numFmtId="49" fontId="44" fillId="0" borderId="19" xfId="0" applyFont="1" applyBorder="1" applyNumberFormat="1">
      <alignment horizontal="center" vertical="top"/>
    </xf>
    <xf numFmtId="0" fontId="22" fillId="0" borderId="0" xfId="0" applyFont="1" applyNumberFormat="1">
      <alignment horizontal="left" vertical="top" wrapText="1"/>
    </xf>
    <xf numFmtId="0" fontId="22" fillId="0" borderId="0" xfId="0" applyFont="1" applyNumberFormat="1">
      <alignment horizontal="right" vertical="top" wrapText="1"/>
    </xf>
    <xf numFmtId="0" fontId="22" fillId="0" borderId="0" xfId="0" applyFont="1" applyNumberFormat="1">
      <alignment horizontal="left" vertical="top" wrapText="1"/>
    </xf>
    <xf numFmtId="49" fontId="22" fillId="0" borderId="0" xfId="0" applyFont="1" applyNumberFormat="1">
      <alignment vertical="center" wrapText="1"/>
    </xf>
    <xf numFmtId="49" fontId="22" fillId="0" borderId="0" xfId="0" applyFont="1" applyNumberFormat="1">
      <alignment vertical="center" wrapText="1"/>
    </xf>
    <xf numFmtId="49" fontId="22" fillId="0" borderId="0" xfId="0" applyFont="1" applyNumberFormat="1">
      <alignment vertical="center" wrapText="1"/>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34" borderId="14" xfId="0" applyFont="1" applyFill="1" applyBorder="1" applyNumberFormat="1">
      <alignment horizontal="left" vertical="top" wrapText="1"/>
    </xf>
    <xf numFmtId="0" fontId="48" fillId="0" borderId="15" xfId="0" applyFont="1" applyBorder="1" applyNumberFormat="1">
      <alignment horizontal="right" vertical="center" wrapText="1" indent="1"/>
    </xf>
    <xf numFmtId="0" fontId="48" fillId="0" borderId="13" xfId="0" applyFont="1" applyBorder="1" applyNumberFormat="1">
      <alignment horizontal="right" vertical="center" wrapText="1" indent="1"/>
    </xf>
    <xf numFmtId="0" fontId="48" fillId="0" borderId="14" xfId="0" applyFont="1" applyBorder="1" applyNumberFormat="1">
      <alignment horizontal="left" vertical="top" wrapText="1"/>
    </xf>
    <xf numFmtId="0" fontId="22" fillId="0" borderId="15" xfId="0" applyFont="1" applyBorder="1" applyNumberFormat="1">
      <alignment horizontal="right" vertical="center" wrapText="1" indent="1"/>
    </xf>
    <xf numFmtId="0" fontId="22" fillId="0" borderId="12" xfId="0" applyFont="1" applyBorder="1" applyNumberFormat="1">
      <alignment horizontal="center" vertical="center" wrapText="1"/>
    </xf>
    <xf numFmtId="0" fontId="22" fillId="0" borderId="12" xfId="0" applyFont="1" applyBorder="1" applyNumberFormat="1">
      <alignment horizontal="left" vertical="center" wrapText="1"/>
    </xf>
    <xf numFmtId="0" fontId="22" fillId="0" borderId="12" xfId="0" applyFont="1" applyBorder="1" applyNumberFormat="1">
      <alignment horizontal="left" vertical="center" wrapText="1" indent="1"/>
    </xf>
    <xf numFmtId="0" fontId="22" fillId="0" borderId="13" xfId="0" applyFont="1" applyBorder="1" applyNumberFormat="1">
      <alignment horizontal="center" vertical="center" wrapText="1"/>
    </xf>
    <xf numFmtId="0" fontId="22" fillId="0" borderId="13" xfId="0" applyFont="1" applyBorder="1" applyNumberFormat="1">
      <alignment horizontal="center" vertical="center" wrapText="1"/>
    </xf>
    <xf numFmtId="0" fontId="22" fillId="0" borderId="17" xfId="0" applyFont="1" applyBorder="1" applyNumberFormat="1">
      <alignment horizontal="center" vertical="center" wrapText="1"/>
    </xf>
    <xf numFmtId="49" fontId="40" fillId="37" borderId="19" xfId="0" applyFont="1" applyFill="1" applyBorder="1" applyNumberFormat="1">
      <alignment horizontal="left" vertical="center" indent="2"/>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34" borderId="14" xfId="0" applyFont="1" applyFill="1" applyBorder="1" applyNumberFormat="1">
      <alignment horizontal="left" vertical="top" wrapText="1"/>
    </xf>
    <xf numFmtId="0" fontId="22" fillId="0" borderId="15" xfId="0" applyFont="1" applyBorder="1" applyNumberFormat="1">
      <alignment horizontal="right" vertical="center" wrapText="1" indent="1"/>
    </xf>
    <xf numFmtId="0" fontId="22" fillId="0" borderId="12" xfId="0" applyFont="1" applyBorder="1" applyNumberFormat="1">
      <alignment horizontal="center" vertical="center" wrapText="1"/>
    </xf>
    <xf numFmtId="0" fontId="22" fillId="0" borderId="17" xfId="0" applyFont="1" applyBorder="1" applyNumberFormat="1">
      <alignment horizontal="left" vertical="center" wrapText="1"/>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0" fontId="22" fillId="0" borderId="17" xfId="0" applyFont="1" applyBorder="1" applyNumberFormat="1">
      <alignment horizontal="left" vertical="center" wrapText="1" indent="1"/>
    </xf>
    <xf numFmtId="0" fontId="22" fillId="0" borderId="17" xfId="0" applyFont="1" applyBorder="1" applyNumberFormat="1">
      <alignment horizontal="center" vertical="center" wrapText="1"/>
    </xf>
    <xf numFmtId="49" fontId="0" fillId="0" borderId="12" xfId="0" applyFont="1" applyBorder="1" applyNumberFormat="1">
      <alignment vertical="center" wrapText="1"/>
    </xf>
    <xf numFmtId="49" fontId="0" fillId="0" borderId="12" xfId="0" applyFont="1" applyBorder="1" applyNumberFormat="1">
      <alignment horizontal="left" vertical="center" wrapText="1" indent="1"/>
    </xf>
    <xf numFmtId="49" fontId="47" fillId="0" borderId="0" xfId="0" applyFont="1" applyNumberFormat="1">
      <alignment horizontal="center" vertical="center" wrapText="1"/>
    </xf>
    <xf numFmtId="49" fontId="47" fillId="0" borderId="0" xfId="0" applyFont="1" applyNumberFormat="1">
      <alignment horizontal="center" vertical="center" wrapText="1"/>
    </xf>
    <xf numFmtId="0" fontId="48" fillId="0" borderId="27" xfId="0" applyFont="1" applyBorder="1" applyNumberFormat="1">
      <alignment vertical="center" wrapText="1"/>
    </xf>
    <xf numFmtId="0" fontId="22" fillId="34" borderId="14" xfId="0" applyFont="1" applyFill="1" applyBorder="1" applyNumberFormat="1">
      <alignment horizontal="left" vertical="top" wrapText="1"/>
    </xf>
    <xf numFmtId="0" fontId="22" fillId="34" borderId="13" xfId="0" applyFont="1" applyFill="1" applyBorder="1" applyNumberFormat="1">
      <alignment horizontal="left" vertical="top" wrapText="1"/>
    </xf>
    <xf numFmtId="49" fontId="47" fillId="0" borderId="0" xfId="0" applyFont="1" applyNumberFormat="1">
      <alignment horizontal="center" vertical="center" wrapText="1"/>
    </xf>
    <xf numFmtId="49" fontId="47" fillId="0" borderId="0" xfId="0" applyFont="1" applyNumberFormat="1">
      <alignment horizontal="center" vertical="center" wrapText="1"/>
    </xf>
    <xf numFmtId="0" fontId="22" fillId="0" borderId="0" xfId="0" applyFont="1" applyNumberFormat="1">
      <alignment vertical="top" wrapText="1"/>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14" xfId="0" applyFont="1" applyBorder="1" applyNumberFormat="1">
      <alignment horizontal="center" vertical="center" wrapText="1"/>
    </xf>
    <xf numFmtId="0" fontId="22" fillId="0" borderId="0" xfId="0" applyFont="1" applyNumberFormat="1">
      <alignment horizontal="left" vertical="top" wrapText="1"/>
    </xf>
    <xf numFmtId="49" fontId="48" fillId="0" borderId="0" xfId="0" applyFont="1" applyNumberFormat="1">
      <alignment horizontal="center" vertical="center" wrapText="1"/>
    </xf>
    <xf numFmtId="0" fontId="48" fillId="0" borderId="0" xfId="0" applyFont="1" applyNumberFormat="1">
      <alignment horizontal="center" vertical="center" wrapText="1"/>
    </xf>
    <xf numFmtId="49" fontId="22" fillId="57" borderId="0" xfId="0" applyFont="1" applyFill="1" applyNumberFormat="1">
      <alignment horizontal="center" vertical="center" textRotation="90" wrapText="1"/>
    </xf>
    <xf numFmtId="49" fontId="22" fillId="0" borderId="12" xfId="0" applyFont="1" applyBorder="1" applyNumberFormat="1">
      <alignment horizontal="center" vertical="center" wrapText="1"/>
    </xf>
    <xf numFmtId="0" fontId="22" fillId="0" borderId="12" xfId="0" applyFont="1" applyBorder="1" applyNumberFormat="1">
      <alignment horizontal="left"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0" fontId="71" fillId="0" borderId="22" xfId="0" applyFont="1" applyBorder="1" applyNumberFormat="1">
      <alignment vertical="center" wrapText="1"/>
    </xf>
    <xf numFmtId="49"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49" fontId="22" fillId="36" borderId="12" xfId="0" applyFont="1" applyFill="1" applyBorder="1" applyNumberFormat="1">
      <alignment horizontal="left" vertical="center" wrapText="1"/>
      <protection locked="0"/>
    </xf>
    <xf numFmtId="3" fontId="22" fillId="36" borderId="14" xfId="0" applyFont="1" applyFill="1" applyBorder="1" applyNumberFormat="1">
      <alignment horizontal="right" vertical="center" wrapText="1"/>
      <protection locked="0"/>
    </xf>
    <xf numFmtId="4" fontId="22" fillId="36" borderId="14" xfId="0" applyFont="1" applyFill="1" applyBorder="1" applyNumberFormat="1">
      <alignment horizontal="right" vertical="center" wrapText="1"/>
      <protection locked="0"/>
    </xf>
    <xf numFmtId="49" fontId="22" fillId="39" borderId="12"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37" fillId="0" borderId="0" xfId="0" applyFont="1" applyNumberFormat="1">
      <alignment horizontal="center" vertical="center" wrapText="1"/>
    </xf>
    <xf numFmtId="0" fontId="22" fillId="0" borderId="17" xfId="0" applyFont="1" applyBorder="1" applyNumberFormat="1">
      <alignment horizontal="center" vertical="center" wrapText="1"/>
    </xf>
    <xf numFmtId="0" fontId="22" fillId="0" borderId="14" xfId="0" applyFont="1" applyBorder="1" applyNumberFormat="1">
      <alignment horizontal="center" vertical="center" wrapText="1"/>
    </xf>
    <xf numFmtId="0" fontId="83" fillId="0" borderId="0" xfId="0" applyFont="1" applyNumberFormat="1">
      <alignment vertical="center" wrapText="1"/>
    </xf>
    <xf numFmtId="0" fontId="22" fillId="0" borderId="12" xfId="0" applyFont="1" applyBorder="1" applyNumberFormat="1">
      <alignment horizontal="left" vertical="center" wrapText="1" indent="2"/>
    </xf>
    <xf numFmtId="49" fontId="22" fillId="36" borderId="14" xfId="0" applyFont="1" applyFill="1" applyBorder="1" applyNumberFormat="1">
      <alignment horizontal="left" vertical="center" wrapText="1"/>
      <protection locked="0"/>
    </xf>
    <xf numFmtId="0" fontId="22" fillId="0" borderId="0" xfId="0" applyFont="1" applyNumberFormat="1">
      <alignment vertical="top" wrapText="1"/>
    </xf>
    <xf numFmtId="0" fontId="22" fillId="0" borderId="0" xfId="0" applyFont="1" applyNumberFormat="1">
      <alignment vertical="top"/>
    </xf>
    <xf numFmtId="0" fontId="22" fillId="0" borderId="0" xfId="0" applyFont="1" applyNumberFormat="1">
      <alignment vertical="top" wrapText="1"/>
    </xf>
    <xf numFmtId="0" fontId="22" fillId="0" borderId="0" xfId="0" applyFont="1" applyNumberFormat="1">
      <alignment vertical="top"/>
    </xf>
    <xf numFmtId="49" fontId="53" fillId="0" borderId="12" xfId="0" applyFont="1" applyBorder="1" applyNumberFormat="1">
      <alignment horizontal="left" vertical="center" wrapText="1"/>
    </xf>
    <xf numFmtId="49" fontId="22" fillId="0" borderId="32" xfId="0" applyFont="1" applyBorder="1" applyNumberFormat="1">
      <alignment horizontal="center" vertical="center" wrapText="1"/>
    </xf>
    <xf numFmtId="0" fontId="22" fillId="0" borderId="32" xfId="0" applyFont="1" applyBorder="1" applyNumberFormat="1">
      <alignment horizontal="left" vertical="center" wrapText="1"/>
    </xf>
    <xf numFmtId="4" fontId="22" fillId="0" borderId="40" xfId="0" applyFont="1" applyBorder="1" applyNumberFormat="1">
      <alignment horizontal="center" vertical="center" wrapText="1"/>
    </xf>
    <xf numFmtId="49" fontId="53" fillId="0" borderId="30" xfId="0" applyFont="1" applyBorder="1" applyNumberFormat="1">
      <alignment horizontal="left" vertical="center" wrapText="1"/>
    </xf>
    <xf numFmtId="49" fontId="22" fillId="0" borderId="31" xfId="0" applyFont="1" applyBorder="1" applyNumberFormat="1">
      <alignment horizontal="center" vertical="center" wrapText="1"/>
    </xf>
    <xf numFmtId="0" fontId="22" fillId="0" borderId="33" xfId="0" applyFont="1" applyBorder="1" applyNumberFormat="1">
      <alignment horizontal="left" vertical="center" wrapText="1" indent="1"/>
    </xf>
    <xf numFmtId="4" fontId="22" fillId="39" borderId="31" xfId="0" applyFont="1" applyFill="1" applyBorder="1" applyNumberFormat="1">
      <alignment horizontal="right" vertical="center" wrapText="1"/>
      <protection locked="0"/>
    </xf>
    <xf numFmtId="49" fontId="53" fillId="0" borderId="14" xfId="0" applyFont="1" applyBorder="1" applyNumberFormat="1">
      <alignment horizontal="left" vertical="center" wrapText="1"/>
    </xf>
    <xf numFmtId="4" fontId="22" fillId="0" borderId="17"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0" fontId="22" fillId="0" borderId="33" xfId="0" applyFont="1" applyBorder="1" applyNumberFormat="1">
      <alignment horizontal="left" vertical="center" wrapText="1"/>
    </xf>
    <xf numFmtId="49" fontId="53" fillId="0" borderId="15" xfId="0" applyFont="1" applyBorder="1" applyNumberFormat="1">
      <alignment horizontal="left" vertical="center" wrapText="1"/>
    </xf>
    <xf numFmtId="0" fontId="22" fillId="0" borderId="31" xfId="0" applyFont="1" applyBorder="1" applyNumberFormat="1">
      <alignment horizontal="left" vertical="center" wrapText="1" indent="1"/>
    </xf>
    <xf numFmtId="4" fontId="22" fillId="0" borderId="32" xfId="0" applyFont="1" applyBorder="1" applyNumberFormat="1">
      <alignment horizontal="center" vertical="center" wrapText="1"/>
    </xf>
    <xf numFmtId="0" fontId="22" fillId="0" borderId="31" xfId="0" applyFont="1" applyBorder="1" applyNumberFormat="1">
      <alignment horizontal="left" vertical="center" wrapText="1"/>
    </xf>
    <xf numFmtId="0" fontId="22" fillId="0" borderId="31" xfId="0" applyFont="1" applyBorder="1" applyNumberFormat="1">
      <alignment horizontal="left" vertical="center" wrapText="1" indent="2"/>
    </xf>
    <xf numFmtId="4" fontId="22" fillId="0" borderId="31" xfId="0" applyFont="1" applyBorder="1" applyNumberFormat="1">
      <alignment horizontal="center" vertical="center" wrapText="1"/>
    </xf>
    <xf numFmtId="49" fontId="22" fillId="0" borderId="34" xfId="0" applyFont="1" applyBorder="1" applyNumberFormat="1">
      <alignment horizontal="center" vertical="center" wrapText="1"/>
    </xf>
    <xf numFmtId="49" fontId="53" fillId="39" borderId="12" xfId="0" applyFont="1" applyFill="1" applyBorder="1" applyNumberFormat="1">
      <alignment horizontal="left" vertical="center" wrapText="1"/>
      <protection locked="0"/>
    </xf>
    <xf numFmtId="0" fontId="22" fillId="0" borderId="35" xfId="0" applyFont="1" applyBorder="1" applyNumberFormat="1">
      <alignment horizontal="left" vertical="center" wrapText="1"/>
    </xf>
    <xf numFmtId="4" fontId="22" fillId="0" borderId="35" xfId="0" applyFont="1" applyBorder="1" applyNumberFormat="1">
      <alignment horizontal="center" vertical="center" wrapText="1"/>
    </xf>
    <xf numFmtId="49" fontId="53" fillId="0" borderId="37" xfId="0" applyFont="1" applyBorder="1" applyNumberFormat="1">
      <alignment horizontal="left" vertical="center" wrapText="1"/>
    </xf>
    <xf numFmtId="49" fontId="22" fillId="0" borderId="33" xfId="0" applyFont="1" applyBorder="1" applyNumberFormat="1">
      <alignment horizontal="center" vertical="center" wrapText="1"/>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 fontId="22" fillId="39" borderId="34" xfId="0" applyFont="1" applyFill="1" applyBorder="1" applyNumberFormat="1">
      <alignment horizontal="right" vertical="center" wrapText="1"/>
      <protection locked="0"/>
    </xf>
    <xf numFmtId="49" fontId="47" fillId="0" borderId="0" xfId="0" applyFont="1" applyNumberFormat="1">
      <alignment horizontal="center" vertical="center" wrapText="1"/>
    </xf>
    <xf numFmtId="0" fontId="47" fillId="0" borderId="0" xfId="0" applyFont="1" applyNumberFormat="1">
      <alignment horizontal="center" vertical="center" wrapText="1"/>
    </xf>
    <xf numFmtId="49" fontId="22" fillId="0" borderId="0" xfId="0" applyFont="1" applyNumberFormat="1">
      <alignment vertical="center" wrapText="1"/>
    </xf>
    <xf numFmtId="0" fontId="36" fillId="0" borderId="24" xfId="0" applyFont="1" applyBorder="1" applyNumberFormat="1">
      <alignment horizontal="center" vertical="center" wrapText="1"/>
    </xf>
    <xf numFmtId="0" fontId="0" fillId="0" borderId="14" xfId="0" applyFont="1" applyBorder="1" applyNumberFormat="1">
      <alignment horizontal="center" vertical="center"/>
    </xf>
    <xf numFmtId="0" fontId="22" fillId="0" borderId="13" xfId="0" applyFont="1" applyBorder="1" applyNumberFormat="1">
      <alignment horizontal="center" vertical="center" wrapText="1"/>
    </xf>
    <xf numFmtId="504" fontId="0" fillId="36"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0" fontId="22" fillId="0" borderId="0" xfId="0" applyFont="1" applyNumberFormat="1">
      <alignment horizontal="left" vertical="center" wrapText="1"/>
    </xf>
    <xf numFmtId="0" fontId="22" fillId="34" borderId="14" xfId="0" applyFont="1" applyFill="1" applyBorder="1" applyNumberFormat="1">
      <alignment horizontal="left" vertical="top" wrapText="1" indent="1"/>
    </xf>
    <xf numFmtId="0" fontId="22" fillId="34" borderId="13" xfId="0" applyFont="1" applyFill="1" applyBorder="1" applyNumberFormat="1">
      <alignment horizontal="left" vertical="top" wrapText="1" indent="1"/>
    </xf>
    <xf numFmtId="0" fontId="22" fillId="0" borderId="15" xfId="0" applyFont="1" applyBorder="1" applyNumberFormat="1">
      <alignment horizontal="right" vertical="center" wrapText="1" indent="1"/>
    </xf>
    <xf numFmtId="0" fontId="22" fillId="0" borderId="13" xfId="0" applyFont="1" applyBorder="1" applyNumberFormat="1">
      <alignment horizontal="right" vertical="center" wrapText="1" indent="1"/>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14" xfId="0" applyFont="1" applyBorder="1" applyNumberFormat="1">
      <alignment horizontal="center" vertical="center" wrapText="1"/>
    </xf>
    <xf numFmtId="0" fontId="36" fillId="0" borderId="0" xfId="0" applyFont="1" applyNumberFormat="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0" borderId="13" xfId="0" applyFont="1" applyBorder="1" applyNumberFormat="1">
      <alignment horizontal="center" vertical="center" wrapText="1"/>
    </xf>
    <xf numFmtId="0" fontId="22" fillId="0" borderId="13" xfId="0" applyFont="1" applyBorder="1" applyNumberFormat="1">
      <alignment horizontal="center" vertical="center" wrapText="1"/>
    </xf>
    <xf numFmtId="0" fontId="22" fillId="37" borderId="19" xfId="0" applyFont="1" applyFill="1" applyBorder="1" applyNumberFormat="1">
      <alignment vertical="center" wrapText="1"/>
    </xf>
    <xf numFmtId="0" fontId="22" fillId="0" borderId="15" xfId="0" applyFont="1" applyBorder="1" applyNumberFormat="1">
      <alignment horizontal="center" vertical="center" wrapText="1"/>
    </xf>
    <xf numFmtId="49" fontId="22" fillId="40" borderId="12" xfId="0" applyFont="1" applyFill="1" applyBorder="1" applyNumberFormat="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pplyNumberFormat="1">
      <alignment horizontal="center" vertical="center" wrapText="1"/>
    </xf>
    <xf numFmtId="0" fontId="22" fillId="0" borderId="13" xfId="0" applyFont="1" applyBorder="1" applyNumberFormat="1">
      <alignment vertical="center" wrapText="1"/>
    </xf>
    <xf numFmtId="0" fontId="22" fillId="37" borderId="27" xfId="0" applyFont="1" applyFill="1" applyBorder="1" applyNumberFormat="1">
      <alignment vertical="center" wrapText="1"/>
    </xf>
    <xf numFmtId="0" fontId="36" fillId="0" borderId="0" xfId="0" applyFont="1" applyNumberFormat="1">
      <alignment horizontal="center" vertical="center" wrapText="1"/>
    </xf>
    <xf numFmtId="0" fontId="36" fillId="0" borderId="0" xfId="0" applyFont="1" applyNumberFormat="1">
      <alignment horizontal="center" vertical="center" wrapText="1"/>
    </xf>
    <xf numFmtId="0" fontId="83" fillId="0" borderId="0" xfId="0" applyFont="1" applyNumberFormat="1">
      <alignment vertical="center" wrapText="1"/>
    </xf>
    <xf numFmtId="49" fontId="47" fillId="0" borderId="0" xfId="0" applyFont="1" applyNumberFormat="1">
      <alignment horizontal="center" vertical="center" wrapText="1"/>
    </xf>
    <xf numFmtId="0" fontId="22" fillId="0" borderId="0" xfId="0" applyFont="1" applyNumberFormat="1">
      <alignment vertical="center" wrapText="1"/>
    </xf>
    <xf numFmtId="49" fontId="47" fillId="0" borderId="0" xfId="0" applyFont="1" applyNumberFormat="1">
      <alignment horizontal="center" vertical="center" wrapText="1"/>
    </xf>
    <xf numFmtId="0" fontId="22" fillId="0" borderId="0" xfId="0" applyFont="1" applyNumberFormat="1">
      <alignment vertical="center" wrapText="1"/>
    </xf>
    <xf numFmtId="49" fontId="47" fillId="0" borderId="0" xfId="0" applyFont="1" applyNumberFormat="1">
      <alignment horizontal="center" vertical="center" wrapText="1"/>
    </xf>
    <xf numFmtId="49" fontId="98" fillId="0" borderId="0" xfId="0" applyFont="1" applyNumberFormat="1">
      <alignment horizontal="center" vertical="center" wrapText="1"/>
    </xf>
    <xf numFmtId="0" fontId="0" fillId="35" borderId="14" xfId="0" applyFont="1" applyFill="1" applyBorder="1" applyNumberFormat="1">
      <alignment horizontal="center" vertical="center" wrapText="1"/>
    </xf>
    <xf numFmtId="0" fontId="0" fillId="35" borderId="15" xfId="0" applyFont="1" applyFill="1" applyBorder="1" applyNumberFormat="1">
      <alignment horizontal="center" vertical="center" wrapText="1"/>
    </xf>
    <xf numFmtId="0" fontId="0" fillId="35" borderId="13" xfId="0" applyFont="1" applyFill="1" applyBorder="1" applyNumberFormat="1">
      <alignment horizontal="center" vertical="center" wrapText="1"/>
    </xf>
    <xf numFmtId="0" fontId="0" fillId="35" borderId="17" xfId="0" applyFont="1" applyFill="1" applyBorder="1" applyNumberFormat="1">
      <alignment horizontal="center" vertical="center" wrapText="1"/>
    </xf>
    <xf numFmtId="0" fontId="22" fillId="35" borderId="17" xfId="0" applyFont="1" applyFill="1" applyBorder="1" applyNumberFormat="1">
      <alignment horizontal="center" vertical="center" wrapText="1"/>
    </xf>
    <xf numFmtId="0" fontId="0" fillId="35" borderId="17" xfId="0" applyFont="1" applyFill="1" applyBorder="1" applyNumberFormat="1">
      <alignment horizontal="center" vertical="center" wrapText="1"/>
    </xf>
    <xf numFmtId="0" fontId="0" fillId="35" borderId="37" xfId="0" applyFont="1" applyFill="1" applyBorder="1" applyNumberFormat="1">
      <alignment horizontal="center" vertical="center" wrapText="1"/>
    </xf>
    <xf numFmtId="0" fontId="22" fillId="0" borderId="12" xfId="0" applyFont="1" applyBorder="1" applyNumberFormat="1">
      <alignment horizontal="center" vertical="center" wrapText="1"/>
    </xf>
    <xf numFmtId="0" fontId="48" fillId="0" borderId="0" xfId="0" applyFont="1" applyNumberFormat="1">
      <alignment horizontal="center" vertical="center" wrapText="1"/>
    </xf>
    <xf numFmtId="49" fontId="48" fillId="0" borderId="12" xfId="0" applyFont="1" applyBorder="1" applyNumberFormat="1">
      <alignment horizontal="center" vertical="center" wrapText="1"/>
    </xf>
    <xf numFmtId="0" fontId="0" fillId="0" borderId="12" xfId="0" applyFont="1" applyBorder="1" applyNumberFormat="1">
      <alignment horizontal="left" vertical="center" wrapText="1" indent="1"/>
    </xf>
    <xf numFmtId="49" fontId="0" fillId="0" borderId="12" xfId="0" applyFont="1" applyBorder="1" applyNumberFormat="1">
      <alignment horizontal="center" vertical="center" wrapText="1"/>
    </xf>
    <xf numFmtId="49" fontId="22" fillId="0" borderId="12" xfId="0" applyFont="1" applyBorder="1" applyNumberFormat="1">
      <alignment horizontal="left" vertical="center" wrapText="1"/>
    </xf>
    <xf numFmtId="49" fontId="48" fillId="0" borderId="0" xfId="0" applyFont="1" applyNumberFormat="1">
      <alignment horizontal="center" vertical="center" wrapText="1"/>
    </xf>
    <xf numFmtId="49" fontId="22" fillId="0" borderId="14" xfId="0" applyFont="1" applyBorder="1" applyNumberFormat="1">
      <alignment horizontal="center" vertical="center" wrapText="1"/>
    </xf>
    <xf numFmtId="49" fontId="40" fillId="37" borderId="14" xfId="0" applyFont="1" applyFill="1" applyBorder="1" applyNumberFormat="1">
      <alignment horizontal="left" vertical="center" indent="1"/>
    </xf>
    <xf numFmtId="0" fontId="22" fillId="37" borderId="29" xfId="0" applyFont="1" applyFill="1" applyBorder="1" applyNumberFormat="1">
      <alignment vertical="center" wrapText="1"/>
    </xf>
    <xf numFmtId="0" fontId="47" fillId="0" borderId="0" xfId="0" applyFont="1" applyNumberFormat="1">
      <alignment vertical="center" wrapText="1"/>
    </xf>
    <xf numFmtId="0" fontId="47" fillId="0" borderId="0" xfId="0" applyFont="1" applyNumberFormat="1">
      <alignment vertical="center" wrapText="1"/>
    </xf>
    <xf numFmtId="0" fontId="47" fillId="0" borderId="0" xfId="0" applyFont="1" applyNumberFormat="1">
      <alignment vertical="center" wrapText="1"/>
    </xf>
    <xf numFmtId="0" fontId="32" fillId="0" borderId="0" xfId="0" applyFont="1" applyNumberFormat="1">
      <alignment vertical="center" wrapText="1"/>
    </xf>
    <xf numFmtId="0" fontId="32" fillId="0" borderId="0" xfId="0" applyFont="1" applyNumberFormat="1">
      <alignment vertical="center" wrapText="1"/>
    </xf>
    <xf numFmtId="0" fontId="32" fillId="0" borderId="0" xfId="0" applyFont="1" applyNumberFormat="1">
      <alignment vertical="center" wrapText="1"/>
    </xf>
    <xf numFmtId="0" fontId="22" fillId="0" borderId="0" xfId="0" applyFont="1" applyNumberFormat="1">
      <alignment horizontal="left" vertical="center" wrapText="1" indent="3"/>
    </xf>
    <xf numFmtId="0" fontId="22" fillId="35" borderId="0" xfId="0" applyFont="1" applyFill="1" applyNumberFormat="1">
      <alignment vertical="center" wrapText="1"/>
    </xf>
    <xf numFmtId="0" fontId="22" fillId="35" borderId="39" xfId="0" applyFont="1" applyFill="1" applyBorder="1" applyNumberFormat="1">
      <alignment vertical="center" wrapText="1"/>
    </xf>
    <xf numFmtId="0" fontId="22" fillId="35" borderId="39" xfId="0" applyFont="1" applyFill="1" applyBorder="1" applyNumberFormat="1">
      <alignment vertical="center" wrapText="1"/>
    </xf>
    <xf numFmtId="49" fontId="73" fillId="0" borderId="39" xfId="0" applyFont="1" applyBorder="1" applyNumberFormat="1">
      <alignment vertical="top"/>
    </xf>
    <xf numFmtId="49" fontId="73" fillId="0" borderId="39" xfId="0" applyFont="1" applyBorder="1" applyNumberFormat="1">
      <alignment vertical="top"/>
    </xf>
    <xf numFmtId="0" fontId="50" fillId="35" borderId="39" xfId="0" applyFont="1" applyFill="1" applyBorder="1" applyNumberFormat="1">
      <alignment horizontal="center" wrapText="1"/>
    </xf>
    <xf numFmtId="0" fontId="50" fillId="35" borderId="39" xfId="0" applyFont="1" applyFill="1" applyBorder="1" applyNumberFormat="1">
      <alignment horizontal="center" wrapText="1"/>
    </xf>
    <xf numFmtId="0" fontId="22" fillId="35" borderId="39" xfId="0" applyFont="1" applyFill="1" applyBorder="1" applyNumberFormat="1">
      <alignment vertical="center" wrapText="1"/>
    </xf>
    <xf numFmtId="0" fontId="22" fillId="35" borderId="39" xfId="0" applyFont="1" applyFill="1" applyBorder="1" applyNumberFormat="1">
      <alignment vertical="center" wrapText="1"/>
    </xf>
    <xf numFmtId="49" fontId="22" fillId="0" borderId="0" xfId="0" applyFont="1" applyNumberFormat="1">
      <alignment vertical="top"/>
    </xf>
    <xf numFmtId="0" fontId="22" fillId="0" borderId="60" xfId="0" applyFont="1" applyBorder="1" applyNumberFormat="1">
      <alignment horizontal="center" vertical="center"/>
    </xf>
    <xf numFmtId="0" fontId="22" fillId="0" borderId="61" xfId="0" applyFont="1" applyBorder="1" applyNumberFormat="1">
      <alignment horizontal="center" vertical="center"/>
    </xf>
    <xf numFmtId="0" fontId="22" fillId="0" borderId="67" xfId="0" applyFont="1" applyBorder="1" applyNumberFormat="1">
      <alignment horizontal="center" vertical="center"/>
    </xf>
    <xf numFmtId="0" fontId="22" fillId="0" borderId="38" xfId="0" applyFont="1" applyBorder="1" applyNumberFormat="1">
      <alignment vertical="center" wrapText="1"/>
    </xf>
    <xf numFmtId="0" fontId="22" fillId="35" borderId="12" xfId="0" applyFont="1" applyFill="1" applyBorder="1" applyNumberFormat="1">
      <alignment horizontal="center" vertical="center" wrapText="1"/>
    </xf>
    <xf numFmtId="0" fontId="22" fillId="35" borderId="37" xfId="0" applyFont="1" applyFill="1" applyBorder="1" applyNumberFormat="1">
      <alignment horizontal="center" vertical="center" wrapText="1"/>
    </xf>
    <xf numFmtId="0" fontId="22" fillId="35" borderId="20" xfId="0" applyFont="1" applyFill="1" applyBorder="1" applyNumberFormat="1">
      <alignment horizontal="center" vertical="center" wrapText="1"/>
    </xf>
    <xf numFmtId="0" fontId="22" fillId="0" borderId="0" xfId="0" applyFont="1" applyNumberFormat="1">
      <alignment vertical="center" wrapText="1"/>
    </xf>
    <xf numFmtId="0" fontId="22" fillId="35" borderId="0" xfId="0" applyFont="1" applyFill="1" applyNumberFormat="1">
      <alignment vertical="center" wrapText="1"/>
    </xf>
    <xf numFmtId="0" fontId="22" fillId="35" borderId="22" xfId="0" applyFont="1" applyFill="1" applyBorder="1" applyNumberFormat="1">
      <alignment horizontal="center" vertical="center" wrapText="1"/>
    </xf>
    <xf numFmtId="0" fontId="22" fillId="35" borderId="24" xfId="0" applyFont="1" applyFill="1" applyBorder="1" applyNumberFormat="1">
      <alignment horizontal="center" vertical="center" wrapText="1"/>
    </xf>
    <xf numFmtId="49" fontId="22" fillId="0" borderId="0" xfId="0" applyFont="1" applyNumberFormat="1">
      <alignment vertical="top"/>
    </xf>
    <xf numFmtId="49" fontId="98" fillId="0" borderId="0" xfId="0" applyFont="1" applyNumberFormat="1">
      <alignment horizontal="center" vertical="center" wrapText="1"/>
    </xf>
    <xf numFmtId="0" fontId="22" fillId="35" borderId="0" xfId="0" applyFont="1" applyFill="1" applyNumberFormat="1">
      <alignment vertical="center" wrapText="1"/>
    </xf>
    <xf numFmtId="0" fontId="0" fillId="0" borderId="12" xfId="0" applyFont="1" applyBorder="1" applyNumberFormat="1">
      <alignment horizontal="center" vertical="center" wrapText="1"/>
    </xf>
    <xf numFmtId="49" fontId="22" fillId="0" borderId="0" xfId="0" applyFont="1" applyNumberFormat="1">
      <alignment vertical="top"/>
    </xf>
    <xf numFmtId="0" fontId="22" fillId="0" borderId="0" xfId="0" applyFont="1" applyNumberFormat="1">
      <alignment vertical="center" wrapText="1"/>
    </xf>
    <xf numFmtId="0" fontId="22" fillId="35" borderId="30" xfId="0" applyFont="1" applyFill="1" applyBorder="1" applyNumberFormat="1">
      <alignment horizontal="center" vertical="center" wrapText="1"/>
    </xf>
    <xf numFmtId="0" fontId="22" fillId="35" borderId="29" xfId="0" applyFont="1" applyFill="1" applyBorder="1" applyNumberFormat="1">
      <alignment horizontal="center" vertical="center" wrapText="1"/>
    </xf>
    <xf numFmtId="0" fontId="22" fillId="0" borderId="12" xfId="0" applyFont="1" applyBorder="1" applyNumberFormat="1">
      <alignment horizontal="center" vertical="center" wrapText="1"/>
    </xf>
    <xf numFmtId="0" fontId="0"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35" borderId="0" xfId="0" applyFont="1" applyFill="1" applyNumberFormat="1">
      <alignment vertical="center" wrapText="1"/>
    </xf>
    <xf numFmtId="0" fontId="22" fillId="0" borderId="0" xfId="0" applyFont="1" applyNumberFormat="1">
      <alignment vertical="center" wrapText="1"/>
    </xf>
    <xf numFmtId="0" fontId="22" fillId="0" borderId="0" xfId="0" applyFont="1" applyNumberFormat="1">
      <alignment vertical="center" wrapText="1"/>
    </xf>
    <xf numFmtId="0" fontId="22" fillId="0" borderId="0" xfId="0" applyFont="1" applyNumberFormat="1">
      <alignment vertical="center" wrapText="1"/>
    </xf>
    <xf numFmtId="0" fontId="22" fillId="0" borderId="0" xfId="0" applyFont="1" applyNumberFormat="1">
      <alignment vertical="center" wrapText="1"/>
    </xf>
    <xf numFmtId="0" fontId="22" fillId="0" borderId="0" xfId="0" applyFont="1" applyNumberFormat="1">
      <alignment vertical="center"/>
    </xf>
    <xf numFmtId="0" fontId="22" fillId="0" borderId="0" xfId="0" applyFont="1" applyNumberFormat="1">
      <alignment vertical="center"/>
    </xf>
    <xf numFmtId="49" fontId="22" fillId="0" borderId="0" xfId="0" applyFont="1" applyNumberFormat="1">
      <alignment vertical="top"/>
    </xf>
    <xf numFmtId="49" fontId="22" fillId="0" borderId="0" xfId="0" applyFont="1" applyNumberFormat="1">
      <alignment vertical="top"/>
    </xf>
    <xf numFmtId="49" fontId="22" fillId="0" borderId="0" xfId="0" applyFont="1" applyNumberFormat="1">
      <alignment vertical="top"/>
    </xf>
    <xf numFmtId="0" fontId="22" fillId="0" borderId="0" xfId="0" applyFont="1" applyNumberFormat="1">
      <alignment horizontal="left" vertical="center" wrapText="1"/>
    </xf>
    <xf numFmtId="0" fontId="22" fillId="0" borderId="0" xfId="0" applyFont="1" applyNumberFormat="1">
      <alignment vertical="center" wrapText="1"/>
    </xf>
    <xf numFmtId="0" fontId="22" fillId="0" borderId="0" xfId="0" applyFont="1" applyNumberFormat="1">
      <alignment vertical="center" wrapText="1"/>
    </xf>
    <xf numFmtId="0" fontId="22" fillId="35" borderId="0" xfId="0" applyFont="1" applyFill="1" applyNumberFormat="1">
      <alignment vertical="center" wrapText="1"/>
    </xf>
    <xf numFmtId="0" fontId="22" fillId="35" borderId="19" xfId="0" applyFont="1" applyFill="1" applyBorder="1" applyNumberFormat="1">
      <alignment vertical="center" wrapText="1"/>
    </xf>
    <xf numFmtId="49" fontId="22" fillId="0" borderId="0" xfId="0" applyFont="1" applyNumberFormat="1">
      <alignment vertical="top"/>
    </xf>
    <xf numFmtId="49" fontId="48" fillId="0" borderId="0" xfId="0" applyFont="1" applyNumberFormat="1">
      <alignment vertical="top"/>
    </xf>
    <xf numFmtId="0" fontId="48" fillId="0" borderId="39" xfId="0" applyFont="1" applyBorder="1" applyNumberFormat="1">
      <alignment vertical="center" wrapText="1"/>
    </xf>
    <xf numFmtId="0" fontId="22" fillId="0" borderId="73" xfId="0" applyFont="1" applyBorder="1" applyNumberFormat="1">
      <alignment horizontal="center" vertical="center"/>
    </xf>
    <xf numFmtId="0" fontId="22" fillId="0" borderId="43" xfId="0" applyFont="1" applyBorder="1" applyNumberFormat="1">
      <alignment horizontal="center" vertical="center"/>
    </xf>
    <xf numFmtId="0" fontId="22" fillId="0" borderId="38" xfId="0" applyFont="1" applyBorder="1" applyNumberFormat="1">
      <alignment vertical="center"/>
    </xf>
    <xf numFmtId="49" fontId="0" fillId="0" borderId="17" xfId="0" applyFont="1" applyBorder="1" applyNumberFormat="1">
      <alignment horizontal="center"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22" fillId="0" borderId="22" xfId="0" applyFont="1" applyBorder="1" applyNumberFormat="1">
      <alignment vertical="top"/>
    </xf>
    <xf numFmtId="49" fontId="0" fillId="0" borderId="36" xfId="0" applyFont="1" applyBorder="1" applyNumberFormat="1">
      <alignment horizontal="center" vertical="center" wrapText="1"/>
    </xf>
    <xf numFmtId="0" fontId="0" fillId="34" borderId="12" xfId="0" applyFont="1" applyFill="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xf>
    <xf numFmtId="49" fontId="0" fillId="34" borderId="12" xfId="0" applyFont="1" applyFill="1" applyBorder="1" applyNumberFormat="1">
      <alignment horizontal="center" vertical="center"/>
    </xf>
    <xf numFmtId="0" fontId="22" fillId="0" borderId="22" xfId="0" applyFont="1" applyBorder="1" applyNumberFormat="1">
      <alignment vertical="center" wrapText="1"/>
    </xf>
    <xf numFmtId="49" fontId="0" fillId="0" borderId="12" xfId="0" applyFont="1" applyBorder="1" applyNumberFormat="1">
      <alignment horizontal="center" vertical="center" wrapText="1"/>
    </xf>
    <xf numFmtId="49" fontId="0" fillId="0" borderId="12" xfId="0" applyFont="1" applyBorder="1" applyNumberFormat="1">
      <alignment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 fontId="0" fillId="36"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horizontal="left" vertical="center" wrapText="1"/>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49" fontId="45" fillId="0" borderId="0" xfId="0" applyFont="1" applyNumberFormat="1">
      <alignment vertical="center"/>
    </xf>
    <xf numFmtId="49" fontId="99" fillId="0" borderId="0" xfId="0" applyFont="1" applyNumberFormat="1">
      <alignment vertical="center"/>
    </xf>
    <xf numFmtId="49" fontId="45" fillId="0" borderId="0" xfId="0" applyFont="1" applyNumberFormat="1">
      <alignment vertical="center"/>
    </xf>
    <xf numFmtId="49" fontId="45" fillId="0" borderId="0" xfId="0" applyFont="1" applyNumberFormat="1">
      <alignment vertical="center"/>
    </xf>
    <xf numFmtId="49" fontId="45" fillId="0" borderId="0" xfId="0" applyFont="1" applyNumberFormat="1">
      <alignment vertical="center"/>
    </xf>
    <xf numFmtId="49" fontId="99" fillId="0" borderId="0" xfId="0" applyFont="1" applyNumberFormat="1">
      <alignment vertical="center" wrapText="1"/>
    </xf>
    <xf numFmtId="49" fontId="45" fillId="0" borderId="0" xfId="0" applyFont="1" applyNumberFormat="1">
      <alignment vertical="center" wrapText="1"/>
    </xf>
    <xf numFmtId="49" fontId="45" fillId="0" borderId="0" xfId="0" applyFont="1" applyNumberFormat="1">
      <alignment vertical="top"/>
    </xf>
    <xf numFmtId="49" fontId="45" fillId="0" borderId="0" xfId="0" applyFont="1" applyNumberFormat="1">
      <alignment vertical="center" wrapText="1"/>
    </xf>
    <xf numFmtId="49" fontId="45" fillId="0" borderId="0" xfId="0" applyFont="1" applyNumberFormat="1">
      <alignment vertical="center" wrapText="1"/>
    </xf>
    <xf numFmtId="49" fontId="22" fillId="0" borderId="0" xfId="0" applyFont="1" applyNumberFormat="1">
      <alignment horizontal="center" vertical="top" wrapText="1"/>
    </xf>
    <xf numFmtId="49" fontId="32" fillId="0" borderId="0" xfId="0" applyFont="1" applyNumberFormat="1">
      <alignment horizontal="center" vertical="top" wrapText="1"/>
    </xf>
    <xf numFmtId="49" fontId="22" fillId="35" borderId="0" xfId="0" applyFont="1" applyFill="1" applyNumberFormat="1">
      <alignment horizontal="center" vertical="top" wrapText="1"/>
    </xf>
    <xf numFmtId="0" fontId="22" fillId="0" borderId="20" xfId="0" applyFont="1" applyBorder="1" applyNumberFormat="1">
      <alignment horizontal="left" vertical="top" wrapText="1"/>
    </xf>
    <xf numFmtId="49" fontId="22" fillId="0" borderId="0" xfId="0" applyFont="1" applyNumberFormat="1">
      <alignment horizontal="center" vertical="top" wrapText="1"/>
    </xf>
    <xf numFmtId="49" fontId="22" fillId="0" borderId="0" xfId="0" applyFont="1" applyNumberFormat="1">
      <alignment horizontal="center" vertical="center" wrapText="1"/>
    </xf>
    <xf numFmtId="49" fontId="32" fillId="0" borderId="0" xfId="0" applyFont="1" applyNumberFormat="1">
      <alignment horizontal="center" vertical="center" wrapText="1"/>
    </xf>
    <xf numFmtId="49" fontId="22" fillId="35" borderId="0" xfId="0" applyFont="1" applyFill="1" applyNumberFormat="1">
      <alignment horizontal="center" vertical="center" wrapText="1"/>
    </xf>
    <xf numFmtId="49" fontId="22" fillId="0" borderId="0" xfId="0" applyFont="1" applyNumberFormat="1">
      <alignment horizontal="center" vertical="center" wrapText="1"/>
    </xf>
    <xf numFmtId="49" fontId="45" fillId="0" borderId="0" xfId="0" applyFont="1" applyNumberFormat="1">
      <alignment horizontal="center" vertical="center" wrapText="1"/>
    </xf>
    <xf numFmtId="49" fontId="99" fillId="0" borderId="0" xfId="0" applyFont="1" applyNumberFormat="1">
      <alignment horizontal="center" vertical="center" wrapText="1"/>
    </xf>
    <xf numFmtId="49" fontId="45" fillId="0" borderId="0" xfId="0" applyFont="1" applyNumberFormat="1">
      <alignment horizontal="center" vertical="center" wrapText="1"/>
    </xf>
    <xf numFmtId="0" fontId="45" fillId="0" borderId="0" xfId="0" applyFont="1" applyNumberFormat="1">
      <alignment horizontal="center" vertical="center" wrapText="1"/>
    </xf>
    <xf numFmtId="49" fontId="45" fillId="0" borderId="0" xfId="0" applyFont="1" applyNumberFormat="1">
      <alignment horizontal="center" vertical="center" wrapText="1"/>
    </xf>
    <xf numFmtId="49" fontId="99" fillId="0" borderId="0" xfId="0" applyFont="1" applyNumberFormat="1">
      <alignment horizontal="center" vertical="center" wrapText="1"/>
    </xf>
    <xf numFmtId="49" fontId="22" fillId="0" borderId="0" xfId="0" applyFont="1" applyNumberFormat="1">
      <alignment horizontal="center" vertical="center" wrapText="1"/>
    </xf>
    <xf numFmtId="0" fontId="22" fillId="0" borderId="0" xfId="0" applyFont="1" applyNumberFormat="1">
      <alignment horizontal="center" vertical="center" wrapText="1"/>
    </xf>
    <xf numFmtId="0" fontId="22" fillId="49" borderId="14" xfId="0" applyFont="1" applyFill="1" applyBorder="1" applyNumberFormat="1">
      <alignment horizontal="center" vertical="center" wrapText="1"/>
    </xf>
    <xf numFmtId="0" fontId="22" fillId="49" borderId="15" xfId="0" applyFont="1" applyFill="1" applyBorder="1" applyNumberFormat="1">
      <alignment horizontal="center" vertical="center" wrapText="1"/>
    </xf>
    <xf numFmtId="0" fontId="22" fillId="49" borderId="13" xfId="0" applyFont="1" applyFill="1" applyBorder="1" applyNumberFormat="1">
      <alignment horizontal="center" vertical="center" wrapText="1"/>
    </xf>
    <xf numFmtId="49" fontId="47" fillId="47" borderId="14" xfId="0" applyFont="1" applyFill="1" applyBorder="1" applyNumberFormat="1">
      <alignment horizontal="center" vertical="center" wrapText="1"/>
    </xf>
    <xf numFmtId="49" fontId="47" fillId="47" borderId="15" xfId="0" applyFont="1" applyFill="1" applyBorder="1" applyNumberFormat="1">
      <alignment horizontal="center" vertical="center" wrapText="1"/>
    </xf>
    <xf numFmtId="49" fontId="47" fillId="47" borderId="13" xfId="0" applyFont="1" applyFill="1" applyBorder="1" applyNumberFormat="1">
      <alignment horizontal="center" vertical="center" wrapText="1"/>
    </xf>
    <xf numFmtId="49" fontId="47" fillId="50" borderId="14" xfId="0" applyFont="1" applyFill="1" applyBorder="1" applyNumberFormat="1">
      <alignment horizontal="center" vertical="center" wrapText="1"/>
    </xf>
    <xf numFmtId="49" fontId="47" fillId="50" borderId="15" xfId="0" applyFont="1" applyFill="1" applyBorder="1" applyNumberFormat="1">
      <alignment horizontal="center" vertical="center" wrapText="1"/>
    </xf>
    <xf numFmtId="49" fontId="47" fillId="50" borderId="13"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49" fontId="45" fillId="35" borderId="0" xfId="0" applyFont="1" applyFill="1" applyNumberFormat="1">
      <alignment vertical="center" wrapText="1"/>
    </xf>
    <xf numFmtId="49" fontId="22" fillId="35" borderId="12"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0" fontId="22" fillId="41" borderId="12" xfId="0" applyFont="1" applyFill="1" applyBorder="1" applyNumberFormat="1">
      <alignment horizontal="center" vertical="center" wrapText="1"/>
    </xf>
    <xf numFmtId="0" fontId="22" fillId="41" borderId="14" xfId="0" applyFont="1" applyFill="1" applyBorder="1" applyNumberFormat="1">
      <alignment horizontal="center" vertical="center" wrapText="1"/>
    </xf>
    <xf numFmtId="0" fontId="22" fillId="35" borderId="13" xfId="0" applyFont="1" applyFill="1" applyBorder="1" applyNumberFormat="1">
      <alignment horizontal="center" vertical="center" wrapText="1"/>
    </xf>
    <xf numFmtId="0" fontId="22" fillId="41" borderId="13" xfId="0" applyFont="1" applyFill="1" applyBorder="1" applyNumberFormat="1">
      <alignment horizontal="center" vertical="center" wrapText="1"/>
    </xf>
    <xf numFmtId="49" fontId="22" fillId="0" borderId="0" xfId="0" applyFont="1" applyNumberFormat="1">
      <alignment vertical="center" wrapText="1"/>
    </xf>
    <xf numFmtId="49" fontId="45" fillId="0" borderId="0" xfId="0" applyFont="1" applyNumberFormat="1">
      <alignment vertical="top"/>
    </xf>
    <xf numFmtId="0" fontId="22" fillId="35" borderId="29" xfId="0" applyFont="1" applyFill="1" applyBorder="1" applyNumberFormat="1">
      <alignment horizontal="center" vertical="center" wrapText="1"/>
    </xf>
    <xf numFmtId="0" fontId="22" fillId="35" borderId="12" xfId="0" applyFont="1" applyFill="1" applyBorder="1" applyNumberFormat="1">
      <alignment horizontal="center" vertical="center" wrapText="1"/>
    </xf>
    <xf numFmtId="49" fontId="22" fillId="41" borderId="27" xfId="0" applyFont="1" applyFill="1" applyBorder="1" applyNumberFormat="1">
      <alignment horizontal="center" vertical="center" wrapText="1"/>
    </xf>
    <xf numFmtId="49" fontId="45" fillId="35" borderId="0" xfId="0" applyFont="1" applyFill="1" applyNumberFormat="1">
      <alignment vertical="center"/>
    </xf>
    <xf numFmtId="49" fontId="36" fillId="0" borderId="12" xfId="0" applyFont="1" applyBorder="1" applyNumberFormat="1">
      <alignment horizontal="center" vertical="center"/>
    </xf>
    <xf numFmtId="49" fontId="36" fillId="41" borderId="12" xfId="0" applyFont="1" applyFill="1" applyBorder="1" applyNumberFormat="1">
      <alignment horizontal="center" vertical="center"/>
    </xf>
    <xf numFmtId="0" fontId="36" fillId="0" borderId="12" xfId="0" applyFont="1" applyBorder="1" applyNumberFormat="1">
      <alignment horizontal="center" vertical="center"/>
    </xf>
    <xf numFmtId="49" fontId="36" fillId="0" borderId="23" xfId="0" applyFont="1" applyBorder="1" applyNumberFormat="1">
      <alignment horizontal="center" vertical="center"/>
    </xf>
    <xf numFmtId="49" fontId="22" fillId="0" borderId="0" xfId="0" applyFont="1" applyNumberFormat="1">
      <alignment vertical="center"/>
    </xf>
    <xf numFmtId="49" fontId="99" fillId="0" borderId="0" xfId="0" applyFont="1" applyNumberFormat="1">
      <alignment vertical="center"/>
    </xf>
    <xf numFmtId="49" fontId="47"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pplyNumberFormat="1">
      <alignment horizontal="right" vertical="center"/>
    </xf>
    <xf numFmtId="0" fontId="22" fillId="0" borderId="17" xfId="0" applyFont="1" applyBorder="1" applyNumberFormat="1">
      <alignment horizontal="center" vertical="center"/>
    </xf>
    <xf numFmtId="0" fontId="22" fillId="0" borderId="12" xfId="0" applyFont="1" applyBorder="1" applyNumberFormat="1">
      <alignment horizontal="right" vertical="center"/>
    </xf>
    <xf numFmtId="49" fontId="22" fillId="0" borderId="0" xfId="0" applyFont="1" applyNumberFormat="1">
      <alignment vertical="center"/>
    </xf>
    <xf numFmtId="49" fontId="45" fillId="0" borderId="0" xfId="0" applyFont="1" applyNumberFormat="1">
      <alignment vertical="top"/>
    </xf>
    <xf numFmtId="4" fontId="45" fillId="35" borderId="0" xfId="0" applyFont="1" applyFill="1" applyNumberFormat="1">
      <alignment vertical="center"/>
    </xf>
    <xf numFmtId="49" fontId="45" fillId="0" borderId="0" xfId="0" applyFont="1" applyNumberFormat="1">
      <alignment vertical="center" wrapText="1"/>
    </xf>
    <xf numFmtId="49" fontId="45" fillId="0" borderId="0" xfId="0" applyFont="1" applyNumberFormat="1">
      <alignment vertical="top"/>
    </xf>
    <xf numFmtId="0" fontId="45" fillId="0" borderId="0" xfId="0" applyFont="1" applyNumberFormat="1">
      <alignment vertical="center" wrapText="1"/>
    </xf>
    <xf numFmtId="49" fontId="94" fillId="0" borderId="0" xfId="0" applyFont="1" applyNumberFormat="1">
      <alignment vertical="center" wrapText="1"/>
    </xf>
    <xf numFmtId="49" fontId="45" fillId="0" borderId="0" xfId="0" applyFont="1" applyNumberFormat="1">
      <alignment vertical="center" wrapText="1"/>
    </xf>
    <xf numFmtId="49" fontId="99" fillId="0" borderId="0" xfId="0" applyFont="1" applyNumberFormat="1">
      <alignment vertical="center" wrapText="1"/>
    </xf>
    <xf numFmtId="49" fontId="99" fillId="0" borderId="0" xfId="0" applyFont="1" applyNumberFormat="1">
      <alignment vertical="center" wrapText="1"/>
    </xf>
    <xf numFmtId="0" fontId="36" fillId="0" borderId="0" xfId="0" applyFont="1" applyNumberFormat="1">
      <alignment horizontal="center" vertical="center" wrapText="1"/>
    </xf>
    <xf numFmtId="0" fontId="22" fillId="0" borderId="12" xfId="0" applyFont="1" applyBorder="1" applyNumberFormat="1">
      <alignment horizontal="center" vertical="center" wrapText="1"/>
    </xf>
    <xf numFmtId="0" fontId="22" fillId="34" borderId="14" xfId="0" applyFont="1" applyFill="1" applyBorder="1" applyNumberFormat="1">
      <alignment horizontal="left" vertical="top" wrapText="1" indent="1"/>
    </xf>
    <xf numFmtId="0" fontId="22" fillId="0" borderId="14" xfId="0" applyFont="1" applyBorder="1" applyNumberFormat="1">
      <alignment horizontal="center" vertical="center" wrapText="1"/>
    </xf>
    <xf numFmtId="0" fontId="22" fillId="0" borderId="12" xfId="0" applyFont="1" applyBorder="1" applyNumberFormat="1">
      <alignment horizontal="left" vertical="top" wrapText="1"/>
    </xf>
    <xf numFmtId="3" fontId="22" fillId="39" borderId="14" xfId="0" applyFont="1" applyFill="1" applyBorder="1" applyNumberFormat="1">
      <alignment vertical="center" wrapText="1"/>
      <protection locked="0"/>
    </xf>
    <xf numFmtId="0" fontId="22" fillId="0" borderId="12" xfId="0" applyFont="1" applyBorder="1" applyNumberFormat="1">
      <alignment vertical="top" wrapText="1"/>
    </xf>
    <xf numFmtId="0" fontId="22" fillId="0" borderId="12" xfId="0" applyFont="1" applyBorder="1" applyNumberFormat="1">
      <alignment horizontal="left" vertical="top" wrapText="1"/>
    </xf>
    <xf numFmtId="4" fontId="22" fillId="34" borderId="14" xfId="0" applyFont="1" applyFill="1" applyBorder="1" applyNumberFormat="1">
      <alignment horizontal="right" vertical="center" wrapText="1"/>
    </xf>
    <xf numFmtId="0" fontId="47" fillId="0" borderId="12" xfId="0" applyFont="1" applyBorder="1" applyNumberFormat="1">
      <alignment vertical="top" wrapText="1"/>
    </xf>
    <xf numFmtId="49" fontId="22" fillId="39" borderId="12" xfId="0" applyFont="1" applyFill="1" applyBorder="1" applyNumberFormat="1">
      <alignment horizontal="left" vertical="center" wrapText="1" indent="1"/>
      <protection locked="0"/>
    </xf>
    <xf numFmtId="0" fontId="39" fillId="35" borderId="0" xfId="0" applyFont="1" applyFill="1" applyNumberFormat="1">
      <alignment vertical="center" wrapText="1"/>
    </xf>
    <xf numFmtId="0" fontId="22" fillId="35" borderId="0" xfId="0" applyFont="1" applyFill="1" applyNumberFormat="1">
      <alignment vertical="center" wrapText="1"/>
    </xf>
    <xf numFmtId="0" fontId="22" fillId="0" borderId="20" xfId="0" applyFont="1" applyBorder="1" applyNumberFormat="1">
      <alignment horizontal="left" vertical="top" wrapText="1" indent="1"/>
    </xf>
    <xf numFmtId="0" fontId="22" fillId="0" borderId="17" xfId="0" applyFont="1" applyBorder="1" applyNumberFormat="1">
      <alignment horizontal="left" vertical="top" wrapText="1" indent="1"/>
    </xf>
    <xf numFmtId="0" fontId="22" fillId="0" borderId="37" xfId="0" applyFont="1" applyBorder="1" applyNumberFormat="1">
      <alignment horizontal="left" vertical="top" wrapText="1" indent="1"/>
    </xf>
    <xf numFmtId="49" fontId="22" fillId="0" borderId="0" xfId="0" applyFont="1" applyNumberFormat="1">
      <alignment vertical="center" wrapText="1"/>
    </xf>
    <xf numFmtId="0" fontId="22" fillId="0" borderId="29" xfId="0" applyFont="1" applyBorder="1" applyNumberFormat="1">
      <alignment horizontal="left" vertical="center" wrapText="1" indent="1"/>
    </xf>
    <xf numFmtId="0" fontId="22" fillId="0" borderId="23" xfId="0" applyFont="1" applyBorder="1" applyNumberFormat="1">
      <alignment horizontal="left" vertical="center" wrapText="1" indent="1"/>
    </xf>
    <xf numFmtId="0" fontId="22" fillId="0" borderId="30" xfId="0" applyFont="1" applyBorder="1" applyNumberFormat="1">
      <alignment horizontal="left" vertical="center" wrapText="1" indent="1"/>
    </xf>
    <xf numFmtId="0" fontId="22" fillId="35" borderId="0" xfId="0" applyFont="1" applyFill="1" applyNumberFormat="1">
      <alignment horizontal="center" vertical="center" wrapText="1"/>
    </xf>
    <xf numFmtId="49" fontId="22" fillId="0" borderId="0" xfId="0" applyFont="1" applyNumberFormat="1">
      <alignment vertical="center" wrapText="1"/>
    </xf>
    <xf numFmtId="0" fontId="22" fillId="35" borderId="0" xfId="0" applyFont="1" applyFill="1" applyNumberFormat="1">
      <alignment horizontal="center" vertical="center" wrapText="1"/>
    </xf>
    <xf numFmtId="0" fontId="22" fillId="35" borderId="12" xfId="0" applyFont="1" applyFill="1" applyBorder="1" applyNumberFormat="1">
      <alignment horizontal="center" vertical="center" wrapText="1"/>
    </xf>
    <xf numFmtId="0" fontId="0" fillId="0" borderId="12" xfId="0" applyFont="1" applyBorder="1" applyNumberFormat="1">
      <alignment horizontal="center" vertical="center" wrapText="1"/>
    </xf>
    <xf numFmtId="49" fontId="36" fillId="35" borderId="0" xfId="0" applyFont="1" applyFill="1" applyNumberFormat="1">
      <alignment horizontal="center" vertical="center" wrapText="1"/>
    </xf>
    <xf numFmtId="49" fontId="22" fillId="0" borderId="0" xfId="0" applyFont="1" applyNumberFormat="1">
      <alignment vertical="top"/>
    </xf>
    <xf numFmtId="49" fontId="0" fillId="35" borderId="12" xfId="0" applyFont="1" applyFill="1" applyBorder="1" applyNumberFormat="1">
      <alignment horizontal="center" vertical="center" wrapText="1"/>
    </xf>
    <xf numFmtId="0" fontId="0" fillId="0" borderId="12" xfId="0" applyFont="1" applyBorder="1" applyNumberFormat="1">
      <alignment vertical="center" wrapText="1"/>
    </xf>
    <xf numFmtId="0" fontId="0" fillId="0" borderId="12" xfId="0" applyFont="1" applyBorder="1" applyNumberFormat="1">
      <alignment horizontal="center" vertical="center" wrapText="1"/>
    </xf>
    <xf numFmtId="0" fontId="22" fillId="0" borderId="12" xfId="0" applyFont="1" applyBorder="1" applyNumberFormat="1">
      <alignment vertical="center" wrapText="1"/>
    </xf>
    <xf numFmtId="0" fontId="0" fillId="0" borderId="12" xfId="0" applyFont="1" applyBorder="1" applyNumberFormat="1">
      <alignment horizontal="left" vertical="center" wrapText="1" indent="1"/>
    </xf>
    <xf numFmtId="0" fontId="0" fillId="39" borderId="12" xfId="0" applyFont="1" applyFill="1" applyBorder="1" applyNumberFormat="1">
      <alignment horizontal="left" vertical="center" wrapText="1" indent="2"/>
      <protection locked="0"/>
    </xf>
    <xf numFmtId="49" fontId="53" fillId="39" borderId="12" xfId="0" applyFont="1" applyFill="1" applyBorder="1" applyNumberFormat="1">
      <alignment horizontal="left" vertical="center" wrapText="1"/>
      <protection locked="0"/>
    </xf>
    <xf numFmtId="0" fontId="22" fillId="37" borderId="14" xfId="0" applyFont="1" applyFill="1" applyBorder="1" applyNumberFormat="1">
      <alignment vertical="center" wrapText="1"/>
    </xf>
    <xf numFmtId="49" fontId="40" fillId="37" borderId="15" xfId="0" applyFont="1" applyFill="1" applyBorder="1" applyNumberFormat="1">
      <alignment horizontal="left" vertical="center" indent="2"/>
    </xf>
    <xf numFmtId="49" fontId="44" fillId="37" borderId="13" xfId="0" applyFont="1" applyFill="1" applyBorder="1" applyNumberFormat="1">
      <alignment horizontal="center" vertical="top"/>
    </xf>
    <xf numFmtId="0" fontId="47" fillId="0" borderId="0" xfId="0" applyFont="1" applyNumberFormat="1">
      <alignment vertical="center" wrapText="1"/>
    </xf>
    <xf numFmtId="0" fontId="39" fillId="35" borderId="0" xfId="0" applyFont="1" applyFill="1" applyNumberFormat="1">
      <alignment vertical="center" wrapText="1"/>
    </xf>
    <xf numFmtId="49" fontId="44" fillId="37" borderId="15" xfId="0" applyFont="1" applyFill="1" applyBorder="1" applyNumberFormat="1">
      <alignment horizontal="center" vertical="top"/>
    </xf>
    <xf numFmtId="0" fontId="48" fillId="0" borderId="0" xfId="0" applyFont="1" applyNumberFormat="1">
      <alignment vertical="center"/>
    </xf>
    <xf numFmtId="0" fontId="22" fillId="0" borderId="0" xfId="0" applyFont="1" applyNumberFormat="1">
      <alignment vertical="center" wrapText="1"/>
    </xf>
    <xf numFmtId="49" fontId="0" fillId="35" borderId="12" xfId="0" applyFont="1" applyFill="1" applyBorder="1" applyNumberFormat="1">
      <alignment horizontal="center" vertical="center" wrapText="1"/>
    </xf>
    <xf numFmtId="0" fontId="0" fillId="0" borderId="12" xfId="0" applyFont="1" applyBorder="1" applyNumberFormat="1">
      <alignment horizontal="left" vertical="center" wrapText="1" indent="1"/>
    </xf>
    <xf numFmtId="0" fontId="0" fillId="35" borderId="12" xfId="0" applyFont="1" applyFill="1" applyBorder="1" applyNumberFormat="1">
      <alignment horizontal="center" vertical="center" wrapText="1"/>
    </xf>
    <xf numFmtId="0" fontId="0" fillId="0" borderId="12" xfId="0" applyFont="1" applyBorder="1" applyNumberFormat="1">
      <alignment horizontal="left" vertical="center" wrapText="1" indent="1"/>
    </xf>
    <xf numFmtId="49" fontId="67" fillId="0" borderId="12" xfId="0" applyFont="1" applyBorder="1" applyNumberFormat="1">
      <alignment horizontal="center" vertical="center" wrapText="1"/>
    </xf>
    <xf numFmtId="0" fontId="67" fillId="0" borderId="12" xfId="0" applyFont="1" applyBorder="1" applyNumberFormat="1">
      <alignment horizontal="left" vertical="center" wrapText="1" indent="2"/>
    </xf>
    <xf numFmtId="49" fontId="70" fillId="0" borderId="14" xfId="0" applyFont="1" applyBorder="1" applyNumberFormat="1">
      <alignment horizontal="left" vertical="center" wrapText="1"/>
    </xf>
    <xf numFmtId="0" fontId="22" fillId="0" borderId="17" xfId="0" applyFont="1" applyBorder="1" applyNumberFormat="1">
      <alignment vertical="top" wrapText="1"/>
    </xf>
    <xf numFmtId="49" fontId="40" fillId="37" borderId="15" xfId="0" applyFont="1" applyFill="1" applyBorder="1" applyNumberFormat="1">
      <alignment horizontal="left" vertical="center" indent="1"/>
    </xf>
    <xf numFmtId="0" fontId="22" fillId="0" borderId="23" xfId="0" applyFont="1" applyBorder="1" applyNumberFormat="1">
      <alignment vertical="top" wrapText="1"/>
    </xf>
    <xf numFmtId="49" fontId="0" fillId="35" borderId="12" xfId="0" applyFont="1" applyFill="1" applyBorder="1" applyNumberFormat="1">
      <alignment horizontal="center" vertical="center" wrapText="1"/>
    </xf>
    <xf numFmtId="0" fontId="0" fillId="0" borderId="12" xfId="0" applyFont="1" applyBorder="1" applyNumberFormat="1">
      <alignment horizontal="center" vertical="center" wrapText="1"/>
    </xf>
    <xf numFmtId="0" fontId="22" fillId="0" borderId="12" xfId="0" applyFont="1" applyBorder="1" applyNumberFormat="1">
      <alignment vertical="center" wrapText="1"/>
    </xf>
    <xf numFmtId="0" fontId="0" fillId="0" borderId="12" xfId="0" applyFont="1" applyBorder="1" applyNumberFormat="1">
      <alignment horizontal="left" vertical="center" wrapText="1" indent="1"/>
    </xf>
    <xf numFmtId="0" fontId="22" fillId="0" borderId="0" xfId="0" applyFont="1" applyNumberFormat="1">
      <alignment vertical="top" wrapText="1"/>
    </xf>
    <xf numFmtId="49" fontId="22" fillId="0" borderId="0" xfId="0" applyFont="1" applyNumberFormat="1">
      <alignment vertical="center" wrapText="1"/>
    </xf>
    <xf numFmtId="0" fontId="39" fillId="0" borderId="0" xfId="0" applyFont="1" applyNumberFormat="1">
      <alignment vertical="center" wrapText="1"/>
    </xf>
    <xf numFmtId="49" fontId="47" fillId="0" borderId="0" xfId="0" applyFont="1" applyNumberFormat="1">
      <alignment vertical="top"/>
    </xf>
    <xf numFmtId="0" fontId="0" fillId="39" borderId="12" xfId="0" applyFont="1" applyFill="1" applyBorder="1" applyNumberFormat="1">
      <alignment horizontal="left" vertical="center" wrapText="1" indent="1"/>
      <protection locked="0"/>
    </xf>
    <xf numFmtId="49" fontId="53" fillId="39" borderId="12" xfId="0" applyFont="1" applyFill="1" applyBorder="1" applyNumberFormat="1">
      <alignment horizontal="left" vertical="center" wrapText="1"/>
      <protection locked="0"/>
    </xf>
    <xf numFmtId="0" fontId="0" fillId="0" borderId="12" xfId="0" applyFont="1" applyBorder="1" applyNumberFormat="1">
      <alignment horizontal="left" vertical="center" wrapText="1" indent="1"/>
    </xf>
    <xf numFmtId="0" fontId="0" fillId="39" borderId="12" xfId="0" applyFont="1" applyFill="1" applyBorder="1" applyNumberFormat="1">
      <alignment horizontal="left" vertical="center" wrapText="1"/>
      <protection locked="0"/>
    </xf>
    <xf numFmtId="0" fontId="0" fillId="0" borderId="12" xfId="0" applyFont="1" applyBorder="1" applyNumberFormat="1">
      <alignment horizontal="left" vertical="center" wrapText="1" indent="2"/>
    </xf>
    <xf numFmtId="49" fontId="22" fillId="40" borderId="12" xfId="0" applyFont="1" applyFill="1" applyBorder="1" applyNumberFormat="1">
      <alignment horizontal="left" vertical="center" wrapText="1"/>
    </xf>
    <xf numFmtId="0" fontId="0" fillId="0" borderId="12" xfId="0" applyFont="1" applyBorder="1" applyNumberFormat="1">
      <alignment horizontal="left" vertical="center" wrapText="1"/>
    </xf>
    <xf numFmtId="504" fontId="0" fillId="39" borderId="12" xfId="0" applyFont="1" applyFill="1" applyBorder="1" applyNumberFormat="1">
      <alignment horizontal="left" vertical="center" wrapText="1"/>
      <protection locked="0"/>
    </xf>
    <xf numFmtId="0" fontId="22" fillId="0" borderId="12" xfId="0" applyFont="1" applyBorder="1" applyNumberFormat="1">
      <alignment horizontal="left" vertical="top" wrapText="1"/>
    </xf>
    <xf numFmtId="0" fontId="0" fillId="0" borderId="12" xfId="0" applyFont="1" applyBorder="1" applyNumberFormat="1">
      <alignment horizontal="left" vertical="center" wrapText="1"/>
    </xf>
    <xf numFmtId="0" fontId="22" fillId="0" borderId="12" xfId="0" applyFont="1" applyBorder="1" applyNumberFormat="1">
      <alignment horizontal="left" vertical="center" wrapText="1"/>
    </xf>
    <xf numFmtId="0" fontId="0" fillId="0" borderId="12" xfId="0" applyFont="1" applyBorder="1" applyNumberFormat="1">
      <alignment horizontal="left" vertical="center" wrapText="1"/>
    </xf>
    <xf numFmtId="0" fontId="22" fillId="0" borderId="12" xfId="0" applyFont="1" applyBorder="1" applyNumberFormat="1">
      <alignment vertical="top" wrapText="1"/>
    </xf>
    <xf numFmtId="49" fontId="40" fillId="37" borderId="15" xfId="0" applyFont="1" applyFill="1" applyBorder="1" applyNumberFormat="1">
      <alignment horizontal="left" vertical="center" indent="2"/>
    </xf>
    <xf numFmtId="49" fontId="40" fillId="37" borderId="15" xfId="0" applyFont="1" applyFill="1" applyBorder="1" applyNumberFormat="1">
      <alignment horizontal="left" vertical="center" indent="3"/>
    </xf>
    <xf numFmtId="49" fontId="22" fillId="40" borderId="12" xfId="0" applyFont="1" applyFill="1" applyBorder="1" applyNumberFormat="1">
      <alignment horizontal="left" vertical="center" wrapText="1"/>
    </xf>
    <xf numFmtId="49" fontId="22" fillId="0" borderId="0" xfId="0" applyFont="1" applyNumberFormat="1">
      <alignment vertical="top"/>
    </xf>
    <xf numFmtId="49" fontId="48" fillId="0" borderId="0" xfId="0" applyFont="1" applyNumberFormat="1">
      <alignment vertical="top"/>
    </xf>
    <xf numFmtId="49" fontId="22" fillId="0" borderId="0" xfId="0" applyFont="1" applyNumberFormat="1">
      <alignment vertical="top"/>
    </xf>
    <xf numFmtId="49" fontId="22" fillId="0" borderId="0" xfId="0" applyFont="1" applyNumberFormat="1">
      <alignment vertical="top" wrapText="1"/>
    </xf>
    <xf numFmtId="49" fontId="22" fillId="0" borderId="0" xfId="0" applyFont="1" applyNumberFormat="1">
      <alignment vertical="top"/>
    </xf>
    <xf numFmtId="0" fontId="0" fillId="0" borderId="13" xfId="0" applyFont="1" applyBorder="1" applyNumberFormat="1">
      <alignment horizontal="center" vertical="center" wrapText="1"/>
    </xf>
    <xf numFmtId="504" fontId="0" fillId="39" borderId="13" xfId="0" applyFont="1" applyFill="1" applyBorder="1" applyNumberFormat="1">
      <alignment horizontal="left" vertical="center" wrapText="1"/>
      <protection locked="0"/>
    </xf>
    <xf numFmtId="504" fontId="0" fillId="39" borderId="14" xfId="0" applyFont="1" applyFill="1" applyBorder="1" applyNumberFormat="1">
      <alignment horizontal="left" vertical="center" wrapText="1"/>
      <protection locked="0"/>
    </xf>
    <xf numFmtId="0" fontId="22" fillId="40" borderId="12" xfId="0" applyFont="1" applyFill="1" applyBorder="1" applyNumberFormat="1">
      <alignment horizontal="left" vertical="center" wrapText="1"/>
    </xf>
    <xf numFmtId="0" fontId="0" fillId="0" borderId="36" xfId="0" applyFont="1" applyBorder="1" applyNumberFormat="1">
      <alignment horizontal="center" vertical="center" wrapText="1"/>
    </xf>
    <xf numFmtId="0" fontId="0" fillId="0" borderId="13" xfId="0" applyFont="1" applyBorder="1" applyNumberFormat="1">
      <alignment horizontal="center" vertical="center" wrapText="1"/>
    </xf>
    <xf numFmtId="0" fontId="22" fillId="0" borderId="0" xfId="0" applyFont="1" applyNumberFormat="1">
      <alignment horizontal="left" vertical="center" wrapText="1" indent="1"/>
    </xf>
    <xf numFmtId="0" fontId="22" fillId="0" borderId="0" xfId="0" applyFont="1" applyNumberFormat="1">
      <alignment vertical="center" wrapText="1"/>
    </xf>
    <xf numFmtId="0" fontId="0" fillId="0" borderId="12" xfId="0" applyFont="1" applyBorder="1" applyNumberFormat="1">
      <alignment horizontal="center" vertical="center" wrapText="1"/>
    </xf>
    <xf numFmtId="0" fontId="22" fillId="0" borderId="15" xfId="0" applyFont="1" applyBorder="1" applyNumberFormat="1">
      <alignment horizontal="left" vertical="top" wrapText="1" indent="1"/>
    </xf>
    <xf numFmtId="0" fontId="46" fillId="0" borderId="0" xfId="0" applyFont="1" applyNumberFormat="1">
      <alignment vertical="center" wrapText="1"/>
    </xf>
    <xf numFmtId="0" fontId="0" fillId="35" borderId="14" xfId="0" applyFont="1" applyFill="1" applyBorder="1" applyNumberFormat="1">
      <alignment horizontal="right" vertical="center" wrapText="1" indent="1"/>
    </xf>
    <xf numFmtId="0" fontId="71" fillId="0" borderId="0" xfId="0" applyFont="1" applyNumberFormat="1">
      <alignment vertical="center" wrapText="1"/>
    </xf>
    <xf numFmtId="49" fontId="36" fillId="35" borderId="0" xfId="0" applyFont="1" applyFill="1" applyNumberFormat="1">
      <alignment horizontal="center" vertical="center" wrapText="1"/>
    </xf>
    <xf numFmtId="49" fontId="36" fillId="35" borderId="19" xfId="0" applyFont="1" applyFill="1" applyBorder="1" applyNumberFormat="1">
      <alignment horizontal="center" vertical="center" wrapText="1"/>
    </xf>
    <xf numFmtId="49" fontId="0" fillId="35" borderId="17" xfId="0" applyFont="1" applyFill="1" applyBorder="1" applyNumberFormat="1">
      <alignment horizontal="center" vertical="center" wrapText="1"/>
    </xf>
    <xf numFmtId="0" fontId="0" fillId="0" borderId="17" xfId="0" applyFont="1" applyBorder="1" applyNumberFormat="1">
      <alignment horizontal="left" vertical="center" wrapText="1"/>
    </xf>
    <xf numFmtId="0" fontId="0" fillId="0" borderId="17" xfId="0" applyFont="1" applyBorder="1" applyNumberFormat="1">
      <alignment horizontal="left" vertical="center" wrapText="1"/>
    </xf>
    <xf numFmtId="0" fontId="22" fillId="0" borderId="12" xfId="0" applyFont="1" applyBorder="1" applyNumberFormat="1">
      <alignment horizontal="left" vertical="center" wrapText="1"/>
    </xf>
    <xf numFmtId="0" fontId="39" fillId="35" borderId="0" xfId="0" applyFont="1" applyFill="1" applyNumberFormat="1">
      <alignment horizontal="center" vertical="top" wrapText="1"/>
    </xf>
    <xf numFmtId="0" fontId="0" fillId="34" borderId="14" xfId="0" applyFont="1" applyFill="1" applyBorder="1" applyNumberFormat="1">
      <alignment horizontal="left" vertical="center" wrapText="1" indent="1"/>
    </xf>
    <xf numFmtId="0" fontId="0" fillId="0" borderId="13" xfId="0" applyFont="1" applyBorder="1" applyNumberFormat="1">
      <alignment horizontal="center" vertical="center" wrapText="1"/>
    </xf>
    <xf numFmtId="0" fontId="0" fillId="0" borderId="13" xfId="0" applyFont="1" applyBorder="1" applyNumberFormat="1">
      <alignment horizontal="center" vertical="center" wrapText="1"/>
    </xf>
    <xf numFmtId="49" fontId="40" fillId="37" borderId="27" xfId="0" applyFont="1" applyFill="1" applyBorder="1" applyNumberFormat="1">
      <alignment horizontal="left" vertical="center" indent="2"/>
    </xf>
    <xf numFmtId="49" fontId="40" fillId="37" borderId="15" xfId="0" applyFont="1" applyFill="1" applyBorder="1" applyNumberFormat="1">
      <alignment horizontal="left" vertical="center"/>
    </xf>
    <xf numFmtId="0" fontId="39" fillId="35" borderId="24" xfId="0" applyFont="1" applyFill="1" applyBorder="1" applyNumberFormat="1">
      <alignment horizontal="center" vertical="top" wrapText="1"/>
    </xf>
    <xf numFmtId="49" fontId="0" fillId="35" borderId="23" xfId="0" applyFont="1" applyFill="1" applyBorder="1" applyNumberFormat="1">
      <alignment horizontal="center" vertical="center" wrapText="1"/>
    </xf>
    <xf numFmtId="0" fontId="0" fillId="34" borderId="23" xfId="0" applyFont="1" applyFill="1" applyBorder="1" applyNumberFormat="1">
      <alignment horizontal="left" vertical="center" wrapText="1" indent="1"/>
    </xf>
    <xf numFmtId="504" fontId="0" fillId="39" borderId="13" xfId="0" applyFont="1" applyFill="1" applyBorder="1" applyNumberFormat="1">
      <alignment horizontal="left" vertical="center" wrapText="1"/>
      <protection locked="0"/>
    </xf>
    <xf numFmtId="504" fontId="0" fillId="39" borderId="14" xfId="0" applyFont="1" applyFill="1" applyBorder="1" applyNumberFormat="1">
      <alignment horizontal="left" vertical="center" wrapText="1"/>
      <protection locked="0"/>
    </xf>
    <xf numFmtId="0" fontId="0" fillId="0" borderId="13" xfId="0" applyFont="1" applyBorder="1" applyNumberFormat="1">
      <alignment horizontal="center" vertical="center" wrapText="1"/>
    </xf>
    <xf numFmtId="49" fontId="0" fillId="35" borderId="14" xfId="0" applyFont="1" applyFill="1" applyBorder="1" applyNumberFormat="1">
      <alignment horizontal="center" vertical="center" wrapText="1"/>
    </xf>
    <xf numFmtId="49" fontId="27" fillId="39" borderId="12" xfId="0" applyFont="1" applyFill="1" applyBorder="1" applyNumberFormat="1">
      <alignment horizontal="left" vertical="center" wrapText="1"/>
      <protection locked="0"/>
    </xf>
    <xf numFmtId="0" fontId="22" fillId="0" borderId="36" xfId="0" applyFont="1" applyBorder="1" applyNumberFormat="1">
      <alignment horizontal="left" vertical="top" wrapText="1"/>
    </xf>
    <xf numFmtId="49" fontId="22" fillId="0" borderId="0" xfId="0" applyFont="1" applyNumberFormat="1">
      <alignment vertical="top"/>
    </xf>
    <xf numFmtId="49" fontId="22" fillId="0" borderId="19" xfId="0" applyFont="1" applyBorder="1" applyNumberFormat="1">
      <alignment vertical="top"/>
    </xf>
    <xf numFmtId="0" fontId="46" fillId="0" borderId="0" xfId="0" applyFont="1" applyNumberFormat="1">
      <alignment horizontal="right" vertical="top" wrapText="1"/>
    </xf>
    <xf numFmtId="49" fontId="22" fillId="0" borderId="0" xfId="0" applyFont="1" applyNumberFormat="1">
      <alignment vertical="top" wrapText="1"/>
    </xf>
    <xf numFmtId="0" fontId="22" fillId="0" borderId="0" xfId="0" applyFont="1" applyNumberFormat="1">
      <alignment vertical="top" wrapText="1"/>
    </xf>
    <xf numFmtId="49" fontId="22" fillId="0" borderId="0" xfId="0" applyFont="1" applyNumberFormat="1">
      <alignment vertical="top"/>
    </xf>
    <xf numFmtId="0" fontId="22" fillId="35" borderId="12" xfId="0" applyFont="1" applyFill="1" applyBorder="1" applyNumberFormat="1">
      <alignment horizontal="center" vertical="center" wrapText="1"/>
    </xf>
    <xf numFmtId="49" fontId="27" fillId="39" borderId="12" xfId="0" applyFont="1" applyFill="1" applyBorder="1" applyNumberFormat="1">
      <alignment horizontal="left" vertical="center" wrapText="1"/>
      <protection locked="0"/>
    </xf>
    <xf numFmtId="0" fontId="37" fillId="35" borderId="0" xfId="0" applyFont="1" applyFill="1" applyNumberFormat="1">
      <alignment horizontal="center" vertical="center" wrapText="1"/>
    </xf>
    <xf numFmtId="0" fontId="0" fillId="0" borderId="12" xfId="0" applyFont="1" applyBorder="1" applyNumberFormat="1">
      <alignment horizontal="left" vertical="center" wrapText="1"/>
    </xf>
    <xf numFmtId="0" fontId="22" fillId="0" borderId="19" xfId="0" applyFont="1" applyBorder="1" applyNumberFormat="1">
      <alignment vertical="center" wrapText="1"/>
    </xf>
    <xf numFmtId="0" fontId="22" fillId="0" borderId="19" xfId="0" applyFont="1" applyBorder="1" applyNumberFormat="1">
      <alignment horizontal="left" vertical="top" wrapText="1"/>
    </xf>
    <xf numFmtId="49" fontId="22" fillId="0" borderId="0" xfId="0" applyFont="1" applyNumberFormat="1">
      <alignment vertical="center" wrapText="1"/>
    </xf>
    <xf numFmtId="0" fontId="83" fillId="0" borderId="0" xfId="0" applyFont="1" applyNumberFormat="1">
      <alignment vertical="center" wrapText="1"/>
    </xf>
    <xf numFmtId="0" fontId="22" fillId="0" borderId="12" xfId="0" applyFont="1" applyBorder="1" applyNumberFormat="1">
      <alignment horizontal="center" vertical="center" wrapText="1"/>
    </xf>
    <xf numFmtId="0" fontId="22" fillId="0" borderId="12" xfId="0" applyFont="1" applyBorder="1" applyNumberFormat="1">
      <alignment horizontal="left" vertical="center" wrapText="1"/>
    </xf>
    <xf numFmtId="3" fontId="22" fillId="0" borderId="14" xfId="0" applyFont="1" applyBorder="1" applyNumberFormat="1">
      <alignment vertical="center" wrapText="1"/>
    </xf>
    <xf numFmtId="0" fontId="22" fillId="0" borderId="12" xfId="0" applyFont="1" applyBorder="1" applyNumberFormat="1">
      <alignment horizontal="center" vertical="center" wrapText="1"/>
    </xf>
    <xf numFmtId="0" fontId="22" fillId="0" borderId="17" xfId="0" applyFont="1" applyBorder="1" applyNumberFormat="1">
      <alignment horizontal="center" vertical="center" wrapText="1"/>
    </xf>
    <xf numFmtId="0" fontId="22" fillId="0" borderId="17" xfId="0" applyFont="1" applyBorder="1" applyNumberFormat="1">
      <alignment horizontal="center" vertical="center" wrapText="1"/>
    </xf>
    <xf numFmtId="0" fontId="22" fillId="0" borderId="12" xfId="0" applyFont="1" applyBorder="1" applyNumberFormat="1">
      <alignment horizontal="left" vertical="center" wrapText="1" indent="1"/>
    </xf>
    <xf numFmtId="49" fontId="22" fillId="0" borderId="12" xfId="0" applyFont="1" applyBorder="1" applyNumberFormat="1">
      <alignment horizontal="center" vertical="center" wrapText="1"/>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53" fillId="0" borderId="0" xfId="0" applyFont="1" applyNumberFormat="1">
      <alignment vertical="center" wrapText="1"/>
    </xf>
    <xf numFmtId="49" fontId="22" fillId="0" borderId="0" xfId="0" applyFont="1" applyNumberFormat="1">
      <alignment horizontal="center" vertical="top"/>
    </xf>
    <xf numFmtId="49" fontId="32" fillId="47" borderId="0" xfId="0" applyFont="1" applyFill="1" applyNumberFormat="1">
      <alignment horizontal="center" vertical="center"/>
    </xf>
    <xf numFmtId="49" fontId="22" fillId="0" borderId="12" xfId="0" applyFont="1" applyBorder="1" applyNumberFormat="1">
      <alignment horizontal="center" vertical="top"/>
    </xf>
    <xf numFmtId="49" fontId="47" fillId="47" borderId="0" xfId="0" applyFont="1" applyFill="1" applyNumberFormat="1">
      <alignment horizontal="center" vertical="center" wrapText="1"/>
    </xf>
    <xf numFmtId="0" fontId="0" fillId="49" borderId="12" xfId="0" applyFont="1" applyFill="1" applyBorder="1" applyNumberFormat="1">
      <alignment horizontal="center" vertical="center"/>
    </xf>
    <xf numFmtId="49" fontId="0" fillId="0" borderId="0" xfId="0" applyFont="1" applyNumberFormat="1">
      <alignment vertical="center"/>
    </xf>
    <xf numFmtId="49" fontId="47" fillId="47" borderId="12" xfId="0" applyFont="1" applyFill="1" applyBorder="1" applyNumberFormat="1">
      <alignment horizontal="center" vertical="center"/>
    </xf>
    <xf numFmtId="49" fontId="47"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horizontal="center" vertical="top"/>
    </xf>
    <xf numFmtId="49" fontId="22" fillId="0" borderId="0" xfId="0" applyFont="1" applyNumberFormat="1">
      <alignment vertical="top"/>
    </xf>
    <xf numFmtId="0" fontId="22" fillId="0" borderId="12" xfId="0" applyFont="1" applyBorder="1" applyNumberFormat="1">
      <alignment vertical="center"/>
    </xf>
    <xf numFmtId="0" fontId="0" fillId="0" borderId="12" xfId="0" applyFont="1" applyBorder="1" applyNumberFormat="1">
      <alignment vertical="center"/>
    </xf>
    <xf numFmtId="0" fontId="0" fillId="0" borderId="12" xfId="0" applyFont="1" applyBorder="1" applyNumberFormat="1">
      <alignment vertical="center"/>
    </xf>
    <xf numFmtId="0" fontId="0" fillId="0" borderId="14" xfId="0" applyFont="1" applyBorder="1" applyNumberFormat="1">
      <alignment vertical="center"/>
    </xf>
    <xf numFmtId="0" fontId="0" fillId="0" borderId="14" xfId="0" applyFont="1" applyBorder="1" applyNumberFormat="1">
      <alignment vertical="center"/>
    </xf>
    <xf numFmtId="0" fontId="22" fillId="0" borderId="14" xfId="0" applyFont="1" applyBorder="1" applyNumberFormat="1">
      <alignment horizontal="left" vertical="center"/>
    </xf>
    <xf numFmtId="49" fontId="22" fillId="0" borderId="44" xfId="0" applyFont="1" applyBorder="1" applyNumberFormat="1">
      <alignment vertical="center"/>
    </xf>
    <xf numFmtId="49" fontId="22" fillId="0" borderId="45" xfId="0" applyFont="1" applyBorder="1" applyNumberFormat="1">
      <alignment vertical="top"/>
    </xf>
    <xf numFmtId="49" fontId="22" fillId="0" borderId="16" xfId="0" applyFont="1" applyBorder="1" applyNumberFormat="1">
      <alignment vertical="top"/>
    </xf>
    <xf numFmtId="0" fontId="0" fillId="0" borderId="13" xfId="0" applyFont="1" applyBorder="1" applyNumberFormat="1">
      <alignment vertical="center"/>
    </xf>
    <xf numFmtId="0" fontId="0" fillId="0" borderId="12" xfId="0" applyFont="1" applyBorder="1" applyNumberFormat="1">
      <alignment horizontal="right" vertical="top"/>
    </xf>
    <xf numFmtId="0" fontId="0" fillId="0" borderId="12" xfId="0" applyFont="1" applyBorder="1" applyNumberFormat="1">
      <alignment vertical="top"/>
    </xf>
    <xf numFmtId="0" fontId="22" fillId="0" borderId="13" xfId="0" applyFont="1" applyBorder="1" applyNumberFormat="1">
      <alignment vertical="center"/>
    </xf>
    <xf numFmtId="49" fontId="22" fillId="0" borderId="12" xfId="0" applyFont="1" applyBorder="1" applyNumberFormat="1">
      <alignment vertical="center"/>
    </xf>
    <xf numFmtId="0" fontId="0" fillId="0" borderId="0" xfId="0" applyFont="1" applyNumberFormat="1">
      <alignment vertical="top"/>
    </xf>
    <xf numFmtId="0" fontId="22" fillId="0" borderId="12" xfId="0" applyFont="1" applyBorder="1" applyNumberFormat="1">
      <alignment vertical="top"/>
    </xf>
    <xf numFmtId="0" fontId="0" fillId="48" borderId="0" xfId="0" applyFont="1" applyFill="1" applyNumberFormat="1">
      <alignment horizontal="right" vertical="center"/>
    </xf>
    <xf numFmtId="49" fontId="32" fillId="0" borderId="0" xfId="0" applyFont="1" applyNumberFormat="1">
      <alignment horizontal="center" vertical="center"/>
    </xf>
    <xf numFmtId="49" fontId="0" fillId="0" borderId="0" xfId="0" applyFont="1" applyNumberFormat="1">
      <alignment vertical="top"/>
    </xf>
    <xf numFmtId="49" fontId="32" fillId="47" borderId="0" xfId="0" applyFont="1" applyFill="1" applyNumberFormat="1">
      <alignment horizontal="center" vertical="center"/>
    </xf>
    <xf numFmtId="0" fontId="22" fillId="0" borderId="0" xfId="0" applyFont="1" applyNumberFormat="1">
      <alignment vertical="center"/>
    </xf>
    <xf numFmtId="0" fontId="0" fillId="48" borderId="0" xfId="0" applyFont="1" applyFill="1" applyNumberFormat="1">
      <alignment horizontal="left" vertical="center"/>
    </xf>
    <xf numFmtId="0" fontId="0" fillId="0" borderId="0" xfId="0" applyFont="1" applyNumberFormat="1">
      <alignment horizontal="right" vertical="top"/>
    </xf>
    <xf numFmtId="0" fontId="0" fillId="0" borderId="0" xfId="0" applyFont="1" applyNumberFormat="1">
      <alignment vertical="top"/>
    </xf>
    <xf numFmtId="0" fontId="0" fillId="0" borderId="0" xfId="0" applyFont="1" applyNumberFormat="1">
      <alignment vertical="top"/>
    </xf>
    <xf numFmtId="0" fontId="0" fillId="0" borderId="0" xfId="0" applyFont="1" applyNumberFormat="1">
      <alignment horizontal="right" vertical="top"/>
    </xf>
    <xf numFmtId="0" fontId="0" fillId="0" borderId="0" xfId="0" applyFont="1" applyNumberFormat="1">
      <alignment vertical="top"/>
    </xf>
    <xf numFmtId="49" fontId="22" fillId="0" borderId="14" xfId="0" applyFont="1" applyBorder="1" applyNumberFormat="1">
      <alignment vertical="top"/>
    </xf>
    <xf numFmtId="0" fontId="0" fillId="48" borderId="0" xfId="0" applyFont="1" applyFill="1" applyNumberFormat="1">
      <alignment horizontal="right" vertical="center"/>
    </xf>
    <xf numFmtId="0" fontId="0" fillId="0" borderId="0" xfId="0" applyFont="1" applyNumberFormat="1">
      <alignment horizontal="left" vertical="center"/>
    </xf>
    <xf numFmtId="0" fontId="0" fillId="48" borderId="0" xfId="0" applyFont="1" applyFill="1" applyNumberFormat="1">
      <alignment horizontal="right" vertical="center"/>
    </xf>
    <xf numFmtId="0" fontId="0" fillId="48" borderId="0" xfId="0" applyFont="1" applyFill="1" applyNumberFormat="1">
      <alignment horizontal="left" vertical="center"/>
    </xf>
    <xf numFmtId="0" fontId="54" fillId="48" borderId="0" xfId="0" applyFont="1" applyFill="1" applyNumberFormat="1">
      <alignment horizontal="left" vertical="center"/>
    </xf>
    <xf numFmtId="0" fontId="0" fillId="0" borderId="0" xfId="0" applyFont="1" applyNumberFormat="1">
      <alignment vertical="center"/>
    </xf>
    <xf numFmtId="0" fontId="22" fillId="0" borderId="0" xfId="0" applyFont="1" applyNumberFormat="1">
      <alignment vertical="top"/>
    </xf>
    <xf numFmtId="0" fontId="54" fillId="0" borderId="0" xfId="0" applyFont="1" applyNumberFormat="1">
      <alignment horizontal="left" vertical="center"/>
    </xf>
    <xf numFmtId="49" fontId="0" fillId="0" borderId="14" xfId="0" applyFont="1" applyBorder="1" applyNumberFormat="1">
      <alignment vertical="top"/>
    </xf>
    <xf numFmtId="49" fontId="22" fillId="0" borderId="12" xfId="0" applyFont="1" applyBorder="1" applyNumberFormat="1">
      <alignment horizontal="right" vertical="top"/>
    </xf>
    <xf numFmtId="0" fontId="0" fillId="0" borderId="14" xfId="0" applyFont="1" applyBorder="1" applyNumberFormat="1">
      <alignment horizontal="left" vertical="center"/>
    </xf>
    <xf numFmtId="0" fontId="54" fillId="48" borderId="0" xfId="0" applyFont="1" applyFill="1" applyNumberFormat="1">
      <alignment horizontal="left" vertical="center"/>
    </xf>
    <xf numFmtId="49" fontId="22" fillId="0" borderId="17" xfId="0" applyFont="1" applyBorder="1" applyNumberFormat="1">
      <alignment horizontal="right" vertical="top"/>
    </xf>
    <xf numFmtId="0" fontId="0" fillId="0" borderId="17" xfId="0" applyFont="1" applyBorder="1" applyNumberFormat="1">
      <alignment vertical="top"/>
    </xf>
    <xf numFmtId="0" fontId="22" fillId="0" borderId="17" xfId="0" applyFont="1" applyBorder="1" applyNumberFormat="1">
      <alignment vertical="center"/>
    </xf>
    <xf numFmtId="49" fontId="22" fillId="0" borderId="31" xfId="0" applyFont="1" applyBorder="1" applyNumberFormat="1">
      <alignment horizontal="center" vertical="center"/>
    </xf>
    <xf numFmtId="49" fontId="22" fillId="0" borderId="12" xfId="0" applyFont="1" applyBorder="1" applyNumberFormat="1">
      <alignment horizontal="right" vertical="center"/>
    </xf>
    <xf numFmtId="49" fontId="22" fillId="0" borderId="12" xfId="0" applyFont="1" applyBorder="1" applyNumberFormat="1">
      <alignment vertical="top"/>
    </xf>
    <xf numFmtId="49" fontId="0" fillId="0" borderId="0" xfId="0" applyFont="1" applyNumberFormat="1">
      <alignment vertical="center"/>
    </xf>
    <xf numFmtId="0" fontId="22" fillId="48" borderId="0" xfId="0" applyFont="1" applyFill="1" applyNumberFormat="1">
      <alignment horizontal="left" vertical="center"/>
    </xf>
    <xf numFmtId="0" fontId="0" fillId="48" borderId="10" xfId="0" applyFont="1" applyFill="1" applyBorder="1" applyNumberFormat="1">
      <alignment horizontal="center"/>
    </xf>
    <xf numFmtId="49" fontId="104" fillId="0" borderId="16" xfId="0" applyFont="1" applyBorder="1" applyNumberFormat="1">
      <alignment vertical="top"/>
    </xf>
    <xf numFmtId="49" fontId="0" fillId="0" borderId="0" xfId="0" applyFont="1" applyNumberFormat="1">
      <alignment vertical="center"/>
    </xf>
    <xf numFmtId="49" fontId="45" fillId="54" borderId="0" xfId="0" applyFont="1" applyFill="1" applyNumberFormat="1">
      <alignment vertical="center" wrapText="1"/>
    </xf>
    <xf numFmtId="0" fontId="0" fillId="0" borderId="10" xfId="0" applyFont="1" applyBorder="1" applyNumberFormat="1">
      <alignment horizontal="center"/>
    </xf>
    <xf numFmtId="49" fontId="32" fillId="47" borderId="0" xfId="0" applyFont="1" applyFill="1" applyNumberFormat="1">
      <alignment horizontal="center" vertical="center" wrapText="1"/>
    </xf>
    <xf numFmtId="49" fontId="22" fillId="48" borderId="0" xfId="0" applyFont="1" applyFill="1" applyNumberFormat="1">
      <alignment horizontal="center" vertical="center"/>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pplyNumberFormat="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pplyNumberFormat="1">
      <alignment horizontal="center" vertical="center"/>
    </xf>
    <xf numFmtId="0" fontId="102" fillId="0" borderId="46" xfId="0" applyFont="1" applyBorder="1" applyNumberFormat="1">
      <alignment horizontal="center" vertical="center"/>
    </xf>
    <xf numFmtId="0" fontId="0" fillId="0" borderId="46" xfId="0" applyFont="1" applyBorder="1" applyNumberFormat="1">
      <alignment horizontal="center" vertical="center"/>
    </xf>
    <xf numFmtId="49" fontId="32"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pplyNumberFormat="1">
      <alignment vertical="top"/>
    </xf>
    <xf numFmtId="0" fontId="0" fillId="41" borderId="12" xfId="0" applyFont="1" applyFill="1" applyBorder="1" applyNumberFormat="1">
      <alignment horizontal="right" vertical="center"/>
    </xf>
    <xf numFmtId="49" fontId="22" fillId="41" borderId="23" xfId="0" applyFont="1" applyFill="1" applyBorder="1" applyNumberFormat="1">
      <alignment vertical="top"/>
    </xf>
    <xf numFmtId="49" fontId="22" fillId="41" borderId="12" xfId="0" applyFont="1" applyFill="1" applyBorder="1" applyNumberFormat="1">
      <alignment vertical="top"/>
    </xf>
    <xf numFmtId="49" fontId="22" fillId="0" borderId="14" xfId="0" applyFont="1" applyBorder="1" applyNumberFormat="1">
      <alignment horizontal="center" vertical="top"/>
    </xf>
    <xf numFmtId="49" fontId="22" fillId="0" borderId="13" xfId="0" applyFont="1" applyBorder="1" applyNumberFormat="1">
      <alignment horizontal="center" vertical="top"/>
    </xf>
    <xf numFmtId="0" fontId="22" fillId="34" borderId="30" xfId="0" applyFont="1" applyFill="1" applyBorder="1" applyNumberFormat="1">
      <alignment horizontal="center" vertical="top"/>
    </xf>
    <xf numFmtId="0" fontId="22" fillId="34" borderId="30" xfId="0" applyFont="1" applyFill="1" applyBorder="1" applyNumberFormat="1">
      <alignment horizontal="left" vertical="top"/>
    </xf>
    <xf numFmtId="0" fontId="0" fillId="0" borderId="32" xfId="0" applyFont="1" applyBorder="1" applyNumberFormat="1">
      <alignment horizontal="center" vertical="center"/>
    </xf>
    <xf numFmtId="0" fontId="0" fillId="0" borderId="34" xfId="0" applyFont="1" applyBorder="1" applyNumberFormat="1">
      <alignment horizontal="center" vertical="center"/>
    </xf>
    <xf numFmtId="0" fontId="22" fillId="0" borderId="12" xfId="0" applyFont="1" applyBorder="1" applyNumberFormat="1">
      <alignment horizontal="left" vertical="top"/>
    </xf>
    <xf numFmtId="49" fontId="22" fillId="0" borderId="0" xfId="0" applyFont="1" applyNumberFormat="1">
      <alignment horizontal="left" vertical="top"/>
    </xf>
    <xf numFmtId="0" fontId="0" fillId="0" borderId="33" xfId="0" applyFont="1" applyBorder="1" applyNumberFormat="1">
      <alignment horizontal="center" vertical="center"/>
    </xf>
    <xf numFmtId="49" fontId="32" fillId="47" borderId="14" xfId="0" applyFont="1" applyFill="1" applyBorder="1" applyNumberFormat="1">
      <alignment horizontal="right" vertical="center"/>
    </xf>
    <xf numFmtId="49" fontId="22" fillId="0" borderId="12" xfId="0" applyFont="1" applyBorder="1" applyNumberFormat="1">
      <alignment vertical="top"/>
    </xf>
    <xf numFmtId="49" fontId="0" fillId="0" borderId="0" xfId="0" applyFont="1" applyNumberFormat="1">
      <alignment vertical="center"/>
    </xf>
    <xf numFmtId="49" fontId="0" fillId="0" borderId="0" xfId="0" applyFont="1" applyNumberFormat="1">
      <alignment vertical="top"/>
    </xf>
    <xf numFmtId="0" fontId="0" fillId="48" borderId="0" xfId="0" applyFont="1" applyFill="1" applyNumberFormat="1">
      <alignment horizontal="right" vertical="top" wrapText="1"/>
    </xf>
    <xf numFmtId="0" fontId="22" fillId="0" borderId="0" xfId="0" applyFont="1" applyNumberFormat="1">
      <alignment horizontal="left" vertical="top" wrapText="1"/>
    </xf>
    <xf numFmtId="49" fontId="22" fillId="0" borderId="0" xfId="0" applyFont="1" applyNumberFormat="1">
      <alignment vertical="center"/>
    </xf>
    <xf numFmtId="49" fontId="0" fillId="0" borderId="0" xfId="0" applyFont="1" applyNumberFormat="1">
      <alignment vertical="center" wrapText="1"/>
    </xf>
    <xf numFmtId="49" fontId="0" fillId="0" borderId="0" xfId="0" applyFont="1" applyNumberFormat="1">
      <alignment vertical="center"/>
    </xf>
    <xf numFmtId="49" fontId="22" fillId="35" borderId="12" xfId="0" applyFont="1" applyFill="1" applyBorder="1" applyNumberFormat="1">
      <alignment horizontal="center" vertical="center"/>
    </xf>
    <xf numFmtId="49" fontId="22" fillId="39" borderId="12" xfId="0" applyFont="1" applyFill="1" applyBorder="1" applyNumberFormat="1">
      <alignment horizontal="left" vertical="center" wrapText="1"/>
      <protection locked="0"/>
    </xf>
    <xf numFmtId="0" fontId="22" fillId="39" borderId="12" xfId="0" applyFont="1" applyFill="1" applyBorder="1" applyNumberFormat="1">
      <alignment horizontal="center" vertical="center" wrapText="1"/>
      <protection locked="0"/>
    </xf>
    <xf numFmtId="0" fontId="47" fillId="35" borderId="0" xfId="0" applyFont="1" applyFill="1" applyNumberFormat="1"/>
    <xf numFmtId="49" fontId="22" fillId="35" borderId="12" xfId="0" applyFont="1" applyFill="1" applyBorder="1" applyNumberFormat="1">
      <alignment horizontal="center" vertical="center" wrapText="1"/>
    </xf>
    <xf numFmtId="0" fontId="0" fillId="35" borderId="12" xfId="0" applyFont="1" applyFill="1" applyBorder="1" applyNumberFormat="1">
      <alignment horizontal="center" vertical="center" wrapText="1"/>
    </xf>
    <xf numFmtId="0" fontId="22" fillId="34" borderId="12" xfId="0" applyFont="1" applyFill="1" applyBorder="1" applyNumberFormat="1">
      <alignment horizontal="left" vertical="center" wrapText="1"/>
    </xf>
    <xf numFmtId="0" fontId="68" fillId="35" borderId="0" xfId="0" applyFont="1" applyFill="1" applyNumberFormat="1"/>
    <xf numFmtId="0" fontId="22" fillId="35" borderId="12" xfId="0" applyFont="1" applyFill="1" applyBorder="1" applyNumberFormat="1">
      <alignment horizontal="left" vertical="center" wrapText="1"/>
    </xf>
    <xf numFmtId="0" fontId="22" fillId="0" borderId="12" xfId="0" applyFont="1" applyBorder="1" applyNumberFormat="1">
      <alignment horizontal="center" vertical="center" wrapText="1"/>
    </xf>
    <xf numFmtId="49" fontId="22" fillId="0" borderId="12" xfId="0" applyFont="1" applyBorder="1" applyNumberFormat="1">
      <alignment horizontal="center" vertical="center"/>
    </xf>
    <xf numFmtId="49" fontId="22" fillId="36" borderId="12" xfId="0" applyFont="1" applyFill="1" applyBorder="1" applyNumberFormat="1">
      <alignment horizontal="left" vertical="center" wrapText="1"/>
      <protection locked="0"/>
    </xf>
    <xf numFmtId="0" fontId="48" fillId="35" borderId="0" xfId="0" applyFont="1" applyFill="1" applyNumberFormat="1">
      <alignment horizontal="center" vertical="center" wrapText="1"/>
    </xf>
    <xf numFmtId="0" fontId="22" fillId="35" borderId="24" xfId="0" applyFont="1" applyFill="1" applyBorder="1" applyNumberFormat="1">
      <alignment horizontal="center" vertical="center" wrapText="1"/>
    </xf>
    <xf numFmtId="0" fontId="0" fillId="35" borderId="17" xfId="0" applyFont="1" applyFill="1" applyBorder="1" applyNumberFormat="1">
      <alignment horizontal="left" vertical="top" wrapText="1"/>
    </xf>
    <xf numFmtId="0" fontId="67" fillId="35" borderId="0" xfId="0" applyFont="1" applyFill="1" applyNumberFormat="1"/>
    <xf numFmtId="0" fontId="72" fillId="35" borderId="0" xfId="0" applyFont="1" applyFill="1" applyNumberFormat="1">
      <alignment vertical="center" wrapText="1"/>
    </xf>
    <xf numFmtId="0" fontId="48" fillId="35" borderId="12" xfId="0" applyFont="1" applyFill="1" applyBorder="1" applyNumberFormat="1">
      <alignment horizontal="center" vertical="center"/>
    </xf>
    <xf numFmtId="0" fontId="0" fillId="35" borderId="36" xfId="0" applyFont="1" applyFill="1" applyBorder="1" applyNumberFormat="1">
      <alignment horizontal="left" vertical="top" wrapText="1"/>
    </xf>
    <xf numFmtId="0" fontId="67" fillId="35" borderId="0" xfId="0" applyFont="1" applyFill="1" applyNumberFormat="1"/>
    <xf numFmtId="0" fontId="0" fillId="35" borderId="23" xfId="0" applyFont="1" applyFill="1" applyBorder="1" applyNumberFormat="1">
      <alignment horizontal="left" vertical="top" wrapText="1"/>
    </xf>
    <xf numFmtId="0" fontId="84" fillId="35" borderId="0" xfId="0" applyFont="1" applyFill="1" applyNumberFormat="1"/>
    <xf numFmtId="0" fontId="22" fillId="35" borderId="12" xfId="0" applyFont="1" applyFill="1" applyBorder="1" applyNumberFormat="1">
      <alignment horizontal="left" vertical="top" wrapText="1"/>
    </xf>
    <xf numFmtId="49" fontId="53" fillId="36" borderId="23" xfId="0" applyFont="1" applyFill="1" applyBorder="1" applyNumberFormat="1">
      <alignment horizontal="left" vertical="center" wrapText="1"/>
      <protection locked="0"/>
    </xf>
    <xf numFmtId="0" fontId="22" fillId="35" borderId="12" xfId="0" applyFont="1" applyFill="1" applyBorder="1" applyNumberFormat="1">
      <alignment vertical="top" wrapText="1"/>
    </xf>
    <xf numFmtId="0" fontId="22" fillId="0" borderId="12" xfId="0" applyFont="1" applyBorder="1" applyNumberFormat="1">
      <alignment horizontal="center" vertical="center" wrapText="1"/>
    </xf>
    <xf numFmtId="49" fontId="22" fillId="40" borderId="12" xfId="0" applyFont="1" applyFill="1" applyBorder="1" applyNumberFormat="1">
      <alignment horizontal="left" vertical="center" wrapText="1"/>
    </xf>
    <xf numFmtId="14" fontId="22" fillId="39" borderId="14" xfId="0" applyFont="1" applyFill="1" applyBorder="1" applyNumberFormat="1">
      <alignment horizontal="left" vertical="center" wrapText="1" indent="1"/>
      <protection locked="0"/>
    </xf>
    <xf numFmtId="0" fontId="47" fillId="0" borderId="36" xfId="0" applyFont="1" applyBorder="1" applyNumberFormat="1">
      <alignment horizontal="left" vertical="center" wrapText="1" indent="1"/>
    </xf>
    <xf numFmtId="0" fontId="112" fillId="0" borderId="0" xfId="0" applyFont="1" applyNumberFormat="1">
      <alignment vertical="center"/>
    </xf>
    <xf numFmtId="0" fontId="37" fillId="0" borderId="0" xfId="0" applyFont="1" applyNumberFormat="1">
      <alignment horizontal="center" vertical="center" wrapText="1"/>
    </xf>
    <xf numFmtId="4" fontId="22" fillId="0" borderId="17" xfId="0" applyFont="1" applyBorder="1" applyNumberFormat="1">
      <alignment horizontal="center" vertical="center" wrapText="1"/>
    </xf>
    <xf numFmtId="501" fontId="22" fillId="0" borderId="37" xfId="0" applyFont="1" applyBorder="1" applyNumberFormat="1">
      <alignment horizontal="center" vertical="center" wrapText="1"/>
    </xf>
    <xf numFmtId="501"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14" fontId="22" fillId="40" borderId="12" xfId="0" applyFont="1" applyFill="1" applyBorder="1" applyNumberFormat="1">
      <alignment horizontal="left" vertical="center" wrapText="1"/>
    </xf>
    <xf numFmtId="14" fontId="22" fillId="39" borderId="12" xfId="0" applyFont="1" applyFill="1" applyBorder="1" applyNumberFormat="1">
      <alignment horizontal="left" vertical="center" wrapText="1" indent="1"/>
      <protection locked="0"/>
    </xf>
    <xf numFmtId="49" fontId="50"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0" fillId="37" borderId="29" xfId="0" applyFont="1" applyFill="1" applyBorder="1" applyNumberFormat="1">
      <alignment horizontal="right" vertical="center" wrapText="1"/>
    </xf>
    <xf numFmtId="0" fontId="112" fillId="0" borderId="0" xfId="0" applyFont="1" applyNumberFormat="1">
      <alignment vertical="center" wrapText="1"/>
    </xf>
    <xf numFmtId="49" fontId="0" fillId="0" borderId="0" xfId="0" applyFont="1" applyNumberFormat="1">
      <alignment vertical="top"/>
    </xf>
    <xf numFmtId="0" fontId="22" fillId="0" borderId="14" xfId="0" applyFont="1" applyBorder="1" applyNumberFormat="1">
      <alignment horizontal="center" vertical="center" wrapText="1"/>
    </xf>
    <xf numFmtId="0" fontId="22" fillId="34" borderId="12" xfId="0" applyFont="1" applyFill="1" applyBorder="1" applyNumberFormat="1">
      <alignment horizontal="left" vertical="center" wrapText="1" indent="1"/>
    </xf>
    <xf numFmtId="504" fontId="0" fillId="39" borderId="15" xfId="0" applyFont="1" applyFill="1" applyBorder="1" applyNumberFormat="1">
      <alignment horizontal="left" vertical="center" wrapText="1" indent="1"/>
      <protection locked="0"/>
    </xf>
    <xf numFmtId="505" fontId="22" fillId="39" borderId="12" xfId="0" applyFont="1" applyFill="1" applyBorder="1" applyNumberFormat="1">
      <alignment horizontal="left" vertical="center" wrapText="1" indent="1"/>
      <protection locked="0"/>
    </xf>
    <xf numFmtId="504" fontId="48" fillId="0" borderId="0" xfId="0" applyFont="1" applyNumberFormat="1">
      <alignment horizontal="center" vertical="center" wrapText="1"/>
    </xf>
    <xf numFmtId="501" fontId="22" fillId="0" borderId="17" xfId="0" applyFont="1" applyBorder="1" applyNumberFormat="1">
      <alignment horizontal="center" vertical="center" wrapText="1"/>
    </xf>
    <xf numFmtId="501" fontId="22" fillId="0" borderId="14" xfId="0" applyFont="1" applyBorder="1" applyNumberFormat="1">
      <alignment horizontal="center" vertical="center" wrapText="1"/>
    </xf>
    <xf numFmtId="501" fontId="22" fillId="0" borderId="15" xfId="0" applyFont="1" applyBorder="1" applyNumberFormat="1">
      <alignment horizontal="center" vertical="center" wrapText="1"/>
    </xf>
    <xf numFmtId="501" fontId="22" fillId="0" borderId="13" xfId="0" applyFont="1" applyBorder="1" applyNumberFormat="1">
      <alignment horizontal="center" vertical="center" wrapText="1"/>
    </xf>
    <xf numFmtId="4" fontId="22" fillId="0" borderId="36" xfId="0" applyFont="1" applyBorder="1" applyNumberFormat="1">
      <alignment horizontal="center" vertical="center" wrapText="1"/>
    </xf>
    <xf numFmtId="501" fontId="22" fillId="0" borderId="23" xfId="0" applyFont="1" applyBorder="1" applyNumberFormat="1">
      <alignment horizontal="center" vertical="center" wrapText="1"/>
    </xf>
    <xf numFmtId="501" fontId="22" fillId="0" borderId="23" xfId="0" applyFont="1" applyBorder="1" applyNumberFormat="1">
      <alignment horizontal="center" vertical="center" wrapText="1"/>
    </xf>
    <xf numFmtId="0" fontId="22" fillId="0" borderId="23" xfId="0" applyFont="1" applyBorder="1" applyNumberFormat="1">
      <alignment horizontal="center" vertical="center" wrapText="1"/>
    </xf>
    <xf numFmtId="0" fontId="22" fillId="34" borderId="23" xfId="0" applyFont="1" applyFill="1" applyBorder="1" applyNumberFormat="1">
      <alignment horizontal="left" vertical="center" wrapText="1" indent="1"/>
    </xf>
    <xf numFmtId="14" fontId="22" fillId="39" borderId="23" xfId="0" applyFont="1" applyFill="1" applyBorder="1" applyNumberFormat="1">
      <alignment horizontal="left" vertical="center" wrapText="1" indent="1"/>
      <protection locked="0"/>
    </xf>
    <xf numFmtId="0" fontId="22" fillId="0" borderId="29" xfId="0" applyFont="1" applyBorder="1" applyNumberFormat="1">
      <alignment horizontal="left" vertical="top" wrapText="1"/>
    </xf>
    <xf numFmtId="0" fontId="22" fillId="0" borderId="12" xfId="0" applyFont="1" applyBorder="1" applyNumberFormat="1">
      <alignment horizontal="center" vertical="center" wrapText="1"/>
    </xf>
    <xf numFmtId="0" fontId="22" fillId="34" borderId="12" xfId="0" applyFont="1" applyFill="1" applyBorder="1" applyNumberFormat="1">
      <alignment horizontal="left" vertical="center" wrapText="1" indent="1"/>
    </xf>
    <xf numFmtId="0" fontId="48" fillId="0" borderId="0" xfId="0" applyFont="1" applyNumberFormat="1">
      <alignment horizontal="center" vertical="center" wrapText="1"/>
    </xf>
    <xf numFmtId="0" fontId="22" fillId="0" borderId="0" xfId="0" applyFont="1" applyNumberFormat="1">
      <alignment horizontal="right" vertical="center" wrapText="1"/>
    </xf>
    <xf numFmtId="0" fontId="22" fillId="0" borderId="0" xfId="0" applyFont="1" applyNumberFormat="1">
      <alignment horizontal="left" vertical="center" wrapText="1" indent="1"/>
    </xf>
    <xf numFmtId="501" fontId="22" fillId="0" borderId="23" xfId="0" applyFont="1" applyBorder="1" applyNumberFormat="1">
      <alignment horizontal="center" vertical="center" wrapText="1"/>
    </xf>
    <xf numFmtId="0" fontId="22" fillId="0" borderId="23" xfId="0" applyFont="1" applyBorder="1" applyNumberFormat="1">
      <alignment horizontal="left" vertical="center" wrapText="1" indent="1"/>
    </xf>
    <xf numFmtId="14" fontId="22" fillId="0" borderId="23" xfId="0" applyFont="1" applyBorder="1" applyNumberFormat="1">
      <alignment horizontal="left" vertical="center" wrapText="1" inden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0" borderId="14" xfId="0" applyFont="1" applyBorder="1" applyNumberFormat="1">
      <alignment horizontal="center" vertical="center" wrapText="1"/>
    </xf>
    <xf numFmtId="49" fontId="22" fillId="39" borderId="12" xfId="0" applyFont="1" applyFill="1" applyBorder="1" applyNumberFormat="1">
      <alignment horizontal="left" vertical="center" wrapText="1"/>
      <protection locked="0"/>
    </xf>
    <xf numFmtId="49" fontId="22" fillId="40" borderId="12" xfId="0" applyFont="1" applyFill="1" applyBorder="1" applyNumberFormat="1">
      <alignment horizontal="left" vertical="center" wrapText="1"/>
    </xf>
    <xf numFmtId="49" fontId="53" fillId="37" borderId="27" xfId="0" applyFont="1" applyFill="1" applyBorder="1" applyNumberFormat="1">
      <alignment horizontal="left" vertical="center" wrapText="1"/>
    </xf>
    <xf numFmtId="49" fontId="53" fillId="37" borderId="29" xfId="0" applyFont="1" applyFill="1" applyBorder="1" applyNumberFormat="1">
      <alignment horizontal="left" vertical="center" wrapText="1"/>
    </xf>
    <xf numFmtId="0" fontId="22" fillId="35" borderId="36" xfId="0" applyFont="1" applyFill="1" applyBorder="1" applyNumberFormat="1">
      <alignment vertical="center" wrapText="1"/>
    </xf>
    <xf numFmtId="0" fontId="48" fillId="0" borderId="0" xfId="0" applyFont="1" applyNumberFormat="1">
      <alignment horizontal="center" vertical="center" wrapText="1"/>
    </xf>
    <xf numFmtId="0" fontId="48" fillId="0" borderId="27" xfId="0" applyFont="1" applyBorder="1" applyNumberFormat="1">
      <alignment horizontal="center" vertical="center" wrapText="1"/>
    </xf>
    <xf numFmtId="0" fontId="48" fillId="0" borderId="0" xfId="0" applyFont="1" applyNumberFormat="1">
      <alignment horizontal="center" vertical="center" wrapText="1"/>
    </xf>
    <xf numFmtId="0" fontId="48" fillId="0" borderId="0" xfId="0" applyFont="1" applyNumberFormat="1">
      <alignment horizontal="center" vertical="center" wrapText="1"/>
    </xf>
    <xf numFmtId="0" fontId="22" fillId="35" borderId="22" xfId="0" applyFont="1" applyFill="1" applyBorder="1" applyNumberFormat="1">
      <alignment vertical="center" wrapText="1"/>
    </xf>
    <xf numFmtId="0" fontId="36" fillId="0" borderId="12" xfId="0" applyFont="1" applyBorder="1" applyNumberFormat="1">
      <alignment horizontal="center" vertical="center" wrapText="1"/>
    </xf>
    <xf numFmtId="0" fontId="22" fillId="0" borderId="15" xfId="0" applyFont="1" applyBorder="1" applyNumberFormat="1">
      <alignment horizontal="center" vertical="center" wrapText="1"/>
    </xf>
    <xf numFmtId="0" fontId="22" fillId="0" borderId="15" xfId="0" applyFont="1" applyBorder="1" applyNumberFormat="1">
      <alignment horizontal="left" vertical="center" wrapText="1"/>
    </xf>
    <xf numFmtId="0" fontId="42" fillId="0" borderId="0" xfId="0" applyFont="1" applyNumberFormat="1">
      <alignment horizontal="center" vertical="center" wrapText="1"/>
    </xf>
    <xf numFmtId="0" fontId="22" fillId="0" borderId="0" xfId="0" applyFont="1" applyNumberFormat="1">
      <alignment horizontal="center" vertical="center" wrapText="1"/>
    </xf>
    <xf numFmtId="501" fontId="45" fillId="0" borderId="19" xfId="0" applyFont="1" applyBorder="1" applyNumberFormat="1">
      <alignment horizontal="center" vertical="center" wrapText="1"/>
    </xf>
    <xf numFmtId="501" fontId="45" fillId="0" borderId="19" xfId="0" applyFont="1" applyBorder="1" applyNumberFormat="1">
      <alignment horizontal="center" vertical="center" wrapText="1"/>
    </xf>
    <xf numFmtId="501" fontId="45" fillId="0" borderId="20" xfId="0" applyFont="1" applyBorder="1" applyNumberFormat="1">
      <alignment horizontal="center" vertical="center" wrapText="1"/>
    </xf>
    <xf numFmtId="0" fontId="48" fillId="0" borderId="0" xfId="0" applyFont="1" applyNumberFormat="1">
      <alignment horizontal="center" vertical="center"/>
    </xf>
    <xf numFmtId="0" fontId="42" fillId="0" borderId="0" xfId="0" applyFont="1" applyNumberFormat="1">
      <alignment horizontal="center" vertical="center" wrapText="1"/>
    </xf>
    <xf numFmtId="501" fontId="22" fillId="0" borderId="12" xfId="0" applyFont="1" applyBorder="1" applyNumberFormat="1">
      <alignment horizontal="center" vertical="center" wrapText="1"/>
    </xf>
    <xf numFmtId="501" fontId="22" fillId="0" borderId="36" xfId="0" applyFont="1" applyBorder="1" applyNumberFormat="1">
      <alignment horizontal="center" vertical="center" wrapText="1"/>
    </xf>
    <xf numFmtId="501" fontId="22" fillId="0" borderId="12" xfId="0" applyFont="1" applyBorder="1" applyNumberFormat="1">
      <alignment horizontal="center" vertical="center" wrapText="1"/>
    </xf>
    <xf numFmtId="0" fontId="22" fillId="34" borderId="29" xfId="0" applyFont="1" applyFill="1" applyBorder="1" applyNumberFormat="1">
      <alignment horizontal="left" vertical="center" wrapText="1"/>
    </xf>
    <xf numFmtId="14" fontId="22" fillId="40" borderId="23" xfId="0" applyFont="1" applyFill="1" applyBorder="1" applyNumberFormat="1">
      <alignment horizontal="left" vertical="center" wrapText="1"/>
    </xf>
    <xf numFmtId="49" fontId="22" fillId="40" borderId="30" xfId="0" applyFont="1" applyFill="1" applyBorder="1" applyNumberFormat="1">
      <alignment horizontal="left" vertical="center" wrapText="1"/>
    </xf>
    <xf numFmtId="0" fontId="22" fillId="0" borderId="23" xfId="0" applyFont="1" applyBorder="1" applyNumberFormat="1">
      <alignment horizontal="center" vertical="center" wrapText="1"/>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22" fillId="0" borderId="12" xfId="0" applyFont="1" applyBorder="1" applyNumberFormat="1">
      <alignment horizontal="left" vertical="top" wrapText="1"/>
    </xf>
    <xf numFmtId="49" fontId="22" fillId="40" borderId="23" xfId="0" applyFont="1" applyFill="1" applyBorder="1" applyNumberFormat="1">
      <alignment horizontal="left" vertical="center" wrapText="1"/>
    </xf>
    <xf numFmtId="49" fontId="127" fillId="0" borderId="12" xfId="0" applyFont="1" applyBorder="1" applyNumberFormat="1">
      <alignment horizontal="left" vertical="top" wrapText="1"/>
    </xf>
    <xf numFmtId="49" fontId="22" fillId="0" borderId="0" xfId="0" applyFont="1" applyNumberFormat="1">
      <alignment vertical="top"/>
    </xf>
    <xf numFmtId="0" fontId="32" fillId="0" borderId="0" xfId="0" applyFont="1" applyNumberFormat="1">
      <alignment vertical="center" wrapText="1"/>
    </xf>
    <xf numFmtId="0" fontId="37" fillId="35" borderId="0" xfId="0" applyFont="1" applyFill="1" applyNumberFormat="1">
      <alignment horizontal="center" vertical="center" wrapText="1"/>
    </xf>
    <xf numFmtId="0" fontId="22" fillId="35" borderId="0" xfId="0" applyFont="1" applyFill="1" applyNumberFormat="1"/>
    <xf numFmtId="49" fontId="22" fillId="0" borderId="0" xfId="0" applyFont="1" applyNumberFormat="1">
      <alignment vertical="top"/>
    </xf>
    <xf numFmtId="49" fontId="37" fillId="0" borderId="0" xfId="0" applyFont="1" applyNumberFormat="1">
      <alignment horizontal="center" vertical="center"/>
    </xf>
    <xf numFmtId="0" fontId="43" fillId="35" borderId="0" xfId="0" applyFont="1" applyFill="1" applyNumberFormat="1">
      <alignment horizontal="center" vertical="center" wrapText="1"/>
    </xf>
    <xf numFmtId="0" fontId="32" fillId="35" borderId="0" xfId="0" applyFont="1" applyFill="1" applyNumberFormat="1"/>
    <xf numFmtId="49" fontId="32" fillId="0" borderId="0" xfId="0" applyFont="1" applyNumberFormat="1">
      <alignment vertical="top"/>
    </xf>
    <xf numFmtId="0" fontId="22" fillId="35" borderId="12" xfId="0" applyFont="1" applyFill="1" applyBorder="1" applyNumberFormat="1">
      <alignment horizontal="center" vertical="center" wrapText="1"/>
    </xf>
    <xf numFmtId="49" fontId="47" fillId="0" borderId="0" xfId="0" applyFont="1" applyNumberFormat="1">
      <alignment vertical="top"/>
    </xf>
    <xf numFmtId="49" fontId="22" fillId="0" borderId="0" xfId="0" applyFont="1" applyNumberFormat="1">
      <alignment vertical="top"/>
    </xf>
    <xf numFmtId="49" fontId="37" fillId="0" borderId="0" xfId="0" applyFont="1" applyNumberFormat="1">
      <alignment horizontal="center" vertical="center" wrapText="1"/>
    </xf>
    <xf numFmtId="49" fontId="22" fillId="0" borderId="12" xfId="0" applyFont="1" applyBorder="1" applyNumberFormat="1">
      <alignment horizontal="center" vertical="center" wrapText="1"/>
    </xf>
    <xf numFmtId="49" fontId="22" fillId="39" borderId="12" xfId="0" applyFont="1" applyFill="1" applyBorder="1" applyNumberFormat="1">
      <alignment horizontal="left" vertical="center" wrapText="1"/>
      <protection locked="0"/>
    </xf>
    <xf numFmtId="0" fontId="48" fillId="0" borderId="0" xfId="0" applyFont="1" applyNumberFormat="1">
      <alignment vertical="top"/>
    </xf>
    <xf numFmtId="49" fontId="48" fillId="0" borderId="0" xfId="0" applyFont="1" applyNumberFormat="1">
      <alignment vertical="top"/>
    </xf>
    <xf numFmtId="49" fontId="22" fillId="0" borderId="0" xfId="0" applyFont="1" applyNumberFormat="1">
      <alignment vertical="top"/>
    </xf>
    <xf numFmtId="49" fontId="40" fillId="37" borderId="15" xfId="0" applyFont="1" applyFill="1" applyBorder="1" applyNumberFormat="1">
      <alignment horizontal="left" vertical="center"/>
    </xf>
    <xf numFmtId="49" fontId="44" fillId="37" borderId="15" xfId="0" applyFont="1" applyFill="1" applyBorder="1" applyNumberFormat="1">
      <alignment horizontal="center" vertical="top"/>
    </xf>
    <xf numFmtId="49" fontId="22" fillId="0" borderId="0" xfId="0" applyFont="1" applyNumberFormat="1">
      <alignment horizontal="left" vertical="top" wrapText="1"/>
    </xf>
    <xf numFmtId="49" fontId="37" fillId="0" borderId="0" xfId="0" applyFont="1" applyNumberFormat="1">
      <alignment horizontal="center" vertical="center"/>
    </xf>
    <xf numFmtId="0" fontId="22" fillId="0" borderId="0" xfId="0" applyFont="1" applyNumberFormat="1"/>
    <xf numFmtId="0" fontId="37" fillId="35" borderId="0" xfId="0" applyFont="1" applyFill="1" applyNumberFormat="1">
      <alignment horizontal="center" vertical="center"/>
    </xf>
    <xf numFmtId="0" fontId="22" fillId="35" borderId="0" xfId="0" applyFont="1" applyFill="1" applyNumberFormat="1"/>
    <xf numFmtId="0" fontId="22" fillId="0" borderId="13" xfId="0" applyFont="1" applyBorder="1" applyNumberFormat="1">
      <alignment horizontal="left" vertical="center" wrapText="1" indent="1"/>
    </xf>
    <xf numFmtId="0" fontId="22" fillId="0" borderId="14" xfId="0" applyFont="1" applyBorder="1" applyNumberFormat="1">
      <alignment horizontal="left" vertical="center" wrapText="1" indent="1"/>
    </xf>
    <xf numFmtId="0" fontId="64" fillId="0" borderId="0" xfId="0" applyFont="1" applyNumberFormat="1"/>
    <xf numFmtId="0" fontId="22" fillId="0" borderId="12" xfId="0" applyFont="1" applyBorder="1" applyNumberFormat="1">
      <alignment horizontal="center" vertical="center" wrapText="1"/>
    </xf>
    <xf numFmtId="0" fontId="22" fillId="35" borderId="17" xfId="0" applyFont="1" applyFill="1" applyBorder="1" applyNumberFormat="1">
      <alignment horizontal="center" vertical="center"/>
    </xf>
    <xf numFmtId="49" fontId="22" fillId="0" borderId="17" xfId="0" applyFont="1" applyBorder="1" applyNumberFormat="1">
      <alignment horizontal="left" vertical="center" wrapText="1"/>
    </xf>
    <xf numFmtId="0" fontId="37" fillId="35" borderId="0" xfId="0" applyFont="1" applyFill="1" applyNumberFormat="1">
      <alignment horizontal="center" vertical="center" wrapText="1"/>
    </xf>
    <xf numFmtId="0" fontId="22" fillId="35" borderId="12" xfId="0" applyFont="1" applyFill="1" applyBorder="1" applyNumberFormat="1">
      <alignment horizontal="center" vertical="center"/>
    </xf>
    <xf numFmtId="49" fontId="22" fillId="39" borderId="12" xfId="0" applyFont="1" applyFill="1" applyBorder="1" applyNumberFormat="1">
      <alignment horizontal="left" vertical="center" wrapText="1"/>
      <protection locked="0"/>
    </xf>
    <xf numFmtId="49" fontId="50" fillId="37" borderId="14" xfId="0" applyFont="1" applyFill="1" applyBorder="1" applyNumberFormat="1">
      <alignment horizontal="center" vertical="center"/>
    </xf>
    <xf numFmtId="49" fontId="40" fillId="37" borderId="13" xfId="0" applyFont="1" applyFill="1" applyBorder="1" applyNumberFormat="1">
      <alignment horizontal="left" vertical="center"/>
    </xf>
    <xf numFmtId="49" fontId="45" fillId="0" borderId="0" xfId="0" applyFont="1" applyNumberFormat="1">
      <alignment horizontal="right" vertical="top"/>
    </xf>
    <xf numFmtId="49" fontId="22" fillId="0" borderId="0" xfId="0" applyFont="1" applyNumberFormat="1">
      <alignment horizontal="left" vertical="top" wrapText="1"/>
    </xf>
    <xf numFmtId="49" fontId="45" fillId="0" borderId="0" xfId="0" applyFont="1" applyNumberFormat="1">
      <alignment vertical="top"/>
    </xf>
    <xf numFmtId="0" fontId="37" fillId="0" borderId="0" xfId="0" applyFont="1" applyNumberFormat="1">
      <alignment horizontal="center" vertical="center"/>
    </xf>
    <xf numFmtId="0" fontId="22" fillId="0" borderId="0" xfId="0" applyFont="1" applyNumberFormat="1"/>
    <xf numFmtId="0" fontId="37" fillId="0" borderId="0" xfId="0" applyFont="1" applyNumberFormat="1">
      <alignment horizontal="center" vertical="center"/>
    </xf>
    <xf numFmtId="0" fontId="22" fillId="0" borderId="0" xfId="0" applyFont="1" applyNumberFormat="1"/>
    <xf numFmtId="49" fontId="22" fillId="0" borderId="12" xfId="0" applyFont="1" applyBorder="1" applyNumberFormat="1">
      <alignment horizontal="left" vertical="center" wrapText="1"/>
    </xf>
    <xf numFmtId="49" fontId="40" fillId="37" borderId="13" xfId="0" applyFont="1" applyFill="1" applyBorder="1" applyNumberFormat="1">
      <alignment horizontal="left" vertical="center"/>
    </xf>
    <xf numFmtId="49" fontId="0" fillId="0" borderId="0" xfId="0" applyFont="1" applyNumberFormat="1">
      <alignment vertical="top"/>
    </xf>
    <xf numFmtId="49" fontId="0" fillId="0" borderId="15" xfId="0" applyFont="1" applyBorder="1" applyNumberFormat="1">
      <alignment horizontal="left" vertical="center" indent="1"/>
    </xf>
    <xf numFmtId="49" fontId="0" fillId="0" borderId="15" xfId="0" applyFont="1" applyBorder="1" applyNumberFormat="1">
      <alignment horizontal="left" vertical="center" indent="1"/>
    </xf>
    <xf numFmtId="49" fontId="65" fillId="0" borderId="0" xfId="0" applyFont="1" applyNumberFormat="1">
      <alignment vertical="top"/>
    </xf>
    <xf numFmtId="49" fontId="0" fillId="0" borderId="25" xfId="0" applyFont="1" applyBorder="1" applyNumberFormat="1">
      <alignment horizontal="center" vertical="center"/>
    </xf>
    <xf numFmtId="49" fontId="0" fillId="0" borderId="25" xfId="0" applyFont="1" applyBorder="1" applyNumberFormat="1">
      <alignment horizontal="center" vertical="center"/>
    </xf>
    <xf numFmtId="49" fontId="0" fillId="38" borderId="0" xfId="0" applyFont="1" applyFill="1" applyNumberFormat="1">
      <alignment vertical="top"/>
    </xf>
    <xf numFmtId="49" fontId="0" fillId="38" borderId="0" xfId="0" applyFont="1" applyFill="1" applyNumberFormat="1">
      <alignment vertical="top"/>
    </xf>
    <xf numFmtId="0" fontId="37" fillId="35" borderId="0" xfId="0" applyFont="1" applyFill="1" applyNumberFormat="1">
      <alignment horizontal="center" vertical="center" wrapText="1"/>
    </xf>
    <xf numFmtId="0" fontId="37" fillId="35" borderId="0" xfId="0" applyFont="1" applyFill="1" applyNumberFormat="1">
      <alignment horizontal="center"/>
    </xf>
    <xf numFmtId="49" fontId="22" fillId="36" borderId="12" xfId="0" applyFont="1" applyFill="1" applyBorder="1" applyNumberFormat="1">
      <alignment horizontal="left" vertical="center" wrapText="1"/>
      <protection locked="0"/>
    </xf>
    <xf numFmtId="0" fontId="37" fillId="0" borderId="0" xfId="0" applyFont="1" applyNumberFormat="1">
      <alignment horizontal="center" vertical="center" wrapText="1"/>
    </xf>
    <xf numFmtId="0" fontId="22" fillId="0" borderId="12" xfId="0" applyFont="1" applyBorder="1" applyNumberFormat="1">
      <alignment horizontal="center" vertical="center" wrapText="1"/>
    </xf>
    <xf numFmtId="0" fontId="48" fillId="0" borderId="12" xfId="0" applyFont="1" applyBorder="1" applyNumberFormat="1">
      <alignment horizontal="center" vertical="center"/>
    </xf>
    <xf numFmtId="0" fontId="22" fillId="0" borderId="23" xfId="0" applyFont="1" applyBorder="1" applyNumberFormat="1">
      <alignment horizontal="center" vertical="center" wrapText="1"/>
    </xf>
    <xf numFmtId="0" fontId="47" fillId="0" borderId="23" xfId="0" applyFont="1" applyBorder="1" applyNumberFormat="1">
      <alignment horizontal="center" vertical="center" wrapText="1"/>
    </xf>
    <xf numFmtId="0" fontId="47" fillId="0" borderId="0" xfId="0" applyFont="1" applyNumberFormat="1">
      <alignment horizontal="center" vertical="center" wrapText="1"/>
    </xf>
    <xf numFmtId="0" fontId="47" fillId="0" borderId="12" xfId="0" applyFont="1" applyBorder="1" applyNumberFormat="1">
      <alignment horizontal="center" vertical="center" wrapText="1"/>
    </xf>
    <xf numFmtId="14" fontId="22" fillId="40" borderId="12" xfId="0" applyFont="1" applyFill="1" applyBorder="1" applyNumberFormat="1">
      <alignment horizontal="left" vertical="center" wrapText="1" indent="1"/>
    </xf>
    <xf numFmtId="49" fontId="22" fillId="34" borderId="12" xfId="0" applyFont="1" applyFill="1" applyBorder="1" applyNumberFormat="1">
      <alignment horizontal="center" vertical="center" wrapText="1"/>
    </xf>
    <xf numFmtId="49" fontId="52" fillId="38" borderId="0" xfId="0" applyFont="1" applyFill="1" applyNumberFormat="1">
      <alignment vertical="top"/>
    </xf>
    <xf numFmtId="49" fontId="52" fillId="0" borderId="0" xfId="0" applyFont="1" applyNumberFormat="1">
      <alignment vertical="top"/>
    </xf>
    <xf numFmtId="0" fontId="36" fillId="0" borderId="24" xfId="0" applyFont="1" applyBorder="1" applyNumberFormat="1">
      <alignment horizontal="center" vertical="center" wrapText="1"/>
    </xf>
    <xf numFmtId="14" fontId="81" fillId="0" borderId="17" xfId="0" applyFont="1" applyBorder="1" applyNumberFormat="1">
      <alignment horizontal="center" vertical="center" wrapText="1"/>
    </xf>
    <xf numFmtId="0" fontId="75" fillId="0" borderId="12" xfId="0" applyFont="1" applyBorder="1" applyNumberFormat="1">
      <alignment horizontal="left" vertical="center" wrapText="1" indent="1"/>
    </xf>
    <xf numFmtId="0" fontId="81" fillId="0" borderId="17" xfId="0" applyFont="1" applyBorder="1" applyNumberFormat="1">
      <alignment horizontal="center" vertical="center" wrapText="1"/>
    </xf>
    <xf numFmtId="49" fontId="22" fillId="0" borderId="12" xfId="0" applyFont="1" applyBorder="1" applyNumberFormat="1">
      <alignment horizontal="center" vertical="center" wrapText="1"/>
    </xf>
    <xf numFmtId="0" fontId="74" fillId="0" borderId="0" xfId="0" applyFont="1" applyNumberFormat="1">
      <alignment vertical="center"/>
    </xf>
    <xf numFmtId="14" fontId="81" fillId="0" borderId="36" xfId="0" applyFont="1" applyBorder="1" applyNumberFormat="1">
      <alignment horizontal="center" vertical="center" wrapText="1"/>
    </xf>
    <xf numFmtId="0" fontId="75" fillId="0" borderId="12" xfId="0" applyFont="1" applyBorder="1" applyNumberFormat="1">
      <alignment horizontal="left" vertical="top" indent="1"/>
    </xf>
    <xf numFmtId="49" fontId="0" fillId="0" borderId="12" xfId="0" applyFont="1" applyBorder="1" applyNumberFormat="1">
      <alignment vertical="top"/>
    </xf>
    <xf numFmtId="0" fontId="36" fillId="0" borderId="12" xfId="0" applyFont="1" applyBorder="1" applyNumberFormat="1">
      <alignment horizontal="center" vertical="center" wrapText="1"/>
    </xf>
    <xf numFmtId="0" fontId="22" fillId="40" borderId="12" xfId="0" applyFont="1" applyFill="1" applyBorder="1" applyNumberFormat="1">
      <alignment horizontal="left" vertical="center" wrapText="1" indent="1"/>
    </xf>
    <xf numFmtId="0" fontId="36" fillId="0" borderId="12" xfId="0" applyFont="1" applyBorder="1" applyNumberFormat="1">
      <alignment horizontal="center" vertical="center" wrapText="1"/>
    </xf>
    <xf numFmtId="49" fontId="22" fillId="0" borderId="13" xfId="0" applyFont="1" applyBorder="1" applyNumberFormat="1">
      <alignment horizontal="center" vertical="center" wrapText="1"/>
    </xf>
    <xf numFmtId="49" fontId="75" fillId="39" borderId="12" xfId="0" applyFont="1" applyFill="1" applyBorder="1" applyNumberFormat="1">
      <alignment horizontal="left" vertical="center" wrapText="1" indent="1"/>
      <protection locked="0"/>
    </xf>
    <xf numFmtId="49" fontId="22" fillId="35" borderId="0" xfId="0" applyFont="1" applyFill="1" applyNumberFormat="1">
      <alignment horizontal="center" vertical="center" wrapText="1"/>
    </xf>
    <xf numFmtId="0" fontId="22" fillId="35" borderId="0" xfId="0" applyFont="1" applyFill="1" applyNumberFormat="1">
      <alignment horizontal="center" vertical="top" wrapText="1"/>
    </xf>
    <xf numFmtId="49" fontId="22" fillId="40" borderId="14" xfId="0" applyFont="1" applyFill="1" applyBorder="1" applyNumberFormat="1">
      <alignment horizontal="left" vertical="center" wrapText="1"/>
    </xf>
    <xf numFmtId="49" fontId="0" fillId="0" borderId="12" xfId="0" applyFont="1" applyBorder="1" applyNumberFormat="1">
      <alignment vertical="top"/>
    </xf>
    <xf numFmtId="0" fontId="0" fillId="0" borderId="12" xfId="0" applyFont="1" applyBorder="1" applyNumberFormat="1">
      <alignment horizontal="center" vertical="center" wrapText="1"/>
    </xf>
    <xf numFmtId="49" fontId="0" fillId="39" borderId="12" xfId="0" applyFont="1" applyFill="1" applyBorder="1" applyNumberFormat="1">
      <alignment horizontal="left" vertical="center" wrapText="1"/>
      <protection locked="0"/>
    </xf>
    <xf numFmtId="49" fontId="22" fillId="0" borderId="0" xfId="0" applyFont="1" applyNumberFormat="1">
      <alignment vertical="top"/>
    </xf>
    <xf numFmtId="0" fontId="37" fillId="35" borderId="0" xfId="0" applyFont="1" applyFill="1" applyNumberFormat="1">
      <alignment vertical="top" wrapText="1"/>
    </xf>
    <xf numFmtId="0" fontId="22" fillId="35" borderId="14" xfId="0" applyFont="1" applyFill="1" applyBorder="1" applyNumberFormat="1">
      <alignment horizontal="center" vertical="center" wrapText="1"/>
    </xf>
    <xf numFmtId="0" fontId="48" fillId="35" borderId="12" xfId="0" applyFont="1" applyFill="1" applyBorder="1" applyNumberFormat="1">
      <alignment horizontal="center" vertical="center" wrapText="1"/>
    </xf>
    <xf numFmtId="14" fontId="22" fillId="40" borderId="29" xfId="0" applyFont="1" applyFill="1" applyBorder="1" applyNumberFormat="1">
      <alignment horizontal="left" vertical="center" wrapText="1"/>
    </xf>
    <xf numFmtId="49" fontId="122" fillId="39" borderId="12" xfId="0" applyFont="1" applyFill="1" applyBorder="1" applyNumberFormat="1">
      <alignment horizontal="left" vertical="center" wrapText="1"/>
      <protection locked="0"/>
    </xf>
    <xf numFmtId="49" fontId="0" fillId="0" borderId="12" xfId="0" applyFont="1" applyBorder="1" applyNumberFormat="1">
      <alignment horizontal="center" vertical="center" wrapText="1"/>
    </xf>
    <xf numFmtId="0" fontId="22" fillId="40" borderId="14" xfId="0" applyFont="1" applyFill="1" applyBorder="1" applyNumberFormat="1">
      <alignment horizontal="left" vertical="center" wrapText="1"/>
    </xf>
    <xf numFmtId="0" fontId="0" fillId="0" borderId="23" xfId="0" applyFont="1" applyBorder="1" applyNumberFormat="1">
      <alignment horizontal="center" vertical="center" wrapText="1"/>
    </xf>
    <xf numFmtId="49" fontId="37" fillId="0" borderId="0" xfId="0" applyFont="1" applyNumberFormat="1">
      <alignment horizontal="center" vertical="center" wrapText="1"/>
    </xf>
    <xf numFmtId="504"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49" fontId="0" fillId="35" borderId="12" xfId="0" applyFont="1" applyFill="1" applyBorder="1" applyNumberFormat="1">
      <alignment horizontal="center" vertical="center" wrapText="1"/>
    </xf>
    <xf numFmtId="0" fontId="0" fillId="39" borderId="14" xfId="0" applyFont="1" applyFill="1" applyBorder="1" applyNumberFormat="1">
      <alignment horizontal="left" vertical="center" wrapText="1" indent="2"/>
      <protection locked="0"/>
    </xf>
    <xf numFmtId="0" fontId="37" fillId="0" borderId="24" xfId="0" applyFont="1" applyBorder="1" applyNumberFormat="1">
      <alignment horizontal="center" vertical="center" wrapText="1"/>
    </xf>
    <xf numFmtId="49" fontId="22" fillId="0" borderId="12" xfId="0" applyFont="1" applyBorder="1" applyNumberFormat="1">
      <alignment horizontal="center" vertical="top" wrapText="1"/>
    </xf>
    <xf numFmtId="0" fontId="0" fillId="34" borderId="12" xfId="0" applyFont="1" applyFill="1" applyBorder="1" applyNumberFormat="1">
      <alignment horizontal="left" vertical="top" wrapText="1" indent="1"/>
    </xf>
    <xf numFmtId="49" fontId="22" fillId="40" borderId="17" xfId="0" applyFont="1" applyFill="1" applyBorder="1" applyNumberFormat="1">
      <alignment horizontal="center" vertical="top" wrapText="1"/>
    </xf>
    <xf numFmtId="504" fontId="0" fillId="39" borderId="12" xfId="0" applyFont="1" applyFill="1" applyBorder="1" applyNumberFormat="1">
      <alignment horizontal="center" vertical="top" wrapText="1"/>
      <protection locked="0"/>
    </xf>
    <xf numFmtId="504" fontId="0" fillId="36"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22" fillId="39" borderId="12" xfId="0" applyFont="1" applyFill="1" applyBorder="1" applyNumberFormat="1">
      <alignment horizontal="left" vertical="top" wrapText="1"/>
      <protection locked="0"/>
    </xf>
    <xf numFmtId="49" fontId="0" fillId="34" borderId="12" xfId="0" applyFont="1" applyFill="1" applyBorder="1" applyNumberFormat="1">
      <alignment horizontal="center" vertical="top" wrapText="1"/>
    </xf>
    <xf numFmtId="0" fontId="22" fillId="34" borderId="12" xfId="0" applyFont="1" applyFill="1" applyBorder="1" applyNumberFormat="1">
      <alignment horizontal="center" vertical="top" wrapText="1"/>
    </xf>
    <xf numFmtId="0" fontId="22" fillId="36" borderId="12" xfId="0" applyFont="1" applyFill="1" applyBorder="1" applyNumberFormat="1">
      <alignment horizontal="left" vertical="top" wrapText="1"/>
      <protection locked="0"/>
    </xf>
    <xf numFmtId="49" fontId="22" fillId="40" borderId="12" xfId="0" applyFont="1" applyFill="1" applyBorder="1" applyNumberFormat="1">
      <alignment horizontal="center" vertical="top" wrapText="1"/>
    </xf>
    <xf numFmtId="0" fontId="22" fillId="0" borderId="36" xfId="0" applyFont="1" applyBorder="1" applyNumberFormat="1">
      <alignment horizontal="center" vertical="center" wrapText="1"/>
    </xf>
    <xf numFmtId="0" fontId="22" fillId="0" borderId="12" xfId="0" applyFont="1" applyBorder="1" applyNumberFormat="1">
      <alignment horizontal="center" vertical="center" wrapText="1"/>
    </xf>
    <xf numFmtId="49" fontId="22" fillId="39" borderId="17" xfId="0" applyFont="1" applyFill="1" applyBorder="1" applyNumberFormat="1">
      <alignment horizontal="left" vertical="center" wrapText="1" indent="1"/>
      <protection locked="0"/>
    </xf>
    <xf numFmtId="0" fontId="22" fillId="0" borderId="24" xfId="0" applyFont="1" applyBorder="1" applyNumberFormat="1">
      <alignment vertical="top" wrapText="1"/>
    </xf>
    <xf numFmtId="49" fontId="22" fillId="40" borderId="23" xfId="0" applyFont="1" applyFill="1" applyBorder="1" applyNumberFormat="1">
      <alignment horizontal="center" vertical="top" wrapText="1"/>
    </xf>
    <xf numFmtId="49" fontId="0" fillId="39"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40" borderId="14" xfId="0" applyFont="1" applyFill="1" applyBorder="1" applyNumberFormat="1">
      <alignment horizontal="center" vertical="top" wrapText="1"/>
    </xf>
    <xf numFmtId="49" fontId="22" fillId="0" borderId="36" xfId="0" applyFont="1" applyBorder="1" applyNumberFormat="1">
      <alignment horizontal="center" vertical="top" wrapText="1"/>
    </xf>
    <xf numFmtId="0" fontId="0" fillId="34" borderId="36" xfId="0" applyFont="1" applyFill="1" applyBorder="1" applyNumberFormat="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pplyNumberFormat="1">
      <alignment horizontal="center" vertical="top" wrapText="1"/>
    </xf>
    <xf numFmtId="0" fontId="22" fillId="36" borderId="36" xfId="0" applyFont="1" applyFill="1" applyBorder="1" applyNumberFormat="1">
      <alignment horizontal="left" vertical="top" wrapText="1"/>
      <protection locked="0"/>
    </xf>
    <xf numFmtId="0" fontId="103" fillId="0" borderId="48" xfId="0" applyFont="1" applyBorder="1" applyNumberFormat="1">
      <alignment horizontal="left" vertical="center" indent="1"/>
    </xf>
    <xf numFmtId="0" fontId="103" fillId="0" borderId="49" xfId="0" applyFont="1" applyBorder="1" applyNumberFormat="1">
      <alignment horizontal="left" vertical="center" indent="1"/>
    </xf>
    <xf numFmtId="0" fontId="0" fillId="0" borderId="49" xfId="0" applyFont="1" applyBorder="1" applyNumberFormat="1">
      <alignment horizontal="left" vertical="center" wrapText="1"/>
    </xf>
    <xf numFmtId="0" fontId="22" fillId="0" borderId="49" xfId="0" applyFont="1" applyBorder="1" applyNumberFormat="1">
      <alignment vertical="center" wrapText="1"/>
    </xf>
    <xf numFmtId="0" fontId="22" fillId="0" borderId="53" xfId="0" applyFont="1" applyBorder="1" applyNumberFormat="1">
      <alignment vertical="center" wrapText="1"/>
    </xf>
    <xf numFmtId="0" fontId="22" fillId="0" borderId="54" xfId="0" applyFont="1" applyBorder="1" applyNumberFormat="1">
      <alignment vertical="center" wrapText="1"/>
    </xf>
    <xf numFmtId="0" fontId="22" fillId="0" borderId="22" xfId="0" applyFont="1" applyBorder="1" applyNumberFormat="1">
      <alignment vertical="center" wrapText="1"/>
    </xf>
    <xf numFmtId="49" fontId="22" fillId="34" borderId="12" xfId="0" applyFont="1" applyFill="1" applyBorder="1" applyNumberFormat="1">
      <alignment horizontal="center" vertical="center" wrapText="1"/>
    </xf>
    <xf numFmtId="49" fontId="22" fillId="0" borderId="13" xfId="0" applyFont="1" applyBorder="1" applyNumberFormat="1">
      <alignment horizontal="center" vertical="center" wrapText="1"/>
    </xf>
    <xf numFmtId="49" fontId="47" fillId="0" borderId="13" xfId="0" applyFont="1" applyBorder="1" applyNumberFormat="1">
      <alignment horizontal="center" vertical="center" wrapText="1"/>
    </xf>
    <xf numFmtId="49" fontId="47" fillId="0" borderId="13" xfId="0" applyFont="1" applyBorder="1" applyNumberFormat="1">
      <alignment horizontal="left" vertical="center" wrapText="1"/>
    </xf>
    <xf numFmtId="49" fontId="47" fillId="0" borderId="12" xfId="0" applyFont="1" applyBorder="1" applyNumberFormat="1">
      <alignment horizontal="left" vertical="center" wrapText="1"/>
    </xf>
    <xf numFmtId="49" fontId="47" fillId="0" borderId="14" xfId="0" applyFont="1" applyBorder="1" applyNumberFormat="1">
      <alignment horizontal="center" vertical="center" wrapText="1"/>
    </xf>
    <xf numFmtId="49" fontId="94" fillId="0" borderId="43" xfId="0" applyFont="1" applyBorder="1" applyNumberFormat="1">
      <alignment horizontal="left" vertical="center" indent="1"/>
    </xf>
    <xf numFmtId="49" fontId="94" fillId="0" borderId="43" xfId="0" applyFont="1" applyBorder="1" applyNumberFormat="1">
      <alignment horizontal="center" vertical="center"/>
    </xf>
    <xf numFmtId="3" fontId="47" fillId="0" borderId="12" xfId="0" applyFont="1" applyBorder="1" applyNumberFormat="1">
      <alignment horizontal="center" vertical="center" wrapText="1"/>
    </xf>
    <xf numFmtId="49" fontId="125" fillId="0" borderId="13" xfId="0" applyFont="1" applyBorder="1" applyNumberFormat="1">
      <alignment horizontal="center" vertical="center" wrapText="1"/>
    </xf>
    <xf numFmtId="0" fontId="94" fillId="0" borderId="12" xfId="0" applyFont="1" applyBorder="1" applyNumberFormat="1">
      <alignment horizontal="center" vertical="center"/>
    </xf>
    <xf numFmtId="49" fontId="47" fillId="0" borderId="17" xfId="0" applyFont="1" applyBorder="1" applyNumberFormat="1">
      <alignment horizontal="left" vertical="center" wrapText="1" indent="1"/>
    </xf>
    <xf numFmtId="49" fontId="47" fillId="0" borderId="12" xfId="0" applyFont="1" applyBorder="1" applyNumberFormat="1">
      <alignment horizontal="left" vertical="center" wrapTex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47" fillId="0" borderId="36" xfId="0" applyFont="1" applyBorder="1" applyNumberFormat="1">
      <alignment horizontal="left" vertical="center" wrapText="1" indent="1"/>
    </xf>
    <xf numFmtId="49" fontId="125" fillId="0" borderId="0" xfId="0" applyFont="1" applyNumberFormat="1">
      <alignment horizontal="center" vertical="top" wrapText="1"/>
    </xf>
    <xf numFmtId="0" fontId="94" fillId="0" borderId="12" xfId="0" applyFont="1" applyBorder="1" applyNumberFormat="1">
      <alignment horizontal="center" vertical="center"/>
    </xf>
    <xf numFmtId="0" fontId="94" fillId="0" borderId="12" xfId="0" applyFont="1" applyBorder="1" applyNumberFormat="1">
      <alignment horizontal="left" vertical="center" wrapText="1" indent="1"/>
    </xf>
    <xf numFmtId="4" fontId="47" fillId="0" borderId="31" xfId="0" applyFont="1" applyBorder="1" applyNumberFormat="1">
      <alignment horizontal="right" vertical="center" wrapText="1"/>
    </xf>
    <xf numFmtId="49" fontId="47" fillId="0" borderId="23" xfId="0" applyFont="1" applyBorder="1" applyNumberFormat="1">
      <alignment horizontal="left" vertical="center" wrapText="1" indent="1"/>
    </xf>
    <xf numFmtId="49" fontId="47"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22" fillId="34" borderId="74" xfId="0" applyFont="1" applyFill="1" applyBorder="1" applyNumberFormat="1">
      <alignment horizontal="center" vertical="center" wrapText="1"/>
    </xf>
    <xf numFmtId="0" fontId="0" fillId="37" borderId="50" xfId="0" applyFont="1" applyFill="1" applyBorder="1" applyNumberFormat="1">
      <alignment horizontal="left" vertical="center"/>
    </xf>
    <xf numFmtId="49" fontId="40" fillId="37" borderId="51" xfId="0" applyFont="1" applyFill="1" applyBorder="1" applyNumberFormat="1">
      <alignment horizontal="left" vertical="center" indent="1"/>
    </xf>
    <xf numFmtId="0" fontId="22" fillId="37" borderId="50" xfId="0" applyFont="1" applyFill="1" applyBorder="1" applyNumberFormat="1">
      <alignment vertical="center" wrapText="1"/>
    </xf>
    <xf numFmtId="0" fontId="22" fillId="37" borderId="51" xfId="0" applyFont="1" applyFill="1" applyBorder="1" applyNumberFormat="1">
      <alignment vertical="center" wrapText="1"/>
    </xf>
    <xf numFmtId="49" fontId="0" fillId="34" borderId="36" xfId="0" applyFont="1" applyFill="1" applyBorder="1" applyNumberFormat="1">
      <alignment vertical="top"/>
    </xf>
    <xf numFmtId="49" fontId="0" fillId="0" borderId="36" xfId="0" applyFont="1" applyBorder="1" applyNumberFormat="1">
      <alignment vertical="top"/>
    </xf>
    <xf numFmtId="49" fontId="22" fillId="40" borderId="17" xfId="0" applyFont="1" applyFill="1" applyBorder="1" applyNumberFormat="1">
      <alignment vertical="center" wrapText="1"/>
    </xf>
    <xf numFmtId="49" fontId="0" fillId="39" borderId="36" xfId="0" applyFont="1" applyFill="1" applyBorder="1" applyNumberFormat="1">
      <alignment vertical="top"/>
      <protection locked="0"/>
    </xf>
    <xf numFmtId="49" fontId="123" fillId="0" borderId="12" xfId="0" applyFont="1" applyBorder="1" applyNumberFormat="1">
      <alignment horizontal="center" vertical="center" wrapText="1"/>
    </xf>
    <xf numFmtId="0" fontId="45" fillId="0" borderId="12" xfId="0" applyFont="1" applyBorder="1" applyNumberFormat="1">
      <alignment horizontal="center" vertical="center"/>
    </xf>
    <xf numFmtId="49" fontId="22" fillId="40" borderId="17"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45" fillId="37" borderId="15" xfId="0" applyFont="1" applyFill="1" applyBorder="1" applyNumberFormat="1">
      <alignment vertical="top" wrapText="1"/>
    </xf>
    <xf numFmtId="49" fontId="0" fillId="39" borderId="17" xfId="0" applyFont="1" applyFill="1" applyBorder="1" applyNumberFormat="1">
      <alignment vertical="top"/>
      <protection locked="0"/>
    </xf>
    <xf numFmtId="14" fontId="22" fillId="40" borderId="36" xfId="0" applyFont="1" applyFill="1" applyBorder="1" applyNumberFormat="1">
      <alignment horizontal="left" vertical="center" wrapText="1" indent="1"/>
    </xf>
    <xf numFmtId="14" fontId="22" fillId="40" borderId="22" xfId="0" applyFont="1" applyFill="1" applyBorder="1" applyNumberFormat="1">
      <alignment horizontal="left" vertical="center" wrapText="1" indent="1"/>
    </xf>
    <xf numFmtId="49" fontId="22" fillId="40" borderId="36" xfId="0" applyFont="1" applyFill="1" applyBorder="1" applyNumberFormat="1">
      <alignment vertical="center" wrapText="1"/>
    </xf>
    <xf numFmtId="49" fontId="22" fillId="40" borderId="36" xfId="0" applyFont="1" applyFill="1" applyBorder="1" applyNumberFormat="1">
      <alignment horizontal="left" vertical="center" wrapText="1" indent="1"/>
    </xf>
    <xf numFmtId="49" fontId="22" fillId="34" borderId="12" xfId="0" applyFont="1" applyFill="1" applyBorder="1" applyNumberFormat="1">
      <alignment horizontal="left" vertical="center" wrapText="1"/>
    </xf>
    <xf numFmtId="49" fontId="123" fillId="0" borderId="0" xfId="0" applyFont="1" applyNumberFormat="1">
      <alignment horizontal="center" vertical="top" wrapText="1"/>
    </xf>
    <xf numFmtId="0" fontId="45" fillId="0" borderId="12" xfId="0" applyFont="1" applyBorder="1" applyNumberFormat="1">
      <alignment horizontal="center" vertical="center"/>
    </xf>
    <xf numFmtId="0" fontId="45" fillId="40" borderId="12" xfId="0" applyFont="1" applyFill="1" applyBorder="1" applyNumberFormat="1">
      <alignment horizontal="left" vertical="center" wrapText="1" indent="1"/>
    </xf>
    <xf numFmtId="4" fontId="22" fillId="39" borderId="31" xfId="0" applyFont="1" applyFill="1" applyBorder="1" applyNumberFormat="1">
      <alignment horizontal="right" vertical="center" wrapText="1"/>
      <protection locked="0"/>
    </xf>
    <xf numFmtId="49" fontId="22" fillId="40" borderId="23" xfId="0" applyFont="1" applyFill="1" applyBorder="1" applyNumberFormat="1">
      <alignment vertical="center" wrapText="1"/>
    </xf>
    <xf numFmtId="49" fontId="22" fillId="40" borderId="23" xfId="0" applyFont="1" applyFill="1" applyBorder="1" applyNumberFormat="1">
      <alignment horizontal="left" vertical="center" wrapText="1" indent="1"/>
    </xf>
    <xf numFmtId="49" fontId="40" fillId="37" borderId="15" xfId="0" applyFont="1" applyFill="1" applyBorder="1" applyNumberFormat="1">
      <alignment horizontal="left" vertical="center" indent="1"/>
    </xf>
    <xf numFmtId="49" fontId="0" fillId="39" borderId="23" xfId="0" applyFont="1" applyFill="1" applyBorder="1" applyNumberFormat="1">
      <alignment vertical="top"/>
      <protection locked="0"/>
    </xf>
    <xf numFmtId="49" fontId="123" fillId="0" borderId="36" xfId="0" applyFont="1" applyBorder="1" applyNumberFormat="1">
      <alignment horizontal="center" vertical="top" wrapText="1"/>
    </xf>
    <xf numFmtId="0" fontId="45" fillId="0" borderId="13" xfId="0" applyFont="1" applyBorder="1" applyNumberFormat="1">
      <alignment horizontal="center" vertical="center"/>
    </xf>
    <xf numFmtId="49" fontId="22" fillId="40" borderId="13" xfId="0" applyFont="1" applyFill="1" applyBorder="1" applyNumberFormat="1">
      <alignment horizontal="left" vertical="center" wrapText="1"/>
    </xf>
    <xf numFmtId="49" fontId="22" fillId="39" borderId="12" xfId="0" applyFont="1" applyFill="1" applyBorder="1" applyNumberFormat="1">
      <alignment horizontal="left" vertical="center" wrapText="1"/>
      <protection locked="0"/>
    </xf>
    <xf numFmtId="49" fontId="105" fillId="37" borderId="42"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3"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0" fontId="45" fillId="0" borderId="13" xfId="0" applyFont="1" applyBorder="1" applyNumberFormat="1">
      <alignment horizontal="center" vertical="center"/>
    </xf>
    <xf numFmtId="49" fontId="45" fillId="37" borderId="13" xfId="0" applyFont="1" applyFill="1" applyBorder="1" applyNumberFormat="1">
      <alignment vertical="top" wrapText="1"/>
    </xf>
    <xf numFmtId="49" fontId="45"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0" fontId="103" fillId="0" borderId="47" xfId="0" applyFont="1" applyBorder="1" applyNumberFormat="1">
      <alignment horizontal="left" vertical="center" indent="1"/>
    </xf>
    <xf numFmtId="49" fontId="22" fillId="0" borderId="55" xfId="0" applyFont="1" applyBorder="1" applyNumberFormat="1">
      <alignment horizontal="center" vertical="center"/>
    </xf>
    <xf numFmtId="0" fontId="22" fillId="0" borderId="55" xfId="0" applyFont="1" applyBorder="1" applyNumberFormat="1">
      <alignment horizontal="right" vertical="center"/>
    </xf>
    <xf numFmtId="0" fontId="22" fillId="0" borderId="55" xfId="0" applyFont="1" applyBorder="1" applyNumberFormat="1">
      <alignment horizontal="center" vertical="center"/>
    </xf>
    <xf numFmtId="0" fontId="22" fillId="0" borderId="15" xfId="0" applyFont="1" applyBorder="1" applyNumberFormat="1">
      <alignment horizontal="right" vertical="center"/>
    </xf>
    <xf numFmtId="0" fontId="22" fillId="0" borderId="13" xfId="0" applyFont="1" applyBorder="1" applyNumberFormat="1">
      <alignment horizontal="right" vertical="center"/>
    </xf>
    <xf numFmtId="49" fontId="0" fillId="0" borderId="0" xfId="0" applyFont="1" applyNumberFormat="1">
      <alignment vertical="top"/>
    </xf>
    <xf numFmtId="0" fontId="22" fillId="35" borderId="12" xfId="0" applyFont="1" applyFill="1" applyBorder="1" applyNumberFormat="1">
      <alignment horizontal="center" vertical="center"/>
    </xf>
    <xf numFmtId="0" fontId="22" fillId="40" borderId="12" xfId="0" applyFont="1" applyFill="1" applyBorder="1" applyNumberFormat="1">
      <alignment horizontal="left" vertical="center" wrapText="1" indent="1"/>
    </xf>
    <xf numFmtId="0" fontId="22" fillId="39" borderId="12" xfId="0" applyFont="1" applyFill="1" applyBorder="1" applyNumberFormat="1">
      <alignment horizontal="left" vertical="center" wrapText="1" indent="1"/>
      <protection locked="0"/>
    </xf>
    <xf numFmtId="49" fontId="22" fillId="36" borderId="12" xfId="0" applyFont="1" applyFill="1" applyBorder="1" applyNumberFormat="1">
      <alignment horizontal="left" vertical="center" indent="1"/>
      <protection locked="0"/>
    </xf>
    <xf numFmtId="0" fontId="22" fillId="41" borderId="12" xfId="0" applyFont="1" applyFill="1" applyBorder="1" applyNumberFormat="1">
      <alignment horizontal="right" vertical="center"/>
    </xf>
    <xf numFmtId="4" fontId="22" fillId="36" borderId="12" xfId="0" applyFont="1" applyFill="1" applyBorder="1" applyNumberFormat="1">
      <alignment horizontal="right" vertical="center"/>
      <protection locked="0"/>
    </xf>
    <xf numFmtId="49" fontId="40" fillId="37" borderId="56"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52" borderId="13" xfId="0" applyFont="1" applyFill="1" applyBorder="1" applyNumberFormat="1">
      <alignment horizontal="left" vertical="center" indent="1"/>
    </xf>
    <xf numFmtId="49" fontId="22" fillId="0" borderId="0" xfId="0" applyFont="1" applyNumberFormat="1">
      <alignment vertical="top"/>
    </xf>
    <xf numFmtId="49" fontId="22" fillId="0" borderId="17" xfId="0" applyFont="1" applyBorder="1" applyNumberFormat="1">
      <alignment horizontal="center" vertical="center" wrapText="1"/>
    </xf>
    <xf numFmtId="49" fontId="22" fillId="0" borderId="36" xfId="0" applyFont="1" applyBorder="1" applyNumberFormat="1">
      <alignment horizontal="center" vertical="center" wrapText="1"/>
    </xf>
    <xf numFmtId="0" fontId="47" fillId="0" borderId="0" xfId="0" applyFont="1" applyNumberFormat="1">
      <alignment horizontal="center" vertical="center" wrapText="1"/>
    </xf>
    <xf numFmtId="0" fontId="22" fillId="0" borderId="12" xfId="0" applyFont="1" applyBorder="1" applyNumberFormat="1">
      <alignment horizontal="left" vertical="center" wrapText="1"/>
    </xf>
    <xf numFmtId="0" fontId="48" fillId="0" borderId="0" xfId="0" applyFont="1" applyNumberFormat="1">
      <alignment horizontal="center" vertical="center" wrapText="1"/>
    </xf>
    <xf numFmtId="0" fontId="40" fillId="0" borderId="12" xfId="0" applyFont="1" applyBorder="1" applyNumberFormat="1">
      <alignment horizontal="left" vertical="center" indent="1"/>
    </xf>
    <xf numFmtId="0" fontId="47" fillId="0" borderId="0" xfId="0" applyFont="1" applyNumberFormat="1">
      <alignment horizontal="center" vertical="top"/>
    </xf>
    <xf numFmtId="49" fontId="22" fillId="0" borderId="23" xfId="0" applyFont="1" applyBorder="1" applyNumberFormat="1">
      <alignment horizontal="center" vertical="center" wrapText="1"/>
    </xf>
    <xf numFmtId="0" fontId="48" fillId="0" borderId="23" xfId="0" applyFont="1" applyBorder="1" applyNumberFormat="1">
      <alignment vertical="center" wrapText="1"/>
    </xf>
    <xf numFmtId="4" fontId="48" fillId="0" borderId="12" xfId="0" applyFont="1" applyBorder="1" applyNumberFormat="1">
      <alignment horizontal="right" vertical="center" wrapText="1"/>
    </xf>
    <xf numFmtId="2" fontId="48" fillId="0" borderId="23" xfId="0" applyFont="1" applyBorder="1" applyNumberFormat="1">
      <alignment horizontal="center" vertical="center" wrapText="1"/>
    </xf>
    <xf numFmtId="0" fontId="48" fillId="0" borderId="0" xfId="0" applyFont="1" applyNumberFormat="1">
      <alignment horizontal="center" vertical="top"/>
    </xf>
    <xf numFmtId="49" fontId="48" fillId="0" borderId="0" xfId="0" applyFont="1" applyNumberFormat="1">
      <alignment vertical="top"/>
    </xf>
    <xf numFmtId="49" fontId="48" fillId="0" borderId="14" xfId="0" applyFont="1" applyBorder="1" applyNumberFormat="1">
      <alignment horizontal="left" vertical="center"/>
    </xf>
    <xf numFmtId="49" fontId="48" fillId="0" borderId="15" xfId="0" applyFont="1" applyBorder="1" applyNumberFormat="1">
      <alignment horizontal="left" vertical="center" indent="1"/>
    </xf>
    <xf numFmtId="49" fontId="48" fillId="0" borderId="15" xfId="0" applyFont="1" applyBorder="1" applyNumberFormat="1">
      <alignment horizontal="left" vertical="center"/>
    </xf>
    <xf numFmtId="49" fontId="48" fillId="0" borderId="13" xfId="0" applyFont="1" applyBorder="1" applyNumberFormat="1">
      <alignment horizontal="left" vertical="center" indent="1"/>
    </xf>
    <xf numFmtId="0" fontId="48" fillId="0" borderId="12" xfId="0" applyFont="1" applyBorder="1" applyNumberFormat="1">
      <alignment horizontal="left" vertical="center" indent="1"/>
    </xf>
    <xf numFmtId="49" fontId="0" fillId="0" borderId="19" xfId="0" applyFont="1" applyBorder="1" applyNumberFormat="1">
      <alignment vertical="top"/>
    </xf>
    <xf numFmtId="49" fontId="37" fillId="0" borderId="17"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0" fillId="0" borderId="13" xfId="0" applyFont="1" applyBorder="1" applyNumberFormat="1">
      <alignment horizontal="center" vertical="center" wrapText="1"/>
    </xf>
    <xf numFmtId="0" fontId="0" fillId="0" borderId="12" xfId="0" applyFont="1" applyBorder="1" applyNumberFormat="1">
      <alignment horizontal="left" vertical="center" wrapText="1"/>
    </xf>
    <xf numFmtId="49" fontId="0" fillId="0" borderId="12" xfId="0" applyFont="1" applyBorder="1" applyNumberFormat="1">
      <alignment horizontal="center" vertical="center"/>
    </xf>
    <xf numFmtId="0" fontId="0" fillId="0" borderId="12" xfId="0" applyFont="1" applyBorder="1" applyNumberFormat="1">
      <alignment horizontal="center" vertical="center" wrapText="1"/>
    </xf>
    <xf numFmtId="4" fontId="0" fillId="34" borderId="12" xfId="0" applyFont="1" applyFill="1" applyBorder="1" applyNumberFormat="1">
      <alignment horizontal="right" vertical="center" wrapText="1"/>
    </xf>
    <xf numFmtId="49" fontId="22" fillId="0" borderId="36" xfId="0" applyFont="1" applyBorder="1" applyNumberFormat="1">
      <alignment horizontal="center" vertical="top" wrapText="1"/>
    </xf>
    <xf numFmtId="0" fontId="0" fillId="39" borderId="12" xfId="0" applyFont="1" applyFill="1" applyBorder="1" applyNumberFormat="1">
      <alignment horizontal="left" vertical="center" wrapText="1"/>
      <protection locked="0"/>
    </xf>
    <xf numFmtId="49" fontId="0" fillId="39" borderId="14" xfId="0" applyFont="1" applyFill="1" applyBorder="1" applyNumberFormat="1">
      <alignment horizontal="left" vertical="center" wrapText="1"/>
      <protection locked="0"/>
    </xf>
    <xf numFmtId="0" fontId="0" fillId="0" borderId="12" xfId="0" applyFont="1" applyBorder="1" applyNumberFormat="1">
      <alignment vertical="center" wrapText="1"/>
    </xf>
    <xf numFmtId="49" fontId="0" fillId="0" borderId="29" xfId="0" applyFont="1" applyBorder="1" applyNumberFormat="1">
      <alignment horizontal="center" vertical="center" wrapText="1"/>
    </xf>
    <xf numFmtId="49" fontId="0" fillId="39"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7" fillId="0" borderId="12" xfId="0" applyFont="1" applyBorder="1" applyNumberFormat="1">
      <alignment horizontal="right" vertical="center" wrapText="1"/>
    </xf>
    <xf numFmtId="49" fontId="0" fillId="39" borderId="12" xfId="0" applyFont="1" applyFill="1" applyBorder="1" applyNumberFormat="1">
      <alignment horizontal="left" vertical="center" wrapText="1"/>
      <protection locked="0"/>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40" fillId="37" borderId="15" xfId="0" applyFont="1" applyFill="1" applyBorder="1" applyNumberFormat="1">
      <alignment horizontal="left" vertical="center"/>
    </xf>
    <xf numFmtId="49" fontId="40" fillId="37" borderId="13" xfId="0" applyFont="1" applyFill="1" applyBorder="1" applyNumberFormat="1">
      <alignment horizontal="left" vertical="center" indent="1"/>
    </xf>
    <xf numFmtId="49" fontId="22" fillId="0" borderId="23" xfId="0" applyFont="1" applyBorder="1" applyNumberFormat="1">
      <alignment horizontal="center" vertical="top" wrapText="1"/>
    </xf>
    <xf numFmtId="49" fontId="22" fillId="39" borderId="12" xfId="0" applyFont="1" applyFill="1" applyBorder="1" applyNumberFormat="1">
      <alignment horizontal="left" vertical="center" wrapText="1" indent="1"/>
      <protection locked="0"/>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37" fillId="0" borderId="0" xfId="0" applyFont="1" applyNumberFormat="1">
      <alignment horizontal="center" vertical="center" wrapText="1"/>
    </xf>
    <xf numFmtId="0" fontId="0" fillId="0" borderId="12" xfId="0" applyFont="1" applyBorder="1" applyNumberFormat="1">
      <alignment horizontal="center" vertical="center"/>
    </xf>
    <xf numFmtId="0" fontId="22" fillId="40" borderId="12" xfId="0" applyFont="1" applyFill="1" applyBorder="1" applyNumberFormat="1">
      <alignment horizontal="left" vertical="top" wrapText="1"/>
    </xf>
    <xf numFmtId="49" fontId="22" fillId="36" borderId="12" xfId="0" applyFont="1" applyFill="1" applyBorder="1" applyNumberFormat="1">
      <alignment horizontal="left" vertical="center" wrapText="1"/>
      <protection locked="0"/>
    </xf>
    <xf numFmtId="0" fontId="0" fillId="40" borderId="12" xfId="0" applyFont="1" applyFill="1" applyBorder="1" applyNumberFormat="1">
      <alignment horizontal="left" vertical="center" wrapText="1"/>
    </xf>
    <xf numFmtId="49" fontId="0" fillId="39" borderId="12" xfId="0" applyFont="1" applyFill="1" applyBorder="1" applyNumberFormat="1">
      <alignment horizontal="left" vertical="center" wrapText="1"/>
      <protection locked="0"/>
    </xf>
    <xf numFmtId="49" fontId="22" fillId="0" borderId="12" xfId="0" applyFont="1" applyBorder="1" applyNumberFormat="1">
      <alignment horizontal="center" vertical="center" wrapText="1"/>
    </xf>
    <xf numFmtId="49" fontId="0" fillId="39"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0" fontId="0" fillId="0" borderId="0" xfId="0" applyFont="1" applyNumberFormat="1">
      <alignment horizontal="left" vertical="center" indent="1"/>
    </xf>
    <xf numFmtId="0" fontId="0" fillId="0" borderId="0" xfId="0" applyFont="1" applyNumberFormat="1">
      <alignment vertical="center"/>
    </xf>
    <xf numFmtId="0" fontId="40" fillId="37" borderId="14"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3" xfId="0" applyFont="1" applyFill="1" applyBorder="1" applyNumberFormat="1">
      <alignment horizontal="left" vertical="center"/>
    </xf>
    <xf numFmtId="49" fontId="0" fillId="0" borderId="12" xfId="0" applyFont="1" applyBorder="1" applyNumberFormat="1">
      <alignment vertical="top"/>
    </xf>
    <xf numFmtId="49" fontId="0" fillId="0" borderId="12" xfId="0" applyFont="1" applyBorder="1" applyNumberFormat="1">
      <alignment horizontal="left" vertical="top"/>
    </xf>
    <xf numFmtId="49" fontId="0" fillId="40" borderId="12" xfId="0" applyFont="1" applyFill="1" applyBorder="1" applyNumberFormat="1">
      <alignment horizontal="left" vertical="top"/>
    </xf>
    <xf numFmtId="49" fontId="0" fillId="36" borderId="12" xfId="0" applyFont="1" applyFill="1" applyBorder="1" applyNumberFormat="1">
      <alignment horizontal="left" vertical="top"/>
      <protection locked="0"/>
    </xf>
    <xf numFmtId="49" fontId="0" fillId="40" borderId="12" xfId="0" applyFont="1" applyFill="1" applyBorder="1" applyNumberFormat="1">
      <alignment horizontal="left" vertical="center" wrapText="1"/>
    </xf>
    <xf numFmtId="0" fontId="0" fillId="37" borderId="15" xfId="0" applyFont="1" applyFill="1" applyBorder="1" applyNumberFormat="1">
      <alignment vertical="center"/>
    </xf>
    <xf numFmtId="49" fontId="0" fillId="0" borderId="36" xfId="0" applyFont="1" applyBorder="1" applyNumberFormat="1">
      <alignment horizontal="left" vertical="top"/>
    </xf>
    <xf numFmtId="0" fontId="22" fillId="40" borderId="36" xfId="0" applyFont="1" applyFill="1" applyBorder="1" applyNumberFormat="1">
      <alignment horizontal="center" vertical="top" wrapText="1"/>
    </xf>
    <xf numFmtId="49" fontId="0" fillId="40" borderId="36" xfId="0" applyFont="1" applyFill="1" applyBorder="1" applyNumberFormat="1">
      <alignment horizontal="left" vertical="top"/>
    </xf>
    <xf numFmtId="49" fontId="0" fillId="36" borderId="36" xfId="0" applyFont="1" applyFill="1" applyBorder="1" applyNumberFormat="1">
      <alignment horizontal="left" vertical="top"/>
      <protection locked="0"/>
    </xf>
    <xf numFmtId="49" fontId="22" fillId="40" borderId="0" xfId="0" applyFont="1" applyFill="1" applyNumberFormat="1">
      <alignment horizontal="center" vertical="center" wrapText="1"/>
    </xf>
    <xf numFmtId="0" fontId="40" fillId="0" borderId="36" xfId="0" applyFont="1" applyBorder="1" applyNumberFormat="1">
      <alignment horizontal="left" vertical="center"/>
    </xf>
    <xf numFmtId="49" fontId="0" fillId="40" borderId="36" xfId="0" applyFont="1" applyFill="1" applyBorder="1" applyNumberFormat="1">
      <alignment horizontal="left" vertical="center" wrapText="1"/>
    </xf>
    <xf numFmtId="49" fontId="22" fillId="40" borderId="36" xfId="0" applyFont="1" applyFill="1" applyBorder="1" applyNumberFormat="1">
      <alignment horizontal="center" vertical="center" wrapText="1"/>
    </xf>
    <xf numFmtId="0" fontId="40" fillId="36" borderId="36" xfId="0" applyFont="1" applyFill="1" applyBorder="1" applyNumberFormat="1">
      <alignment horizontal="left" vertical="center"/>
      <protection locked="0"/>
    </xf>
    <xf numFmtId="0" fontId="40" fillId="39" borderId="36" xfId="0" applyFont="1" applyFill="1" applyBorder="1" applyNumberFormat="1">
      <alignment horizontal="left" vertical="center"/>
      <protection locked="0"/>
    </xf>
    <xf numFmtId="49" fontId="48" fillId="0" borderId="12" xfId="0" applyFont="1" applyBorder="1" applyNumberFormat="1">
      <alignment horizontal="center" vertical="center" wrapText="1"/>
    </xf>
    <xf numFmtId="49" fontId="48" fillId="0" borderId="14" xfId="0" applyFont="1" applyBorder="1" applyNumberFormat="1">
      <alignment horizontal="left" vertical="center" wrapText="1"/>
    </xf>
    <xf numFmtId="0" fontId="48" fillId="0" borderId="14" xfId="0" applyFont="1" applyBorder="1" applyNumberFormat="1">
      <alignment horizontal="left" vertical="center"/>
    </xf>
    <xf numFmtId="0" fontId="48" fillId="0" borderId="15" xfId="0" applyFont="1" applyBorder="1" applyNumberFormat="1">
      <alignment horizontal="left" vertical="center"/>
    </xf>
    <xf numFmtId="0" fontId="40" fillId="37" borderId="29" xfId="0" applyFont="1" applyFill="1" applyBorder="1" applyNumberFormat="1">
      <alignment horizontal="left" vertical="center"/>
    </xf>
    <xf numFmtId="49" fontId="0" fillId="0" borderId="0" xfId="0" applyFont="1" applyNumberFormat="1">
      <alignment vertical="top"/>
    </xf>
    <xf numFmtId="49" fontId="0" fillId="36" borderId="36" xfId="0" applyFont="1" applyFill="1" applyBorder="1" applyNumberFormat="1">
      <alignment vertical="top"/>
      <protection locked="0"/>
    </xf>
    <xf numFmtId="0" fontId="0" fillId="0" borderId="0" xfId="0" applyFont="1" applyNumberFormat="1">
      <alignment vertical="center"/>
    </xf>
    <xf numFmtId="0" fontId="0" fillId="0" borderId="12" xfId="0" applyFont="1" applyBorder="1" applyNumberFormat="1">
      <alignment horizontal="center" vertical="center"/>
    </xf>
    <xf numFmtId="0" fontId="0" fillId="0" borderId="37" xfId="0" applyFont="1" applyBorder="1" applyNumberFormat="1">
      <alignment horizontal="center" vertical="center"/>
    </xf>
    <xf numFmtId="0" fontId="0" fillId="0" borderId="19" xfId="0" applyFont="1" applyBorder="1" applyNumberFormat="1">
      <alignment horizontal="center" vertical="center"/>
    </xf>
    <xf numFmtId="0" fontId="0" fillId="0" borderId="19" xfId="0" applyFont="1" applyBorder="1" applyNumberFormat="1">
      <alignment horizontal="left"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0" fillId="0" borderId="22" xfId="0" applyFont="1" applyBorder="1" applyNumberFormat="1">
      <alignment horizontal="center" vertical="center"/>
    </xf>
    <xf numFmtId="0" fontId="0" fillId="0" borderId="0" xfId="0" applyFont="1" applyNumberFormat="1">
      <alignment horizontal="center" vertical="center"/>
    </xf>
    <xf numFmtId="0" fontId="0" fillId="0" borderId="0" xfId="0" applyFont="1" applyNumberFormat="1">
      <alignment horizontal="left" vertical="center" wrapText="1"/>
    </xf>
    <xf numFmtId="49" fontId="0" fillId="0" borderId="0" xfId="0" applyFont="1" applyNumberFormat="1">
      <alignment horizontal="left" vertical="center" wrapText="1"/>
    </xf>
    <xf numFmtId="49" fontId="0" fillId="0" borderId="0" xfId="0" applyFont="1" applyNumberFormat="1">
      <alignment horizontal="left" vertical="top"/>
    </xf>
    <xf numFmtId="49" fontId="22" fillId="0" borderId="0" xfId="0" applyFont="1" applyNumberFormat="1">
      <alignment horizontal="center" vertical="center" wrapText="1"/>
    </xf>
    <xf numFmtId="0" fontId="0" fillId="0" borderId="0" xfId="0" applyFont="1" applyNumberFormat="1">
      <alignment vertical="center"/>
    </xf>
    <xf numFmtId="0" fontId="0" fillId="0" borderId="27" xfId="0" applyFont="1" applyBorder="1" applyNumberFormat="1">
      <alignment vertical="center"/>
    </xf>
    <xf numFmtId="49" fontId="22" fillId="0" borderId="36" xfId="0" applyFont="1" applyBorder="1" applyNumberFormat="1">
      <alignment horizontal="center" vertical="center"/>
    </xf>
    <xf numFmtId="49" fontId="22" fillId="0" borderId="36" xfId="0" applyFont="1" applyBorder="1" applyNumberFormat="1">
      <alignment vertical="center" wrapText="1"/>
    </xf>
    <xf numFmtId="0" fontId="22" fillId="0" borderId="24" xfId="0" applyFont="1" applyBorder="1" applyNumberFormat="1">
      <alignment horizontal="center" vertical="center"/>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37" fillId="0" borderId="36" xfId="0" applyFont="1" applyBorder="1" applyNumberFormat="1">
      <alignment vertical="center" wrapText="1"/>
    </xf>
    <xf numFmtId="0" fontId="22" fillId="40" borderId="17" xfId="0" applyFont="1" applyFill="1" applyBorder="1" applyNumberFormat="1">
      <alignment horizontal="left" vertical="center" wrapText="1"/>
    </xf>
    <xf numFmtId="49" fontId="22" fillId="0" borderId="17" xfId="0" applyFont="1" applyBorder="1" applyNumberFormat="1">
      <alignment horizontal="center" vertical="center" wrapText="1"/>
    </xf>
    <xf numFmtId="49" fontId="22" fillId="40" borderId="17" xfId="0" applyFont="1" applyFill="1" applyBorder="1" applyNumberFormat="1">
      <alignment horizontal="left" vertical="center" wrapText="1"/>
    </xf>
    <xf numFmtId="0" fontId="22" fillId="0" borderId="17" xfId="0" applyFont="1" applyBorder="1" applyNumberFormat="1">
      <alignment horizontal="left" vertical="center" wrapText="1"/>
    </xf>
    <xf numFmtId="49" fontId="22" fillId="0" borderId="17" xfId="0" applyFont="1" applyBorder="1" applyNumberFormat="1">
      <alignment horizontal="center" vertical="center" wrapText="1"/>
    </xf>
    <xf numFmtId="49" fontId="22" fillId="40" borderId="17" xfId="0" applyFont="1" applyFill="1" applyBorder="1" applyNumberFormat="1">
      <alignment vertical="center" wrapText="1"/>
    </xf>
    <xf numFmtId="0" fontId="22" fillId="0" borderId="36" xfId="0" applyFont="1" applyBorder="1" applyNumberFormat="1">
      <alignment horizontal="left" vertical="center" wrapText="1"/>
    </xf>
    <xf numFmtId="49" fontId="22" fillId="0" borderId="36" xfId="0" applyFont="1" applyBorder="1" applyNumberFormat="1">
      <alignment horizontal="left" vertical="center" wrapText="1"/>
    </xf>
    <xf numFmtId="0" fontId="22" fillId="40" borderId="36" xfId="0" applyFont="1" applyFill="1" applyBorder="1" applyNumberFormat="1">
      <alignment horizontal="left" vertical="center" wrapText="1"/>
    </xf>
    <xf numFmtId="49" fontId="22" fillId="0" borderId="36" xfId="0" applyFont="1" applyBorder="1" applyNumberFormat="1">
      <alignment horizontal="center" vertical="center" wrapText="1"/>
    </xf>
    <xf numFmtId="0" fontId="22" fillId="0" borderId="23" xfId="0" applyFont="1" applyBorder="1" applyNumberFormat="1">
      <alignment horizontal="left" vertical="center" wrapText="1"/>
    </xf>
    <xf numFmtId="0" fontId="40" fillId="0" borderId="23" xfId="0" applyFont="1" applyBorder="1" applyNumberFormat="1">
      <alignment horizontal="left" vertical="center"/>
    </xf>
    <xf numFmtId="0" fontId="40" fillId="37" borderId="14"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3" xfId="0" applyFont="1" applyFill="1" applyBorder="1" applyNumberFormat="1">
      <alignment horizontal="left" vertical="center"/>
    </xf>
    <xf numFmtId="49" fontId="22" fillId="0" borderId="36" xfId="0" applyFont="1" applyBorder="1" applyNumberFormat="1">
      <alignment horizontal="center" vertical="center" wrapText="1"/>
    </xf>
    <xf numFmtId="0" fontId="40" fillId="37" borderId="37" xfId="0" applyFont="1" applyFill="1" applyBorder="1" applyNumberFormat="1">
      <alignment horizontal="left" vertical="center"/>
    </xf>
    <xf numFmtId="0" fontId="40" fillId="37" borderId="19" xfId="0" applyFont="1" applyFill="1" applyBorder="1" applyNumberFormat="1">
      <alignment horizontal="left" vertical="center"/>
    </xf>
    <xf numFmtId="0" fontId="40" fillId="37" borderId="20" xfId="0" applyFont="1" applyFill="1" applyBorder="1" applyNumberFormat="1">
      <alignment horizontal="left" vertical="center"/>
    </xf>
    <xf numFmtId="49" fontId="22" fillId="39" borderId="17" xfId="0" applyFont="1" applyFill="1" applyBorder="1" applyNumberFormat="1">
      <alignment horizontal="left" vertical="center" wrapText="1"/>
      <protection locked="0"/>
    </xf>
    <xf numFmtId="49" fontId="37" fillId="0" borderId="36" xfId="0" applyFont="1" applyBorder="1" applyNumberFormat="1">
      <alignment horizontal="center" vertical="center" wrapText="1"/>
    </xf>
    <xf numFmtId="0" fontId="40" fillId="37" borderId="37" xfId="0" applyFont="1" applyFill="1" applyBorder="1" applyNumberFormat="1">
      <alignment vertical="center"/>
    </xf>
    <xf numFmtId="0" fontId="40" fillId="0" borderId="36" xfId="0" applyFont="1" applyBorder="1" applyNumberFormat="1">
      <alignment horizontal="left" vertical="center"/>
    </xf>
    <xf numFmtId="49" fontId="22" fillId="36" borderId="17" xfId="0" applyFont="1" applyFill="1" applyBorder="1" applyNumberFormat="1">
      <alignment horizontal="left" vertical="center" wrapText="1"/>
      <protection locked="0"/>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0" borderId="19" xfId="0" applyFont="1" applyBorder="1" applyNumberFormat="1">
      <alignment horizontal="left" vertical="center" wrapText="1"/>
    </xf>
    <xf numFmtId="49" fontId="22" fillId="0" borderId="19" xfId="0" applyFont="1" applyBorder="1" applyNumberFormat="1">
      <alignment horizontal="left" vertical="center" wrapText="1"/>
    </xf>
    <xf numFmtId="49" fontId="37" fillId="0" borderId="19" xfId="0" applyFont="1" applyBorder="1" applyNumberFormat="1">
      <alignment vertical="center" wrapText="1"/>
    </xf>
    <xf numFmtId="49" fontId="22" fillId="0" borderId="0" xfId="0" applyFont="1" applyNumberFormat="1">
      <alignment horizontal="left" vertical="center" wrapText="1"/>
    </xf>
    <xf numFmtId="49" fontId="37" fillId="0" borderId="0" xfId="0" applyFont="1" applyNumberFormat="1">
      <alignment vertical="center" wrapText="1"/>
    </xf>
    <xf numFmtId="0" fontId="40" fillId="0" borderId="0" xfId="0" applyFont="1" applyNumberFormat="1">
      <alignment horizontal="left" vertical="center"/>
    </xf>
    <xf numFmtId="49" fontId="37" fillId="0" borderId="0" xfId="0" applyFont="1" applyNumberFormat="1">
      <alignment horizontal="center" vertical="center" wrapText="1"/>
    </xf>
    <xf numFmtId="49" fontId="95" fillId="0" borderId="12" xfId="0" applyFont="1" applyBorder="1" applyNumberFormat="1">
      <alignment vertical="top" wrapText="1"/>
    </xf>
    <xf numFmtId="49" fontId="91" fillId="0" borderId="12" xfId="0" applyFont="1" applyBorder="1" applyNumberFormat="1">
      <alignment horizontal="center" vertical="top" wrapText="1"/>
    </xf>
    <xf numFmtId="49" fontId="91" fillId="41" borderId="12" xfId="0" applyFont="1" applyFill="1" applyBorder="1" applyNumberFormat="1">
      <alignment horizontal="center" vertical="top"/>
    </xf>
    <xf numFmtId="49" fontId="91" fillId="0" borderId="12" xfId="0" applyFont="1" applyBorder="1" applyNumberFormat="1">
      <alignment vertical="top" wrapText="1"/>
    </xf>
    <xf numFmtId="0" fontId="91" fillId="0" borderId="12" xfId="0" applyFont="1" applyBorder="1" applyNumberFormat="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0" fontId="95" fillId="0" borderId="12" xfId="0" applyFont="1" applyBorder="1" applyNumberFormat="1">
      <alignment vertical="top" wrapText="1"/>
    </xf>
    <xf numFmtId="49" fontId="95" fillId="0" borderId="0" xfId="0" applyFont="1" applyNumberFormat="1">
      <alignment vertical="top" wrapText="1"/>
    </xf>
    <xf numFmtId="49" fontId="95" fillId="0" borderId="0" xfId="0" applyFont="1" applyNumberFormat="1">
      <alignment vertical="top"/>
    </xf>
    <xf numFmtId="49" fontId="95" fillId="0" borderId="0" xfId="0" applyFont="1" applyNumberFormat="1">
      <alignment horizontal="center" vertical="top" wrapText="1"/>
    </xf>
    <xf numFmtId="49" fontId="95" fillId="0" borderId="12" xfId="0" applyFont="1" applyBorder="1" applyNumberFormat="1">
      <alignment horizontal="center" vertical="top" wrapText="1"/>
    </xf>
    <xf numFmtId="49" fontId="95" fillId="0" borderId="12" xfId="0" applyFont="1" applyBorder="1" applyNumberFormat="1">
      <alignment horizontal="center" vertical="top" wrapText="1"/>
    </xf>
    <xf numFmtId="49" fontId="95" fillId="41" borderId="12" xfId="0" applyFont="1" applyFill="1" applyBorder="1" applyNumberFormat="1">
      <alignment horizontal="center" vertical="top" wrapText="1"/>
    </xf>
    <xf numFmtId="49" fontId="91" fillId="41" borderId="12" xfId="0" applyFont="1" applyFill="1" applyBorder="1" applyNumberFormat="1">
      <alignment horizontal="center" vertical="top" wrapText="1"/>
    </xf>
    <xf numFmtId="49" fontId="95" fillId="0" borderId="12" xfId="0" applyFont="1" applyBorder="1" applyNumberFormat="1">
      <alignment horizontal="left" vertical="top" wrapText="1"/>
    </xf>
    <xf numFmtId="0" fontId="91" fillId="41" borderId="12" xfId="0" applyFont="1" applyFill="1" applyBorder="1" applyNumberFormat="1">
      <alignment horizontal="center" vertical="top" wrapText="1"/>
    </xf>
    <xf numFmtId="0" fontId="95" fillId="41" borderId="12" xfId="0" applyFont="1" applyFill="1" applyBorder="1" applyNumberFormat="1">
      <alignment horizontal="right" vertical="center"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0" fontId="95" fillId="0" borderId="12" xfId="0" applyFont="1" applyBorder="1" applyNumberFormat="1">
      <alignment horizontal="left" vertical="top" wrapText="1"/>
    </xf>
    <xf numFmtId="49" fontId="95" fillId="41" borderId="12" xfId="0" applyFont="1" applyFill="1" applyBorder="1" applyNumberFormat="1">
      <alignment horizontal="left" vertical="top" wrapText="1"/>
    </xf>
    <xf numFmtId="0" fontId="95" fillId="41" borderId="12" xfId="0" applyFont="1" applyFill="1" applyBorder="1" applyNumberFormat="1">
      <alignment horizontal="center" vertical="center" wrapText="1"/>
    </xf>
    <xf numFmtId="0" fontId="95" fillId="41" borderId="12" xfId="0" applyFont="1" applyFill="1" applyBorder="1" applyNumberFormat="1">
      <alignment horizontal="center" vertical="center"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17" xfId="0" applyFont="1" applyBorder="1" applyNumberFormat="1">
      <alignment horizontal="center" vertical="top" wrapText="1"/>
    </xf>
    <xf numFmtId="0" fontId="95" fillId="0" borderId="17" xfId="0" applyFont="1" applyBorder="1" applyNumberFormat="1">
      <alignment horizontal="left" vertical="top" wrapText="1"/>
    </xf>
    <xf numFmtId="49" fontId="95" fillId="0" borderId="37" xfId="0" applyFont="1" applyBorder="1" applyNumberFormat="1">
      <alignment horizontal="center" vertical="top" wrapText="1"/>
    </xf>
    <xf numFmtId="49" fontId="95" fillId="0" borderId="37" xfId="0" applyFont="1" applyBorder="1" applyNumberFormat="1">
      <alignment horizontal="center" vertical="top" wrapText="1"/>
    </xf>
    <xf numFmtId="0" fontId="95" fillId="0" borderId="13" xfId="0" applyFont="1" applyBorder="1" applyNumberFormat="1">
      <alignment horizontal="left" vertical="top" wrapText="1"/>
    </xf>
    <xf numFmtId="49" fontId="95" fillId="0" borderId="23"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22" xfId="0" applyFont="1" applyBorder="1" applyNumberFormat="1">
      <alignment horizontal="center" vertical="top" wrapText="1"/>
    </xf>
    <xf numFmtId="0" fontId="95" fillId="0" borderId="17" xfId="0" applyFont="1" applyBorder="1" applyNumberFormat="1">
      <alignment vertical="top" wrapText="1"/>
    </xf>
    <xf numFmtId="49" fontId="91" fillId="0" borderId="12" xfId="0" applyFont="1" applyBorder="1" applyNumberFormat="1">
      <alignment horizontal="left" vertical="top" wrapText="1"/>
    </xf>
    <xf numFmtId="0" fontId="91" fillId="0" borderId="14" xfId="0" applyFont="1" applyBorder="1" applyNumberFormat="1">
      <alignment horizontal="center" vertical="center" wrapText="1"/>
    </xf>
    <xf numFmtId="0" fontId="91" fillId="0" borderId="14" xfId="0" applyFont="1" applyBorder="1" applyNumberFormat="1">
      <alignment horizontal="center" vertical="center"/>
    </xf>
    <xf numFmtId="49" fontId="91" fillId="0" borderId="12" xfId="0" applyFont="1" applyBorder="1" applyNumberFormat="1">
      <alignment horizontal="center" vertical="center" wrapText="1"/>
    </xf>
    <xf numFmtId="0" fontId="91" fillId="0" borderId="12" xfId="0" applyFont="1" applyBorder="1" applyNumberFormat="1">
      <alignment vertical="center" wrapText="1"/>
    </xf>
    <xf numFmtId="49" fontId="95" fillId="0" borderId="14" xfId="0" applyFont="1" applyBorder="1" applyNumberFormat="1">
      <alignment horizontal="left" vertical="top" wrapText="1"/>
    </xf>
    <xf numFmtId="0" fontId="91" fillId="0" borderId="12" xfId="0" applyFont="1" applyBorder="1" applyNumberFormat="1">
      <alignment horizontal="center" vertical="center" wrapText="1"/>
    </xf>
    <xf numFmtId="0" fontId="91" fillId="0" borderId="17" xfId="0" applyFont="1" applyBorder="1" applyNumberFormat="1">
      <alignment vertical="center" wrapText="1"/>
    </xf>
    <xf numFmtId="0" fontId="91" fillId="0" borderId="23" xfId="0" applyFont="1" applyBorder="1" applyNumberFormat="1">
      <alignment vertical="center" wrapText="1"/>
    </xf>
    <xf numFmtId="49" fontId="95" fillId="0" borderId="30" xfId="0" applyFont="1" applyBorder="1" applyNumberFormat="1">
      <alignment horizontal="left" vertical="top" wrapText="1"/>
    </xf>
    <xf numFmtId="49" fontId="95" fillId="0" borderId="13" xfId="0" applyFont="1" applyBorder="1" applyNumberFormat="1">
      <alignment horizontal="left" vertical="top"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pplyNumberFormat="1">
      <alignment horizontal="center" vertical="center" wrapText="1"/>
    </xf>
    <xf numFmtId="49" fontId="95" fillId="0" borderId="36" xfId="0" applyFont="1" applyBorder="1" applyNumberFormat="1">
      <alignment horizontal="left" vertical="top" wrapText="1"/>
    </xf>
    <xf numFmtId="0" fontId="95" fillId="0" borderId="36" xfId="0" applyFont="1" applyBorder="1" applyNumberFormat="1">
      <alignment horizontal="left" vertical="top" wrapText="1"/>
    </xf>
    <xf numFmtId="49" fontId="95" fillId="0" borderId="0" xfId="0" applyFont="1" applyNumberFormat="1">
      <alignment horizontal="left" vertical="top" wrapText="1"/>
    </xf>
    <xf numFmtId="49" fontId="95" fillId="41" borderId="0" xfId="0" applyFont="1" applyFill="1" applyNumberFormat="1">
      <alignment horizontal="left" vertical="top" wrapText="1"/>
    </xf>
    <xf numFmtId="0" fontId="95" fillId="0" borderId="0" xfId="0" applyFont="1" applyNumberFormat="1">
      <alignment vertical="top" wrapText="1"/>
    </xf>
    <xf numFmtId="0" fontId="46" fillId="0" borderId="19" xfId="0" applyFont="1" applyBorder="1" applyNumberFormat="1">
      <alignment horizontal="left" vertical="center" wrapText="1" indent="1"/>
    </xf>
    <xf numFmtId="0" fontId="46" fillId="0" borderId="27" xfId="0" applyFont="1" applyBorder="1" applyNumberFormat="1">
      <alignment horizontal="left" vertical="center" wrapText="1" indent="1"/>
    </xf>
    <xf numFmtId="0" fontId="0" fillId="0" borderId="0" xfId="0" applyFont="1" applyNumberFormat="1">
      <alignment horizontal="left" vertical="center"/>
    </xf>
    <xf numFmtId="0" fontId="0" fillId="35" borderId="12" xfId="0" applyFont="1" applyFill="1" applyBorder="1" applyNumberFormat="1">
      <alignment horizontal="right" vertical="center" wrapText="1" indent="1"/>
    </xf>
    <xf numFmtId="0" fontId="0" fillId="0" borderId="14" xfId="0" applyFont="1" applyBorder="1" applyNumberFormat="1">
      <alignment vertical="center"/>
    </xf>
    <xf numFmtId="0" fontId="22" fillId="0" borderId="0" xfId="0" applyFont="1" applyNumberFormat="1">
      <alignment horizontal="left" vertical="center" wrapText="1"/>
    </xf>
    <xf numFmtId="0" fontId="22" fillId="0" borderId="0" xfId="0" applyFont="1" applyNumberFormat="1">
      <alignment horizontal="right" vertical="center" wrapText="1"/>
    </xf>
    <xf numFmtId="0" fontId="22" fillId="0" borderId="0" xfId="0" applyFont="1" applyNumberFormat="1">
      <alignment horizontal="right" vertical="center" wrapText="1"/>
    </xf>
    <xf numFmtId="0" fontId="0" fillId="0" borderId="12" xfId="0" applyFont="1" applyBorder="1" applyNumberFormat="1">
      <alignment horizontal="center" vertical="center" wrapText="1"/>
    </xf>
    <xf numFmtId="0" fontId="80" fillId="35" borderId="19" xfId="0" applyFont="1" applyFill="1" applyBorder="1" applyNumberFormat="1">
      <alignment horizontal="center" vertical="center" wrapText="1"/>
    </xf>
    <xf numFmtId="0" fontId="22" fillId="35" borderId="12" xfId="0" applyFont="1" applyFill="1" applyBorder="1" applyNumberFormat="1">
      <alignment horizontal="left" vertical="center" wrapText="1"/>
    </xf>
    <xf numFmtId="4" fontId="22" fillId="34" borderId="12" xfId="0" applyFont="1" applyFill="1" applyBorder="1" applyNumberFormat="1">
      <alignment horizontal="left" vertical="center" wrapText="1"/>
    </xf>
    <xf numFmtId="0" fontId="22" fillId="0" borderId="0" xfId="0" applyFont="1" applyNumberFormat="1">
      <alignment horizontal="center" vertical="center" wrapText="1"/>
    </xf>
    <xf numFmtId="0" fontId="47" fillId="0" borderId="0" xfId="0" applyFont="1" applyNumberFormat="1">
      <alignment horizontal="center" vertical="center" wrapText="1"/>
    </xf>
    <xf numFmtId="0" fontId="48" fillId="0" borderId="0" xfId="0" applyFont="1" applyNumberFormat="1">
      <alignment horizontal="center" vertical="center" wrapText="1"/>
    </xf>
    <xf numFmtId="504" fontId="0" fillId="39" borderId="12" xfId="0" applyFont="1" applyFill="1" applyBorder="1" applyNumberFormat="1">
      <alignment horizontal="center" vertical="center" wrapText="1"/>
      <protection locked="0"/>
    </xf>
    <xf numFmtId="49" fontId="22" fillId="0" borderId="12" xfId="0" applyFont="1" applyBorder="1" applyNumberFormat="1">
      <alignment horizontal="left" vertical="center" wrapText="1"/>
    </xf>
    <xf numFmtId="49" fontId="101" fillId="37" borderId="14" xfId="0" applyFont="1" applyFill="1" applyBorder="1" applyNumberFormat="1">
      <alignment horizontal="left" vertical="center"/>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47" fillId="0" borderId="0" xfId="0" applyFont="1" applyNumberFormat="1">
      <alignment horizontal="left" vertical="center"/>
    </xf>
    <xf numFmtId="49" fontId="32" fillId="0" borderId="0" xfId="0" applyFont="1" applyNumberFormat="1">
      <alignment vertical="top"/>
    </xf>
    <xf numFmtId="49" fontId="0" fillId="0" borderId="24" xfId="0" applyFont="1" applyBorder="1" applyNumberFormat="1">
      <alignment vertical="top"/>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47" fillId="0" borderId="0" xfId="0" applyFont="1" applyNumberFormat="1">
      <alignment horizontal="left" vertical="center"/>
    </xf>
    <xf numFmtId="49" fontId="47" fillId="0" borderId="0" xfId="0" applyFont="1" applyNumberFormat="1">
      <alignment horizontal="left" vertical="top"/>
    </xf>
    <xf numFmtId="49" fontId="67" fillId="37" borderId="14" xfId="0" applyFont="1" applyFill="1" applyBorder="1" applyNumberFormat="1">
      <alignment horizontal="left" vertical="top"/>
    </xf>
    <xf numFmtId="49" fontId="109" fillId="37" borderId="15" xfId="0" applyFont="1" applyFill="1" applyBorder="1" applyNumberFormat="1">
      <alignment horizontal="left" vertical="center"/>
    </xf>
    <xf numFmtId="49" fontId="48" fillId="0" borderId="0" xfId="0" applyFont="1" applyNumberFormat="1">
      <alignment vertical="top"/>
    </xf>
    <xf numFmtId="0" fontId="22" fillId="0" borderId="0" xfId="0" applyFont="1" applyNumberFormat="1">
      <alignment horizontal="left" vertical="top" wrapText="1"/>
    </xf>
    <xf numFmtId="49" fontId="22" fillId="0" borderId="0" xfId="0" applyFont="1" applyNumberFormat="1">
      <alignment vertical="center" wrapText="1"/>
    </xf>
    <xf numFmtId="49" fontId="0" fillId="0" borderId="0" xfId="0" applyFont="1" applyNumberFormat="1">
      <alignment vertical="top"/>
    </xf>
    <xf numFmtId="49" fontId="0" fillId="0" borderId="12" xfId="0" applyFont="1" applyBorder="1" applyNumberFormat="1">
      <alignment vertical="top"/>
    </xf>
    <xf numFmtId="49" fontId="0" fillId="0" borderId="14" xfId="0" applyFont="1" applyBorder="1" applyNumberFormat="1">
      <alignment vertical="top"/>
    </xf>
    <xf numFmtId="49" fontId="0" fillId="0" borderId="12" xfId="0" applyFont="1" applyBorder="1" applyNumberFormat="1">
      <alignment horizontal="center" vertical="top"/>
    </xf>
    <xf numFmtId="49" fontId="0" fillId="0" borderId="14" xfId="0" applyFont="1" applyBorder="1" applyNumberFormat="1">
      <alignment horizontal="center" vertical="top"/>
    </xf>
    <xf numFmtId="49" fontId="0" fillId="0" borderId="12" xfId="0" applyFont="1" applyBorder="1" applyNumberFormat="1">
      <alignment vertical="top"/>
    </xf>
    <xf numFmtId="49" fontId="0" fillId="43" borderId="17" xfId="0" applyFont="1" applyFill="1" applyBorder="1" applyNumberFormat="1">
      <alignment vertical="top"/>
    </xf>
    <xf numFmtId="49" fontId="0" fillId="0" borderId="14" xfId="0" applyFont="1" applyBorder="1" applyNumberFormat="1">
      <alignment horizontal="center" vertical="top"/>
    </xf>
    <xf numFmtId="49" fontId="0" fillId="0" borderId="12" xfId="0" applyFont="1" applyBorder="1" applyNumberFormat="1">
      <alignment vertical="top"/>
    </xf>
    <xf numFmtId="49" fontId="0" fillId="0" borderId="14" xfId="0" applyFont="1" applyBorder="1" applyNumberFormat="1">
      <alignment vertical="top"/>
    </xf>
    <xf numFmtId="49" fontId="0" fillId="44" borderId="12" xfId="0" applyFont="1" applyFill="1" applyBorder="1" applyNumberFormat="1">
      <alignment vertical="top"/>
    </xf>
    <xf numFmtId="49" fontId="0" fillId="0" borderId="15" xfId="0" applyFont="1" applyBorder="1" applyNumberFormat="1">
      <alignment horizontal="center" vertical="top"/>
    </xf>
    <xf numFmtId="49" fontId="0" fillId="3" borderId="12" xfId="0" applyFont="1" applyFill="1" applyBorder="1" applyNumberFormat="1">
      <alignment vertical="top"/>
    </xf>
    <xf numFmtId="49" fontId="0" fillId="0" borderId="15" xfId="0" applyFont="1" applyBorder="1" applyNumberFormat="1">
      <alignment horizontal="center" vertical="top"/>
    </xf>
    <xf numFmtId="49" fontId="0" fillId="45" borderId="12" xfId="0" applyFont="1" applyFill="1" applyBorder="1" applyNumberFormat="1">
      <alignment vertical="top"/>
    </xf>
    <xf numFmtId="49" fontId="0" fillId="16" borderId="17" xfId="0" applyFont="1" applyFill="1" applyBorder="1" applyNumberFormat="1">
      <alignment vertical="top"/>
    </xf>
    <xf numFmtId="49" fontId="0" fillId="5" borderId="14" xfId="0" applyFont="1" applyFill="1" applyBorder="1" applyNumberFormat="1">
      <alignment vertical="top"/>
    </xf>
    <xf numFmtId="49" fontId="0" fillId="5" borderId="12" xfId="0" applyFont="1" applyFill="1" applyBorder="1" applyNumberFormat="1">
      <alignment vertical="top"/>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35" borderId="0" xfId="0" applyFont="1" applyFill="1" applyNumberFormat="1">
      <alignment vertical="top"/>
    </xf>
    <xf numFmtId="49" fontId="0" fillId="35" borderId="0" xfId="0" applyFont="1" applyFill="1" applyNumberFormat="1">
      <alignment vertical="top"/>
    </xf>
    <xf numFmtId="49" fontId="0" fillId="35" borderId="0" xfId="0" applyFont="1" applyFill="1" applyNumberFormat="1">
      <alignment vertical="top"/>
    </xf>
    <xf numFmtId="0" fontId="0" fillId="0" borderId="0" xfId="0" applyFont="1" applyNumberFormat="1">
      <alignment vertical="top"/>
    </xf>
    <xf numFmtId="0" fontId="0" fillId="0" borderId="0" xfId="0" applyFont="1" applyNumberFormat="1">
      <alignment vertical="top"/>
    </xf>
    <xf numFmtId="0" fontId="0" fillId="0" borderId="0" xfId="0" applyFont="1" applyNumberFormat="1"/>
    <xf numFmtId="0" fontId="1" fillId="0" borderId="0" xfId="0" applyFont="1" applyNumberFormat="1"/>
    <xf numFmtId="0" fontId="29" fillId="0" borderId="0" xfId="0" applyFont="1" applyNumberFormat="1"/>
    <xf numFmtId="49" fontId="22" fillId="34" borderId="10" xfId="0" applyFont="1" applyFill="1" applyBorder="1" applyNumberFormat="1">
      <alignment horizontal="center" vertical="top"/>
    </xf>
    <xf numFmtId="49" fontId="38" fillId="0" borderId="11" xfId="0" applyFont="1" applyBorder="1" applyNumberFormat="1">
      <alignment vertical="top" wrapText="1"/>
    </xf>
    <xf numFmtId="0" fontId="0" fillId="0" borderId="11" xfId="0" applyFont="1" applyBorder="1" applyNumberFormat="1">
      <alignment vertical="top" wrapText="1"/>
    </xf>
    <xf numFmtId="0" fontId="46" fillId="0" borderId="18" xfId="0" applyFont="1" applyBorder="1" applyNumberFormat="1">
      <alignment vertical="top" wrapText="1"/>
    </xf>
    <xf numFmtId="0" fontId="0" fillId="0" borderId="0" xfId="0" applyFont="1" applyNumberFormat="1">
      <alignment vertical="top"/>
    </xf>
    <xf numFmtId="0" fontId="0" fillId="0" borderId="12" xfId="0" applyFont="1" applyBorder="1" applyNumberFormat="1">
      <alignment vertical="top" wrapText="1"/>
    </xf>
    <xf numFmtId="49" fontId="0" fillId="0" borderId="12" xfId="0" applyFont="1" applyBorder="1" applyNumberFormat="1">
      <alignment vertical="top" wrapText="1"/>
    </xf>
    <xf numFmtId="49" fontId="0" fillId="0" borderId="17" xfId="0" applyFont="1" applyBorder="1" applyNumberFormat="1">
      <alignment vertical="top"/>
    </xf>
    <xf numFmtId="49" fontId="0" fillId="0" borderId="0" xfId="0" applyFont="1" applyNumberFormat="1">
      <alignment vertical="top"/>
    </xf>
    <xf numFmtId="0" fontId="50" fillId="0" borderId="11" xfId="0" applyFont="1" applyBorder="1" applyNumberFormat="1">
      <alignment vertical="center" wrapText="1"/>
    </xf>
    <xf numFmtId="0" fontId="46" fillId="0" borderId="0" xfId="0" applyFont="1" applyNumberFormat="1">
      <alignment vertical="top" wrapText="1"/>
    </xf>
    <xf numFmtId="0" fontId="22" fillId="0" borderId="11" xfId="0" applyFont="1" applyBorder="1" applyNumberFormat="1">
      <alignment vertical="center" wrapText="1"/>
    </xf>
  </cellXfs>
  <cellStyles count="79">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rmal" xfId="41"/>
    <cellStyle name="Note" xfId="42" builtinId="10"/>
    <cellStyle name="Output" xfId="43" builtinId="21"/>
    <cellStyle name="Percent" xfId="44" builtinId="5"/>
    <cellStyle name="Title" xfId="45" builtinId="15"/>
    <cellStyle name="Total" xfId="46" builtinId="25"/>
    <cellStyle name="Warning Text" xfId="47" builtinId="11"/>
    <cellStyle name=" 1" xfId="48"/>
    <cellStyle name=" 1 2" xfId="49"/>
    <cellStyle name=" 1_Stage1" xfId="48"/>
    <cellStyle name="_Model_RAB Мой_PR.PROG.WARM.NOTCOMBI.2012.2.16_v1.4(04.04.11) " xfId="50"/>
    <cellStyle name="_Model_RAB Мой_Книга2_PR.PROG.WARM.NOTCOMBI.2012.2.16_v1.4(04.04.11) " xfId="50"/>
    <cellStyle name="_Model_RAB_MRSK_svod_PR.PROG.WARM.NOTCOMBI.2012.2.16_v1.4(04.04.11) " xfId="50"/>
    <cellStyle name="_Model_RAB_MRSK_svod_Книга2_PR.PROG.WARM.NOTCOMBI.2012.2.16_v1.4(04.04.11) " xfId="50"/>
    <cellStyle name="_МОДЕЛЬ_1 (2)_PR.PROG.WARM.NOTCOMBI.2012.2.16_v1.4(04.04.11) " xfId="50"/>
    <cellStyle name="_МОДЕЛЬ_1 (2)_Книга2_PR.PROG.WARM.NOTCOMBI.2012.2.16_v1.4(04.04.11) " xfId="50"/>
    <cellStyle name="_пр 5 тариф RAB_PR.PROG.WARM.NOTCOMBI.2012.2.16_v1.4(04.04.11) " xfId="50"/>
    <cellStyle name="_пр 5 тариф RAB_Книга2_PR.PROG.WARM.NOTCOMBI.2012.2.16_v1.4(04.04.11) " xfId="50"/>
    <cellStyle name="_Расчет RAB_22072008_PR.PROG.WARM.NOTCOMBI.2012.2.16_v1.4(04.04.11) " xfId="50"/>
    <cellStyle name="_Расчет RAB_22072008_Книга2_PR.PROG.WARM.NOTCOMBI.2012.2.16_v1.4(04.04.11) " xfId="50"/>
    <cellStyle name="_Расчет RAB_Лен и МОЭСК_с 2010 года_14.04.2009_со сглаж_version 3.0_без ФСК_PR.PROG.WARM.NOTCOMBI.2012.2.16_v1.4(04.04.11) " xfId="50"/>
    <cellStyle name="_Расчет RAB_Лен и МОЭСК_с 2010 года_14.04.2009_со сглаж_version 3.0_без ФСК_Книга2_PR.PROG.WARM.NOTCOMBI.2012.2.16_v1.4(04.04.11) " xfId="50"/>
    <cellStyle name="currency1" xfId="51"/>
    <cellStyle name="Currency2" xfId="52"/>
    <cellStyle name="currency3" xfId="53"/>
    <cellStyle name="currency4" xfId="54"/>
    <cellStyle name="Followed Hyperlink" xfId="55"/>
    <cellStyle name="Hyperlink" xfId="56" builtinId="8"/>
    <cellStyle name="Normal1" xfId="57"/>
    <cellStyle name="Normal2" xfId="52"/>
    <cellStyle name="Percent1" xfId="52"/>
    <cellStyle name="Гиперссылка" xfId="58"/>
    <cellStyle name="Обычный 10" xfId="59"/>
    <cellStyle name="Обычный 16" xfId="60"/>
    <cellStyle name="Обычный 2" xfId="61"/>
    <cellStyle name="Обычный_BALANCE.WARM.2007YEAR(FACT)" xfId="62"/>
    <cellStyle name="Обычный_PRIL1.ELECTR" xfId="62"/>
    <cellStyle name="Открывавшаяся гиперссылка" xfId="63"/>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worksheet" Target="worksheets/sheet43.xml"/><Relationship Id="rId45" Type="http://schemas.openxmlformats.org/officeDocument/2006/relationships/worksheet" Target="worksheets/sheet44.xml"/><Relationship Id="rId46" Type="http://schemas.openxmlformats.org/officeDocument/2006/relationships/worksheet" Target="worksheets/sheet45.xml"/><Relationship Id="rId47" Type="http://schemas.openxmlformats.org/officeDocument/2006/relationships/worksheet" Target="worksheets/sheet46.xml"/><Relationship Id="rId48" Type="http://schemas.openxmlformats.org/officeDocument/2006/relationships/worksheet" Target="worksheets/sheet47.xml"/><Relationship Id="rId49" Type="http://schemas.openxmlformats.org/officeDocument/2006/relationships/worksheet" Target="worksheets/sheet48.xml"/><Relationship Id="rId50" Type="http://schemas.openxmlformats.org/officeDocument/2006/relationships/worksheet" Target="worksheets/sheet49.xml"/><Relationship Id="rId51" Type="http://schemas.openxmlformats.org/officeDocument/2006/relationships/worksheet" Target="worksheets/sheet50.xml"/><Relationship Id="rId52" Type="http://schemas.openxmlformats.org/officeDocument/2006/relationships/worksheet" Target="worksheets/sheet51.xml"/><Relationship Id="rId53" Type="http://schemas.openxmlformats.org/officeDocument/2006/relationships/worksheet" Target="worksheets/sheet52.xml"/><Relationship Id="rId54" Type="http://schemas.openxmlformats.org/officeDocument/2006/relationships/worksheet" Target="worksheets/sheet53.xml"/><Relationship Id="rId55" Type="http://schemas.openxmlformats.org/officeDocument/2006/relationships/worksheet" Target="worksheets/sheet54.xml"/><Relationship Id="rId56" Type="http://schemas.openxmlformats.org/officeDocument/2006/relationships/worksheet" Target="worksheets/sheet55.xml"/><Relationship Id="rId57" Type="http://schemas.openxmlformats.org/officeDocument/2006/relationships/worksheet" Target="worksheets/sheet56.xml"/><Relationship Id="rId58" Type="http://schemas.openxmlformats.org/officeDocument/2006/relationships/worksheet" Target="worksheets/sheet57.xml"/><Relationship Id="rId59" Type="http://schemas.openxmlformats.org/officeDocument/2006/relationships/worksheet" Target="worksheets/sheet58.xml"/><Relationship Id="rId60" Type="http://schemas.openxmlformats.org/officeDocument/2006/relationships/worksheet" Target="worksheets/sheet59.xml"/><Relationship Id="rId61" Type="http://schemas.openxmlformats.org/officeDocument/2006/relationships/worksheet" Target="worksheets/sheet60.xml"/><Relationship Id="rId62" Type="http://schemas.openxmlformats.org/officeDocument/2006/relationships/worksheet" Target="worksheets/sheet61.xml"/><Relationship Id="rId63" Type="http://schemas.openxmlformats.org/officeDocument/2006/relationships/worksheet" Target="worksheets/sheet62.xml"/><Relationship Id="rId64" Type="http://schemas.openxmlformats.org/officeDocument/2006/relationships/worksheet" Target="worksheets/sheet63.xml"/><Relationship Id="rId65" Type="http://schemas.openxmlformats.org/officeDocument/2006/relationships/worksheet" Target="worksheets/sheet64.xml"/><Relationship Id="rId66" Type="http://schemas.openxmlformats.org/officeDocument/2006/relationships/worksheet" Target="worksheets/sheet65.xml"/><Relationship Id="rId67" Type="http://schemas.openxmlformats.org/officeDocument/2006/relationships/worksheet" Target="worksheets/sheet66.xml"/><Relationship Id="rId68" Type="http://schemas.openxmlformats.org/officeDocument/2006/relationships/worksheet" Target="worksheets/sheet67.xml"/><Relationship Id="rId69" Type="http://schemas.openxmlformats.org/officeDocument/2006/relationships/worksheet" Target="worksheets/sheet68.xml"/><Relationship Id="rId70" Type="http://schemas.openxmlformats.org/officeDocument/2006/relationships/worksheet" Target="worksheets/sheet69.xml"/><Relationship Id="rId71" Type="http://schemas.openxmlformats.org/officeDocument/2006/relationships/worksheet" Target="worksheets/sheet70.xml"/><Relationship Id="rId72" Type="http://schemas.openxmlformats.org/officeDocument/2006/relationships/worksheet" Target="worksheets/sheet71.xml"/><Relationship Id="rId73" Type="http://schemas.openxmlformats.org/officeDocument/2006/relationships/worksheet" Target="worksheets/sheet72.xml"/><Relationship Id="rId74" Type="http://schemas.openxmlformats.org/officeDocument/2006/relationships/worksheet" Target="worksheets/sheet73.xml"/><Relationship Id="rId75" Type="http://schemas.openxmlformats.org/officeDocument/2006/relationships/worksheet" Target="worksheets/sheet74.xml"/><Relationship Id="rId76" Type="http://schemas.openxmlformats.org/officeDocument/2006/relationships/worksheet" Target="worksheets/sheet75.xml"/><Relationship Id="rId77" Type="http://schemas.openxmlformats.org/officeDocument/2006/relationships/worksheet" Target="worksheets/sheet76.xml"/><Relationship Id="rId78" Type="http://schemas.openxmlformats.org/officeDocument/2006/relationships/worksheet" Target="worksheets/sheet77.xml"/><Relationship Id="rId79" Type="http://schemas.openxmlformats.org/officeDocument/2006/relationships/worksheet" Target="worksheets/sheet78.xml"/><Relationship Id="rId80" Type="http://schemas.openxmlformats.org/officeDocument/2006/relationships/worksheet" Target="worksheets/sheet79.xml"/><Relationship Id="rId81" Type="http://schemas.openxmlformats.org/officeDocument/2006/relationships/worksheet" Target="worksheets/sheet80.xml"/><Relationship Id="rId82" Type="http://schemas.openxmlformats.org/officeDocument/2006/relationships/worksheet" Target="worksheets/sheet81.xml"/><Relationship Id="rId83" Type="http://schemas.openxmlformats.org/officeDocument/2006/relationships/worksheet" Target="worksheets/sheet82.xml"/><Relationship Id="rId84" Type="http://schemas.openxmlformats.org/officeDocument/2006/relationships/worksheet" Target="worksheets/sheet83.xml"/><Relationship Id="rId85" Type="http://schemas.openxmlformats.org/officeDocument/2006/relationships/worksheet" Target="worksheets/sheet84.xml"/><Relationship Id="rId86" Type="http://schemas.openxmlformats.org/officeDocument/2006/relationships/worksheet" Target="worksheets/sheet85.xml"/><Relationship Id="rId87" Type="http://schemas.openxmlformats.org/officeDocument/2006/relationships/worksheet" Target="worksheets/sheet86.xml"/><Relationship Id="rId88" Type="http://schemas.openxmlformats.org/officeDocument/2006/relationships/worksheet" Target="worksheets/sheet87.xml"/><Relationship Id="rId89" Type="http://schemas.openxmlformats.org/officeDocument/2006/relationships/worksheet" Target="worksheets/sheet88.xml"/><Relationship Id="rId90" Type="http://schemas.openxmlformats.org/officeDocument/2006/relationships/worksheet" Target="worksheets/sheet89.xml"/><Relationship Id="rId91" Type="http://schemas.openxmlformats.org/officeDocument/2006/relationships/sharedStrings" Target="sharedStrings.xml"/><Relationship Id="rId9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 Id="rId2" Type="http://schemas.openxmlformats.org/officeDocument/2006/relationships/image" Target="../media/image2.jpeg"/><Relationship Id="rId3" Type="http://schemas.openxmlformats.org/officeDocument/2006/relationships/image" Target="../media/image3.png"/><Relationship Id="rId4" Type="http://schemas.openxmlformats.org/officeDocument/2006/relationships/image" Target="../media/image4.png"/><Relationship Id="rId5" Type="http://schemas.openxmlformats.org/officeDocument/2006/relationships/image" Target="../media/image5.jpeg"/></Relationships>
</file>

<file path=xl/drawings/_rels/drawing2.xml.rels><?xml version="1.0" encoding="UTF-8" standalone="yes"?>
<Relationships xmlns="http://schemas.openxmlformats.org/package/2006/relationships"><Relationship Id="rId1" Type="http://schemas.openxmlformats.org/officeDocument/2006/relationships/image" Target="../media/image6.png"/><Relationship Id="rId2" Type="http://schemas.openxmlformats.org/officeDocument/2006/relationships/image" Target="../media/image7.png"/></Relationships>
</file>

<file path=xl/drawings/_rels/drawing3.xml.rels><?xml version="1.0" encoding="UTF-8" standalone="yes"?>
<Relationships xmlns="http://schemas.openxmlformats.org/package/2006/relationships"><Relationship Id="rId1" Type="http://schemas.openxmlformats.org/officeDocument/2006/relationships/image" Target="../media/image8.png"/></Relationships>
</file>

<file path=xl/drawings/_rels/drawing4.xml.rels><?xml version="1.0" encoding="UTF-8" standalone="yes"?>
<Relationships xmlns="http://schemas.openxmlformats.org/package/2006/relationships"><Relationship Id="rId1" Type="http://schemas.openxmlformats.org/officeDocument/2006/relationships/image" Target="../media/image9.png"/></Relationships>
</file>

<file path=xl/drawings/_rels/drawing5.xml.rels><?xml version="1.0" encoding="UTF-8" standalone="yes"?>
<Relationships xmlns="http://schemas.openxmlformats.org/package/2006/relationships"><Relationship Id="rId1" Type="http://schemas.openxmlformats.org/officeDocument/2006/relationships/image" Target="../media/image10.png"/></Relationships>
</file>

<file path=xl/drawings/_rels/drawing6.xml.rels><?xml version="1.0" encoding="UTF-8" standalone="yes"?>
<Relationships xmlns="http://schemas.openxmlformats.org/package/2006/relationships"><Relationship Id="rId1" Type="http://schemas.openxmlformats.org/officeDocument/2006/relationships/image" Target="../media/image1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2.png"/></Relationships>
</file>

<file path=xl/drawings/_rels/drawing8.xml.rels><?xml version="1.0" encoding="UTF-8" standalone="yes"?>
<Relationships xmlns="http://schemas.openxmlformats.org/package/2006/relationships"><Relationship Id="rId1" Type="http://schemas.openxmlformats.org/officeDocument/2006/relationships/image" Target="../media/image13.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314515</xdr:colOff>
      <xdr:row>11</xdr:row>
      <xdr:rowOff>57340</xdr:rowOff>
    </xdr:to>
    <xdr:pic>
      <xdr:nvPicPr>
        <xdr:cNvPr id="1"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0</xdr:rowOff>
    </xdr:from>
    <xdr:to>
      <xdr:col>4</xdr:col>
      <xdr:colOff>314515</xdr:colOff>
      <xdr:row>19</xdr:row>
      <xdr:rowOff>76390</xdr:rowOff>
    </xdr:to>
    <xdr:pic>
      <xdr:nvPicPr>
        <xdr:cNvPr id="2" name="PHONE_PIC_1"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3" name="cmdCreatePrintedForm" descr="Создание печатной формы"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4" name="UPDATE_PLAN1X_DATA" descr="update_org.png" hidden="1"/>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400240</xdr:rowOff>
    </xdr:to>
    <xdr:pic>
      <xdr:nvPicPr>
        <xdr:cNvPr id="5" name="PHONE_PIC_2" descr="update_org.png" hidden="1"/>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1"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2"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1"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1" name="UNFREEZE_PANES_I1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Relationship Id="rId3" Type="http://schemas.openxmlformats.org/officeDocument/2006/relationships/drawing" Target="../drawings/drawing1.xml"/><Relationship Id="rId4" Type="http://schemas.openxmlformats.org/officeDocument/2006/relationships/hyperlink" Target="mailto:ympts@bk.ru"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7.xml"/><Relationship Id="rId2" Type="http://schemas.openxmlformats.org/officeDocument/2006/relationships/hyperlink" Target="https://portal.eias.ru/Portal/DownloadPage.aspx?type=12&amp;guid=223a87f5-760a-4728-be44-a8019d3dfe94" TargetMode="Externa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8.xml"/><Relationship Id="rId2" Type="http://schemas.openxmlformats.org/officeDocument/2006/relationships/hyperlink" Target="https://zakupki.gov.ru/epz/orderclause/card/common-info.html?orderClauseInfoId=891900" TargetMode="External"/><Relationship Id="rId3" Type="http://schemas.openxmlformats.org/officeDocument/2006/relationships/hyperlink" Target="https://zakupki.gov.ru/epz/order/extendedsearch/results.html?searchString=6140028670&amp;morphology=on&amp;search-filter=%D0%94%D0%B0%D1%82%D0%B5+%D1%80%D0%B0%D0%B7%D0%BC%D0%B5%D1%89%D0%B5%D0%BD%D0%B8%D1%8F&amp;" TargetMode="External"/></Relationships>
</file>

<file path=xl/worksheets/_rels/sheet51.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vmlDrawing" Target="../drawings/vmlDrawing2.vml"/></Relationships>
</file>

<file path=xl/worksheets/_rels/sheet63.xml.rels><?xml version="1.0" encoding="UTF-8" standalone="yes"?>
<Relationships xmlns="http://schemas.openxmlformats.org/package/2006/relationships"><Relationship Id="rId1" Type="http://schemas.openxmlformats.org/officeDocument/2006/relationships/comments" Target="../comments3.xml"/><Relationship Id="rId2"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A77A518-B868-5A68-ECDF-F509133F9638}" mc:Ignorable="x14ac xr xr2 xr3">
  <dimension ref="A1:AB21"/>
  <sheetViews>
    <sheetView topLeftCell="A1" showGridLines="0" showRowColHeaders="0" workbookViewId="0">
      <selection activeCell="A1" sqref="A1"/>
    </sheetView>
  </sheetViews>
  <sheetFormatPr defaultColWidth="11.00390625" customHeight="1" defaultRowHeight="12.75"/>
  <cols>
    <col min="1" max="1" style="14033" width="5.421875" customWidth="1"/>
    <col min="2" max="2" style="14033" width="9.140625" customWidth="1"/>
    <col min="3" max="3" style="14033" width="16.421875" customWidth="1"/>
    <col min="4" max="25" style="14033" width="6.28125" customWidth="1"/>
    <col min="26" max="28" style="14033" width="11.00390625"/>
  </cols>
  <sheetData>
    <row customHeight="1" ht="15.75">
      <c r="A1" s="1984"/>
      <c r="B1" s="1985"/>
      <c r="C1" s="1985"/>
      <c r="D1" s="1985"/>
      <c r="E1" s="1985"/>
      <c r="F1" s="1985"/>
      <c r="G1" s="1985"/>
      <c r="H1" s="1985"/>
      <c r="I1" s="1985"/>
      <c r="J1" s="1985"/>
      <c r="K1" s="1985"/>
      <c r="L1" s="1985"/>
      <c r="M1" s="1985"/>
      <c r="N1" s="1985"/>
      <c r="O1" s="1985"/>
      <c r="P1" s="1985"/>
      <c r="Q1" s="1985"/>
      <c r="R1" s="1985"/>
      <c r="S1" s="1985"/>
      <c r="T1" s="1985"/>
      <c r="U1" s="1985"/>
      <c r="V1" s="1985"/>
      <c r="W1" s="1985"/>
      <c r="X1" s="1985"/>
      <c r="Y1" s="1986"/>
      <c r="Z1" s="1985"/>
      <c r="AA1" s="1987" t="s">
        <v>0</v>
      </c>
      <c r="AB1" s="1985"/>
    </row>
    <row customHeight="1" ht="17.25">
      <c r="A2" s="1985"/>
      <c r="B2" s="2361" t="s">
        <v>1</v>
      </c>
      <c r="C2" s="2361"/>
      <c r="D2" s="2361"/>
      <c r="E2" s="2361"/>
      <c r="F2" s="2361"/>
      <c r="G2" s="2361"/>
      <c r="H2" s="2361"/>
      <c r="I2" s="2361"/>
      <c r="J2" s="2361"/>
      <c r="K2" s="2361"/>
      <c r="L2" s="2361"/>
      <c r="M2" s="2361"/>
      <c r="N2" s="2361"/>
      <c r="O2" s="2361"/>
      <c r="P2" s="2361"/>
      <c r="Q2" s="1989"/>
      <c r="R2" s="1989"/>
      <c r="S2" s="1989"/>
      <c r="T2" s="1989"/>
      <c r="U2" s="1989"/>
      <c r="V2" s="1990"/>
      <c r="W2" s="1989"/>
      <c r="X2" s="1989"/>
      <c r="Y2" s="1986"/>
      <c r="Z2" s="1985"/>
      <c r="AA2" s="1987"/>
      <c r="AB2" s="1985"/>
    </row>
    <row customHeight="1" ht="15.75">
      <c r="A3" s="1985"/>
      <c r="B3" s="2362" t="s">
        <v>2</v>
      </c>
      <c r="C3" s="2362"/>
      <c r="D3" s="2362"/>
      <c r="E3" s="2362"/>
      <c r="F3" s="2362"/>
      <c r="G3" s="2362"/>
      <c r="H3" s="2362"/>
      <c r="I3" s="2362"/>
      <c r="J3" s="2362"/>
      <c r="K3" s="2362"/>
      <c r="L3" s="2362"/>
      <c r="M3" s="2362"/>
      <c r="N3" s="2362"/>
      <c r="O3" s="2362"/>
      <c r="P3" s="2362"/>
      <c r="Q3" s="1990"/>
      <c r="R3" s="1990"/>
      <c r="S3" s="1989"/>
      <c r="T3" s="1989"/>
      <c r="U3" s="1989"/>
      <c r="V3" s="1990"/>
      <c r="W3" s="1990"/>
      <c r="X3" s="1990"/>
      <c r="Y3" s="1990"/>
      <c r="Z3" s="1985"/>
      <c r="AA3" s="1987"/>
      <c r="AB3" s="1985"/>
    </row>
    <row customHeight="1" ht="17.25">
      <c r="A4" s="1985"/>
      <c r="B4" s="1991"/>
      <c r="C4" s="1985"/>
      <c r="D4" s="1990"/>
      <c r="E4" s="1990"/>
      <c r="F4" s="1990"/>
      <c r="G4" s="1990"/>
      <c r="H4" s="1990"/>
      <c r="I4" s="1990"/>
      <c r="J4" s="1990"/>
      <c r="K4" s="1990"/>
      <c r="L4" s="1990"/>
      <c r="M4" s="1990"/>
      <c r="N4" s="1990"/>
      <c r="O4" s="1990"/>
      <c r="P4" s="1990"/>
      <c r="Q4" s="1990"/>
      <c r="R4" s="1990"/>
      <c r="S4" s="1990"/>
      <c r="T4" s="1990"/>
      <c r="U4" s="1990"/>
      <c r="V4" s="1990"/>
      <c r="W4" s="1990"/>
      <c r="X4" s="1990"/>
      <c r="Y4" s="1990"/>
      <c r="Z4" s="1985"/>
      <c r="AA4" s="1987"/>
      <c r="AB4" s="1985"/>
    </row>
    <row customHeight="1" ht="22.5">
      <c r="A5" s="1992"/>
      <c r="B5" s="2363" t="str">
        <f>IF(TEMPLATE_SPHERE="","Информация, подлежащая раскрытию регулируемыми организациями",Титульный!E5)</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C5" s="2364"/>
      <c r="D5" s="2364"/>
      <c r="E5" s="2364"/>
      <c r="F5" s="2364"/>
      <c r="G5" s="2364"/>
      <c r="H5" s="2364"/>
      <c r="I5" s="2364"/>
      <c r="J5" s="2364"/>
      <c r="K5" s="2364"/>
      <c r="L5" s="2364"/>
      <c r="M5" s="2364"/>
      <c r="N5" s="2364"/>
      <c r="O5" s="2364"/>
      <c r="P5" s="2364"/>
      <c r="Q5" s="2364"/>
      <c r="R5" s="2364"/>
      <c r="S5" s="2364"/>
      <c r="T5" s="2364"/>
      <c r="U5" s="2364"/>
      <c r="V5" s="2364"/>
      <c r="W5" s="2364"/>
      <c r="X5" s="2364"/>
      <c r="Y5" s="2365"/>
      <c r="Z5" s="1992"/>
      <c r="AA5" s="1987"/>
      <c r="AB5" s="1992"/>
    </row>
    <row customHeight="1" ht="15">
      <c r="A6" s="1993"/>
      <c r="B6" s="2366" t="s">
        <v>3</v>
      </c>
      <c r="C6" s="2367"/>
      <c r="D6" s="1994"/>
      <c r="E6" s="1994"/>
      <c r="F6" s="1994"/>
      <c r="G6" s="1994"/>
      <c r="H6" s="1994"/>
      <c r="I6" s="1994"/>
      <c r="J6" s="1994"/>
      <c r="K6" s="1994"/>
      <c r="L6" s="1994"/>
      <c r="M6" s="1994"/>
      <c r="N6" s="1994"/>
      <c r="O6" s="1994"/>
      <c r="P6" s="1994"/>
      <c r="Q6" s="1994"/>
      <c r="R6" s="1994"/>
      <c r="S6" s="1994"/>
      <c r="T6" s="1994"/>
      <c r="U6" s="1994"/>
      <c r="V6" s="1994"/>
      <c r="W6" s="1994"/>
      <c r="X6" s="1994"/>
      <c r="Y6" s="1995"/>
      <c r="Z6" s="1996"/>
      <c r="AA6" s="1997"/>
      <c r="AB6" s="1997"/>
    </row>
    <row customHeight="1" ht="15">
      <c r="A7" s="1993"/>
      <c r="B7" s="2366"/>
      <c r="C7" s="2367"/>
      <c r="D7" s="1994"/>
      <c r="E7" s="1994"/>
      <c r="F7" s="1998"/>
      <c r="G7" s="1998"/>
      <c r="H7" s="1998"/>
      <c r="I7" s="1998"/>
      <c r="J7" s="1998"/>
      <c r="K7" s="1998"/>
      <c r="L7" s="1998"/>
      <c r="M7" s="1998"/>
      <c r="N7" s="1998"/>
      <c r="O7" s="1994"/>
      <c r="P7" s="1998"/>
      <c r="Q7" s="1998"/>
      <c r="R7" s="1998"/>
      <c r="S7" s="1998"/>
      <c r="T7" s="1998"/>
      <c r="U7" s="1998"/>
      <c r="V7" s="1998"/>
      <c r="W7" s="1998"/>
      <c r="X7" s="1998"/>
      <c r="Y7" s="1995"/>
      <c r="Z7" s="1996"/>
      <c r="AA7" s="1997"/>
      <c r="AB7" s="1997"/>
    </row>
    <row customHeight="1" ht="15">
      <c r="A8" s="1993"/>
      <c r="B8" s="2366"/>
      <c r="C8" s="2367"/>
      <c r="D8" s="1999"/>
      <c r="E8" s="2000" t="s">
        <v>4</v>
      </c>
      <c r="F8" s="2369" t="s">
        <v>5</v>
      </c>
      <c r="G8" s="2370"/>
      <c r="H8" s="2370"/>
      <c r="I8" s="2370"/>
      <c r="J8" s="2370"/>
      <c r="K8" s="2370"/>
      <c r="L8" s="2370"/>
      <c r="M8" s="2370"/>
      <c r="N8" s="1999"/>
      <c r="O8" s="2001" t="s">
        <v>4</v>
      </c>
      <c r="P8" s="2371" t="s">
        <v>6</v>
      </c>
      <c r="Q8" s="2372"/>
      <c r="R8" s="2372"/>
      <c r="S8" s="2372"/>
      <c r="T8" s="2372"/>
      <c r="U8" s="2372"/>
      <c r="V8" s="2372"/>
      <c r="W8" s="2372"/>
      <c r="X8" s="2372"/>
      <c r="Y8" s="1995"/>
      <c r="Z8" s="1996"/>
      <c r="AA8" s="1997"/>
      <c r="AB8" s="1997"/>
    </row>
    <row customHeight="1" ht="15">
      <c r="A9" s="1993"/>
      <c r="B9" s="2366"/>
      <c r="C9" s="2367"/>
      <c r="D9" s="1999"/>
      <c r="E9" s="2002" t="s">
        <v>4</v>
      </c>
      <c r="F9" s="2369" t="s">
        <v>7</v>
      </c>
      <c r="G9" s="2370"/>
      <c r="H9" s="2370"/>
      <c r="I9" s="2370"/>
      <c r="J9" s="2370"/>
      <c r="K9" s="2370"/>
      <c r="L9" s="2370"/>
      <c r="M9" s="2370"/>
      <c r="N9" s="1999"/>
      <c r="O9" s="2003" t="s">
        <v>4</v>
      </c>
      <c r="P9" s="2371" t="s">
        <v>8</v>
      </c>
      <c r="Q9" s="2372"/>
      <c r="R9" s="2372"/>
      <c r="S9" s="2372"/>
      <c r="T9" s="2372"/>
      <c r="U9" s="2372"/>
      <c r="V9" s="2372"/>
      <c r="W9" s="2372"/>
      <c r="X9" s="2372"/>
      <c r="Y9" s="1995"/>
      <c r="Z9" s="1996"/>
      <c r="AA9" s="1997"/>
      <c r="AB9" s="1997"/>
    </row>
    <row customHeight="1" ht="30">
      <c r="A10" s="1993"/>
      <c r="B10" s="2366"/>
      <c r="C10" s="2368"/>
      <c r="D10" s="2004"/>
      <c r="E10" s="2005"/>
      <c r="F10" s="1998"/>
      <c r="G10" s="1998"/>
      <c r="H10" s="1998"/>
      <c r="I10" s="1998"/>
      <c r="J10" s="1998"/>
      <c r="K10" s="1998"/>
      <c r="L10" s="1998"/>
      <c r="M10" s="1998"/>
      <c r="N10" s="1998"/>
      <c r="O10" s="2005"/>
      <c r="P10" s="1998"/>
      <c r="Q10" s="1998"/>
      <c r="R10" s="1998"/>
      <c r="S10" s="1998"/>
      <c r="T10" s="1998"/>
      <c r="U10" s="1998"/>
      <c r="V10" s="1998"/>
      <c r="W10" s="1998"/>
      <c r="X10" s="1998"/>
      <c r="Y10" s="1995"/>
      <c r="Z10" s="1996"/>
      <c r="AA10" s="1997"/>
      <c r="AB10" s="1997"/>
    </row>
    <row customHeight="1" ht="19.5">
      <c r="A11" s="1993"/>
      <c r="B11" s="2373" t="s">
        <v>9</v>
      </c>
      <c r="C11" s="2374"/>
      <c r="D11" s="1999"/>
      <c r="E11" s="2006"/>
      <c r="F11" s="2006"/>
      <c r="G11" s="2006"/>
      <c r="H11" s="2006"/>
      <c r="I11" s="2006"/>
      <c r="J11" s="2006"/>
      <c r="K11" s="2006"/>
      <c r="L11" s="2006"/>
      <c r="M11" s="2006"/>
      <c r="N11" s="2006"/>
      <c r="O11" s="2006"/>
      <c r="P11" s="2006"/>
      <c r="Q11" s="2006"/>
      <c r="R11" s="2006"/>
      <c r="S11" s="2006"/>
      <c r="T11" s="2006"/>
      <c r="U11" s="2006"/>
      <c r="V11" s="2006"/>
      <c r="W11" s="2006"/>
      <c r="X11" s="2006"/>
      <c r="Y11" s="1995"/>
      <c r="Z11" s="1996"/>
      <c r="AA11" s="1997"/>
      <c r="AB11" s="1997"/>
    </row>
    <row customHeight="1" ht="69">
      <c r="A12" s="1993"/>
      <c r="B12" s="2366"/>
      <c r="C12" s="2368"/>
      <c r="D12" s="2007"/>
      <c r="E12" s="2370" t="s">
        <v>10</v>
      </c>
      <c r="F12" s="2370"/>
      <c r="G12" s="2370"/>
      <c r="H12" s="2370"/>
      <c r="I12" s="2370"/>
      <c r="J12" s="2370"/>
      <c r="K12" s="2370"/>
      <c r="L12" s="2370"/>
      <c r="M12" s="2370"/>
      <c r="N12" s="2370"/>
      <c r="O12" s="2370"/>
      <c r="P12" s="2370"/>
      <c r="Q12" s="2370"/>
      <c r="R12" s="2370"/>
      <c r="S12" s="2370"/>
      <c r="T12" s="2370"/>
      <c r="U12" s="2370"/>
      <c r="V12" s="2370"/>
      <c r="W12" s="2370"/>
      <c r="X12" s="2370"/>
      <c r="Y12" s="1995"/>
      <c r="Z12" s="1996"/>
      <c r="AA12" s="1997"/>
      <c r="AB12" s="1997"/>
    </row>
    <row customHeight="1" ht="15">
      <c r="A13" s="1993"/>
      <c r="B13" s="2373" t="s">
        <v>11</v>
      </c>
      <c r="C13" s="2374"/>
      <c r="D13" s="1994"/>
      <c r="E13" s="2006"/>
      <c r="F13" s="2006"/>
      <c r="G13" s="2006"/>
      <c r="H13" s="2006"/>
      <c r="I13" s="2006"/>
      <c r="J13" s="2006"/>
      <c r="K13" s="2006"/>
      <c r="L13" s="2006"/>
      <c r="M13" s="2006"/>
      <c r="N13" s="2006"/>
      <c r="O13" s="2006"/>
      <c r="P13" s="2006"/>
      <c r="Q13" s="2006"/>
      <c r="R13" s="2006"/>
      <c r="S13" s="2006"/>
      <c r="T13" s="2006"/>
      <c r="U13" s="2006"/>
      <c r="V13" s="2006"/>
      <c r="W13" s="2006"/>
      <c r="X13" s="2006"/>
      <c r="Y13" s="1995"/>
      <c r="Z13" s="1996"/>
      <c r="AA13" s="1997"/>
      <c r="AB13" s="1997"/>
    </row>
    <row customHeight="1" ht="57">
      <c r="A14" s="1993"/>
      <c r="B14" s="2366"/>
      <c r="C14" s="2367"/>
      <c r="D14" s="1999"/>
      <c r="E14" s="2377" t="s">
        <v>12</v>
      </c>
      <c r="F14" s="2377"/>
      <c r="G14" s="2377"/>
      <c r="H14" s="2377"/>
      <c r="I14" s="2377"/>
      <c r="J14" s="2377"/>
      <c r="K14" s="2377"/>
      <c r="L14" s="2377"/>
      <c r="M14" s="2377"/>
      <c r="N14" s="2377"/>
      <c r="O14" s="2377"/>
      <c r="P14" s="2377"/>
      <c r="Q14" s="2377"/>
      <c r="R14" s="2377"/>
      <c r="S14" s="2377"/>
      <c r="T14" s="2377"/>
      <c r="U14" s="2377"/>
      <c r="V14" s="2377"/>
      <c r="W14" s="2377"/>
      <c r="X14" s="2377"/>
      <c r="Y14" s="1995"/>
      <c r="Z14" s="1996"/>
      <c r="AA14" s="1997"/>
      <c r="AB14" s="1997"/>
    </row>
    <row customHeight="1" ht="16.5">
      <c r="A15" s="1993"/>
      <c r="B15" s="2375"/>
      <c r="C15" s="2376"/>
      <c r="D15" s="2008"/>
      <c r="E15" s="2009"/>
      <c r="F15" s="2009"/>
      <c r="G15" s="2009"/>
      <c r="H15" s="2009"/>
      <c r="I15" s="2009"/>
      <c r="J15" s="2009"/>
      <c r="K15" s="2009"/>
      <c r="L15" s="2009"/>
      <c r="M15" s="2009"/>
      <c r="N15" s="2009"/>
      <c r="O15" s="2009"/>
      <c r="P15" s="2009"/>
      <c r="Q15" s="2009"/>
      <c r="R15" s="2009"/>
      <c r="S15" s="2009"/>
      <c r="T15" s="2009"/>
      <c r="U15" s="2009"/>
      <c r="V15" s="2009"/>
      <c r="W15" s="2009"/>
      <c r="X15" s="2009"/>
      <c r="Y15" s="2010"/>
      <c r="Z15" s="1996"/>
      <c r="AA15" s="2011"/>
      <c r="AB15" s="1997"/>
    </row>
    <row customHeight="1" ht="95.25">
      <c r="A16" s="1985"/>
      <c r="B16" s="2377"/>
      <c r="C16" s="2378"/>
      <c r="D16" s="2378"/>
      <c r="E16" s="2378"/>
      <c r="F16" s="2378"/>
      <c r="G16" s="2378"/>
      <c r="H16" s="2378"/>
      <c r="I16" s="2378"/>
      <c r="J16" s="2378"/>
      <c r="K16" s="2378"/>
      <c r="L16" s="2378"/>
      <c r="M16" s="2378"/>
      <c r="N16" s="2378"/>
      <c r="O16" s="2378"/>
      <c r="P16" s="2378"/>
      <c r="Q16" s="2378"/>
      <c r="R16" s="2378"/>
      <c r="S16" s="2378"/>
      <c r="T16" s="2378"/>
      <c r="U16" s="2378"/>
      <c r="V16" s="2378"/>
      <c r="W16" s="2378"/>
      <c r="X16" s="2378"/>
      <c r="Y16" s="2378"/>
      <c r="Z16" s="1985"/>
      <c r="AA16" s="1987"/>
      <c r="AB16" s="1985"/>
    </row>
    <row customHeight="1" ht="14.25">
      <c r="A17" s="1985"/>
      <c r="B17" s="1985"/>
      <c r="C17" s="1985"/>
      <c r="D17" s="1985"/>
      <c r="E17" s="1985"/>
      <c r="F17" s="1985"/>
      <c r="G17" s="1985"/>
      <c r="H17" s="1985"/>
      <c r="I17" s="1985"/>
      <c r="J17" s="1985"/>
      <c r="K17" s="1985"/>
      <c r="L17" s="1985"/>
      <c r="M17" s="1985"/>
      <c r="N17" s="1985"/>
      <c r="O17" s="1985"/>
      <c r="P17" s="1985"/>
      <c r="Q17" s="1985"/>
      <c r="R17" s="1985"/>
      <c r="S17" s="1985"/>
      <c r="T17" s="1985"/>
      <c r="U17" s="1985"/>
      <c r="V17" s="1985"/>
      <c r="W17" s="1985"/>
      <c r="X17" s="1985"/>
      <c r="Y17" s="1986"/>
      <c r="Z17" s="1985"/>
      <c r="AA17" s="1987"/>
      <c r="AB17" s="1985"/>
    </row>
    <row customHeight="1" ht="14.25">
      <c r="A18" s="1985"/>
      <c r="B18" s="1985"/>
      <c r="C18" s="1985"/>
      <c r="D18" s="1985"/>
      <c r="E18" s="1985"/>
      <c r="F18" s="1985"/>
      <c r="G18" s="1985"/>
      <c r="H18" s="1985"/>
      <c r="I18" s="1985"/>
      <c r="J18" s="1985"/>
      <c r="K18" s="1985"/>
      <c r="L18" s="1985"/>
      <c r="M18" s="1985"/>
      <c r="N18" s="1985"/>
      <c r="O18" s="1985"/>
      <c r="P18" s="1985"/>
      <c r="Q18" s="1985"/>
      <c r="R18" s="1985"/>
      <c r="S18" s="1985"/>
      <c r="T18" s="1985"/>
      <c r="U18" s="1985"/>
      <c r="V18" s="1985"/>
      <c r="W18" s="1985"/>
      <c r="X18" s="1985"/>
      <c r="Y18" s="1986"/>
      <c r="Z18" s="1985"/>
      <c r="AA18" s="1987"/>
      <c r="AB18" s="1985"/>
    </row>
    <row customHeight="1" ht="14.25">
      <c r="A19" s="1985"/>
      <c r="B19" s="1985"/>
      <c r="C19" s="1985"/>
      <c r="D19" s="1985"/>
      <c r="E19" s="1985"/>
      <c r="F19" s="1985"/>
      <c r="G19" s="1985"/>
      <c r="H19" s="1985"/>
      <c r="I19" s="1985"/>
      <c r="J19" s="1985"/>
      <c r="K19" s="1985"/>
      <c r="L19" s="1985"/>
      <c r="M19" s="1985"/>
      <c r="N19" s="1985"/>
      <c r="O19" s="1985"/>
      <c r="P19" s="1985"/>
      <c r="Q19" s="1985"/>
      <c r="R19" s="1985"/>
      <c r="S19" s="1985"/>
      <c r="T19" s="1985"/>
      <c r="U19" s="1985"/>
      <c r="V19" s="1985"/>
      <c r="W19" s="1985"/>
      <c r="X19" s="1985"/>
      <c r="Y19" s="1986"/>
      <c r="Z19" s="1985"/>
      <c r="AA19" s="1987"/>
      <c r="AB19" s="1985"/>
    </row>
    <row customHeight="1" ht="14.25">
      <c r="A20" s="1985"/>
      <c r="B20" s="1985"/>
      <c r="C20" s="1985"/>
      <c r="D20" s="1985"/>
      <c r="E20" s="1985"/>
      <c r="F20" s="1985"/>
      <c r="G20" s="1985"/>
      <c r="H20" s="1985"/>
      <c r="I20" s="1985"/>
      <c r="J20" s="1985"/>
      <c r="K20" s="1985"/>
      <c r="L20" s="1985"/>
      <c r="M20" s="1985"/>
      <c r="N20" s="1985"/>
      <c r="O20" s="1985"/>
      <c r="P20" s="1985"/>
      <c r="Q20" s="1985"/>
      <c r="R20" s="1985"/>
      <c r="S20" s="1985"/>
      <c r="T20" s="1985"/>
      <c r="U20" s="1985"/>
      <c r="V20" s="1985"/>
      <c r="W20" s="1985"/>
      <c r="X20" s="1985"/>
      <c r="Y20" s="1986"/>
      <c r="Z20" s="1985"/>
      <c r="AA20" s="1987"/>
      <c r="AB20" s="1985"/>
    </row>
    <row customHeight="1" ht="14.25">
      <c r="A21" s="1985"/>
      <c r="B21" s="1985"/>
      <c r="C21" s="1985"/>
      <c r="D21" s="1985"/>
      <c r="E21" s="1985"/>
      <c r="F21" s="1985"/>
      <c r="G21" s="1985"/>
      <c r="H21" s="1985"/>
      <c r="I21" s="1985"/>
      <c r="J21" s="1985"/>
      <c r="K21" s="1985"/>
      <c r="L21" s="1985"/>
      <c r="M21" s="1985"/>
      <c r="N21" s="1985"/>
      <c r="O21" s="1985"/>
      <c r="P21" s="1985"/>
      <c r="Q21" s="1985"/>
      <c r="R21" s="1985"/>
      <c r="S21" s="1985"/>
      <c r="T21" s="1985"/>
      <c r="U21" s="1985"/>
      <c r="V21" s="1985"/>
      <c r="W21" s="1985"/>
      <c r="X21" s="1985"/>
      <c r="Y21" s="1986"/>
      <c r="Z21" s="1985"/>
      <c r="AA21" s="1987"/>
      <c r="AB21" s="1985"/>
    </row>
  </sheetData>
  <sheetProtection formatColumns="0" formatRows="0" sort="0" autoFilter="0" insertRows="0" insertColumns="1" deleteRows="0" deleteColumns="0"/>
  <mergeCells count="13">
    <mergeCell ref="B11:C12"/>
    <mergeCell ref="E12:X12"/>
    <mergeCell ref="B13:C15"/>
    <mergeCell ref="E14:X14"/>
    <mergeCell ref="B16:Y16"/>
    <mergeCell ref="B2:P2"/>
    <mergeCell ref="B3:P3"/>
    <mergeCell ref="B5:Y5"/>
    <mergeCell ref="B6:C10"/>
    <mergeCell ref="F8:M8"/>
    <mergeCell ref="P8:X8"/>
    <mergeCell ref="F9:M9"/>
    <mergeCell ref="P9:X9"/>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BE8D48D-8242-ED08-8D18-5373C69CC178}" mc:Ignorable="x14ac xr xr2 xr3">
  <sheetPr>
    <tabColor theme="3" tint="0.6"/>
  </sheetPr>
  <dimension ref="A1:W19"/>
  <sheetViews>
    <sheetView topLeftCell="A1" showGridLines="0" zoomScale="90" workbookViewId="0">
      <selection activeCell="A1" sqref="A1"/>
    </sheetView>
  </sheetViews>
  <sheetFormatPr defaultColWidth="10.57421875" customHeight="1" defaultRowHeight="14.25"/>
  <cols>
    <col min="1" max="1" style="14041" width="9.140625" hidden="1" customWidth="1"/>
    <col min="2" max="3" style="14077" width="9.140625" hidden="1" customWidth="1"/>
    <col min="4" max="4" style="14246" width="3.00390625" customWidth="1"/>
    <col min="5" max="5" style="14077" width="6.00390625" customWidth="1"/>
    <col min="6" max="6" style="14077" width="1.7109375" hidden="1" customWidth="1"/>
    <col min="7" max="8" style="14077" width="30.00390625" customWidth="1"/>
    <col min="9" max="9" style="14077" width="8.00390625" customWidth="1"/>
    <col min="10" max="10" style="14077" width="12.140625" customWidth="1"/>
    <col min="11" max="11" style="14077" width="46.00390625" customWidth="1"/>
    <col min="12" max="12" style="14077" width="100.00390625" customWidth="1"/>
    <col min="13" max="13" style="14173" width="7.00390625" customWidth="1"/>
    <col min="14" max="22" style="14077" width="10.00390625" customWidth="1"/>
    <col min="23" max="23" style="14077" width="10.57421875" hidden="1"/>
  </cols>
  <sheetData>
    <row s="14158" customFormat="1" customHeight="1" ht="5.25" hidden="1">
      <c r="C1" s="795"/>
      <c r="D1" s="778"/>
      <c r="F1" s="795"/>
      <c r="G1" s="773" t="s">
        <v>84</v>
      </c>
      <c r="H1" s="773" t="s">
        <v>85</v>
      </c>
      <c r="I1" s="773" t="s">
        <v>86</v>
      </c>
      <c r="P1" s="773" t="s">
        <v>84</v>
      </c>
      <c r="Q1" s="773" t="s">
        <v>85</v>
      </c>
      <c r="R1" s="773" t="s">
        <v>86</v>
      </c>
      <c r="W1" s="773" t="s">
        <v>14</v>
      </c>
    </row>
    <row s="14158" customFormat="1" customHeight="1" ht="5.25" hidden="1">
      <c r="C2" s="795"/>
      <c r="D2" s="778"/>
      <c r="F2" s="795"/>
      <c r="W2" s="773">
        <v>0</v>
      </c>
    </row>
    <row s="14052" customFormat="1" customHeight="1" ht="5.25">
      <c r="A3" s="763"/>
      <c r="D3" s="770"/>
      <c r="E3" s="765"/>
      <c r="F3" s="765"/>
      <c r="G3" s="765"/>
      <c r="H3" s="765"/>
      <c r="I3" s="766"/>
      <c r="J3" s="767"/>
      <c r="K3" s="767"/>
      <c r="L3" s="767"/>
      <c r="W3" s="764">
        <v>5</v>
      </c>
    </row>
    <row customHeight="1" ht="23.25">
      <c r="D4" s="734"/>
      <c r="E4" s="2522" t="s">
        <v>393</v>
      </c>
      <c r="F4" s="2522"/>
      <c r="G4" s="2523"/>
      <c r="H4" s="2523"/>
      <c r="I4" s="2524"/>
      <c r="J4" s="775"/>
      <c r="K4" s="737"/>
      <c r="L4" s="737"/>
      <c r="W4" s="731">
        <v>22</v>
      </c>
    </row>
    <row s="14077" customFormat="1" customHeight="1" ht="18">
      <c r="A5" s="1043"/>
      <c r="D5" s="1106"/>
      <c r="E5" s="2498" t="str">
        <f>IF(org=0,"Не определено",org)</f>
        <v>МУП г. Азова "Теплоэнерго"</v>
      </c>
      <c r="F5" s="2498"/>
      <c r="G5" s="2499"/>
      <c r="H5" s="2499"/>
      <c r="I5" s="2500"/>
      <c r="J5" s="775"/>
      <c r="K5" s="737"/>
      <c r="L5" s="737"/>
      <c r="M5" s="791"/>
      <c r="W5" s="1042">
        <v>17</v>
      </c>
    </row>
    <row s="14052" customFormat="1" customHeight="1" ht="11.549999999999999">
      <c r="A6" s="763"/>
      <c r="D6" s="770"/>
      <c r="E6" s="765"/>
      <c r="F6" s="765"/>
      <c r="G6" s="768"/>
      <c r="H6" s="768"/>
      <c r="I6" s="769"/>
      <c r="J6" s="769"/>
      <c r="K6" s="1036"/>
      <c r="L6" s="769"/>
      <c r="W6" s="764">
        <v>11</v>
      </c>
    </row>
    <row customHeight="1" ht="14.699999999999998">
      <c r="D7" s="734"/>
      <c r="E7" s="2492" t="s">
        <v>305</v>
      </c>
      <c r="F7" s="2492"/>
      <c r="G7" s="2493"/>
      <c r="H7" s="2493"/>
      <c r="I7" s="2493"/>
      <c r="J7" s="2493"/>
      <c r="K7" s="2493"/>
      <c r="L7" s="2507" t="s">
        <v>306</v>
      </c>
      <c r="W7" s="731">
        <v>14</v>
      </c>
    </row>
    <row customHeight="1" ht="48.29999999999999">
      <c r="D8" s="734"/>
      <c r="E8" s="757" t="s">
        <v>89</v>
      </c>
      <c r="F8" s="1107"/>
      <c r="G8" s="749" t="s">
        <v>87</v>
      </c>
      <c r="H8" s="749" t="s">
        <v>88</v>
      </c>
      <c r="I8" s="698" t="s">
        <v>86</v>
      </c>
      <c r="J8" s="698" t="s">
        <v>394</v>
      </c>
      <c r="K8" s="698" t="s">
        <v>395</v>
      </c>
      <c r="L8" s="2507"/>
      <c r="W8" s="731">
        <v>46</v>
      </c>
    </row>
    <row customHeight="1" ht="12" hidden="1">
      <c r="D9" s="771"/>
      <c r="E9" s="777"/>
      <c r="F9" s="1114"/>
      <c r="G9" s="777"/>
      <c r="H9" s="777"/>
      <c r="I9" s="777"/>
      <c r="J9" s="777"/>
      <c r="K9" s="777"/>
      <c r="L9" s="777"/>
      <c r="M9" s="731"/>
      <c r="W9" s="731">
        <v>0</v>
      </c>
    </row>
    <row customHeight="1" ht="14.25" hidden="1">
      <c r="A10" s="789"/>
      <c r="B10" s="789"/>
      <c r="D10" s="790"/>
      <c r="E10" s="796">
        <v>0</v>
      </c>
      <c r="F10" s="1105"/>
      <c r="G10" s="792"/>
      <c r="H10" s="792"/>
      <c r="I10" s="792"/>
      <c r="J10" s="792"/>
      <c r="K10" s="792"/>
      <c r="L10" s="2505" t="s">
        <v>396</v>
      </c>
      <c r="M10" s="791"/>
      <c r="N10" s="789"/>
      <c r="O10" s="789"/>
      <c r="P10" s="789"/>
      <c r="Q10" s="789"/>
      <c r="R10" s="789"/>
      <c r="S10" s="789"/>
      <c r="T10" s="789"/>
      <c r="U10" s="789"/>
      <c r="V10" s="789"/>
      <c r="W10" s="731">
        <v>0</v>
      </c>
    </row>
    <row customHeight="1" ht="15" hidden="1">
      <c r="A11" s="2383"/>
      <c r="B11" s="788"/>
      <c r="C11" s="788"/>
      <c r="D11" s="1149"/>
      <c r="E11" s="797"/>
      <c r="F11" s="797"/>
      <c r="G11" s="797"/>
      <c r="H11" s="797"/>
      <c r="I11" s="798"/>
      <c r="J11" s="799"/>
      <c r="K11" s="997"/>
      <c r="L11" s="2525"/>
      <c r="M11" s="795"/>
      <c r="N11" s="795"/>
      <c r="O11" s="795"/>
      <c r="P11" s="800"/>
      <c r="Q11" s="800"/>
      <c r="R11" s="801"/>
      <c r="S11" s="795"/>
      <c r="T11" s="795"/>
      <c r="U11" s="795"/>
      <c r="V11" s="795"/>
      <c r="W11" s="731">
        <v>0</v>
      </c>
    </row>
    <row s="14052" customFormat="1" customHeight="1" ht="15">
      <c r="A12" s="2383"/>
      <c r="B12" s="788"/>
      <c r="C12" s="788"/>
      <c r="D12" s="1150"/>
      <c r="E12" s="1107">
        <v>1</v>
      </c>
      <c r="F12" s="1148">
        <v>23</v>
      </c>
      <c r="G12" s="1147"/>
      <c r="H12" s="1077"/>
      <c r="I12" s="1075"/>
      <c r="J12" s="804" t="s">
        <v>67</v>
      </c>
      <c r="K12" s="1448" t="s">
        <v>28</v>
      </c>
      <c r="L12" s="2525"/>
      <c r="M12" s="795"/>
      <c r="N12" s="795"/>
      <c r="O12" s="795"/>
      <c r="P12" s="800" t="s">
        <v>397</v>
      </c>
      <c r="Q12" s="800" t="s">
        <v>398</v>
      </c>
      <c r="R12" s="801" t="s">
        <v>399</v>
      </c>
      <c r="S12" s="795" t="s">
        <v>400</v>
      </c>
      <c r="T12" s="795"/>
      <c r="U12" s="795"/>
      <c r="V12" s="795"/>
      <c r="W12" s="764">
        <v>14</v>
      </c>
    </row>
    <row customHeight="1" ht="15.75">
      <c r="A13" s="2383"/>
      <c r="B13" s="789"/>
      <c r="D13" s="790"/>
      <c r="E13" s="689"/>
      <c r="F13" s="813"/>
      <c r="G13" s="700" t="s">
        <v>103</v>
      </c>
      <c r="H13" s="688"/>
      <c r="I13" s="688"/>
      <c r="J13" s="688"/>
      <c r="K13" s="687"/>
      <c r="L13" s="2506"/>
      <c r="M13" s="793"/>
      <c r="N13" s="789"/>
      <c r="O13" s="789"/>
      <c r="P13" s="789"/>
      <c r="Q13" s="789"/>
      <c r="R13" s="789"/>
      <c r="S13" s="789"/>
      <c r="T13" s="789"/>
      <c r="U13" s="789"/>
      <c r="V13" s="789"/>
      <c r="W13" s="731">
        <v>15</v>
      </c>
    </row>
    <row customHeight="1" ht="11.549999999999999">
      <c r="A14" s="763"/>
      <c r="B14" s="764"/>
      <c r="C14" s="764"/>
      <c r="D14" s="779"/>
      <c r="E14" s="764"/>
      <c r="F14" s="764"/>
      <c r="G14" s="764"/>
      <c r="H14" s="764"/>
      <c r="I14" s="764"/>
      <c r="J14" s="764"/>
      <c r="K14" s="764"/>
      <c r="L14" s="764"/>
      <c r="M14" s="764"/>
      <c r="N14" s="764"/>
      <c r="O14" s="764"/>
      <c r="P14" s="764"/>
      <c r="Q14" s="764"/>
      <c r="R14" s="764"/>
      <c r="S14" s="764"/>
      <c r="T14" s="764"/>
      <c r="U14" s="764"/>
      <c r="V14" s="764"/>
      <c r="W14" s="731">
        <v>11</v>
      </c>
    </row>
    <row customHeight="1" ht="14.699999999999998">
      <c r="D15" s="750"/>
      <c r="E15" s="620"/>
      <c r="F15" s="620"/>
      <c r="G15" s="948"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теплоснабжения.</v>
      </c>
      <c r="H15" s="750"/>
      <c r="I15" s="750"/>
      <c r="J15" s="750"/>
      <c r="K15" s="750"/>
      <c r="L15" s="750"/>
      <c r="W15" s="731">
        <v>14</v>
      </c>
    </row>
    <row customHeight="1" ht="14.699999999999998">
      <c r="W16" s="731">
        <v>14</v>
      </c>
    </row>
    <row customHeight="1" ht="14.699999999999998">
      <c r="W17" s="731">
        <v>14</v>
      </c>
    </row>
    <row customHeight="1" ht="14.699999999999998">
      <c r="G18" s="789"/>
      <c r="W18" s="731">
        <v>14</v>
      </c>
    </row>
    <row customHeight="1" ht="22.5" hidden="1">
      <c r="A19" s="733" t="s">
        <v>83</v>
      </c>
      <c r="B19" s="731">
        <v>0</v>
      </c>
      <c r="C19" s="1042">
        <v>0</v>
      </c>
      <c r="D19" s="735">
        <v>3</v>
      </c>
      <c r="E19" s="731">
        <v>6</v>
      </c>
      <c r="F19" s="1042">
        <v>0</v>
      </c>
      <c r="G19" s="731">
        <v>30</v>
      </c>
      <c r="H19" s="731">
        <v>30</v>
      </c>
      <c r="I19" s="731">
        <v>8</v>
      </c>
      <c r="J19" s="731">
        <v>12</v>
      </c>
      <c r="K19" s="731">
        <v>46</v>
      </c>
      <c r="L19" s="731">
        <v>100</v>
      </c>
      <c r="M19" s="736">
        <v>7</v>
      </c>
      <c r="N19" s="731">
        <v>10</v>
      </c>
      <c r="O19" s="731">
        <v>10</v>
      </c>
      <c r="P19" s="731">
        <v>10</v>
      </c>
      <c r="Q19" s="731">
        <v>10</v>
      </c>
      <c r="R19" s="731">
        <v>10</v>
      </c>
      <c r="S19" s="731">
        <v>10</v>
      </c>
      <c r="T19" s="731">
        <v>10</v>
      </c>
      <c r="U19" s="731">
        <v>10</v>
      </c>
      <c r="V19" s="731">
        <v>10</v>
      </c>
      <c r="W19" s="731">
        <v>23</v>
      </c>
    </row>
  </sheetData>
  <sheetProtection formatColumns="0" formatRows="0" sort="0" autoFilter="0" insertRows="0" insertColumns="1" deleteRows="0" deleteColumns="0"/>
  <mergeCells count="6">
    <mergeCell ref="A11:A13"/>
    <mergeCell ref="E4:I4"/>
    <mergeCell ref="E7:K7"/>
    <mergeCell ref="L7:L8"/>
    <mergeCell ref="L10:L13"/>
    <mergeCell ref="E5:I5"/>
  </mergeCells>
  <dataValidations count="3">
    <dataValidation type="decimal" allowBlank="1" showErrorMessage="1" errorTitle="Ошибка" error="Допускается ввод только неотрицательных чисел!" sqref="G10:K10">
      <formula1>0</formula1>
      <formula2>9.99999999999999E+23</formula2>
    </dataValidation>
    <dataValidation allowBlank="1" showInputMessage="1" showErrorMessage="1" prompt="Изменение значения по двойному щелчоку левой кнопки мыши" sqref="J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9572A78-C1D7-5DFE-4349-8594586CB578}"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4157" width="10.57421875" hidden="1"/>
    <col min="2" max="2" style="14157" width="11.00390625" hidden="1" customWidth="1"/>
    <col min="3" max="3" style="14157" width="10.57421875" hidden="1"/>
    <col min="4" max="4" style="14157" width="11.8515625" hidden="1" customWidth="1"/>
    <col min="5" max="5" style="14157" width="10.00390625" hidden="1" customWidth="1"/>
    <col min="6" max="6" style="14157" width="8.7109375" hidden="1" customWidth="1"/>
    <col min="7" max="7" style="14157" width="7.57421875" hidden="1" customWidth="1"/>
    <col min="8" max="8" style="14157" width="11.421875" hidden="1" customWidth="1"/>
    <col min="9" max="9" style="14157" width="12.00390625" hidden="1" customWidth="1"/>
    <col min="10" max="10" style="14157" width="9.8515625" hidden="1" customWidth="1"/>
    <col min="11" max="11" style="14157" width="11.421875" hidden="1" customWidth="1"/>
    <col min="12" max="12" style="14974" width="19.140625" hidden="1" customWidth="1"/>
    <col min="13" max="14" style="14975" width="12.28125" hidden="1" customWidth="1"/>
    <col min="15" max="15" style="14975" width="23.421875" hidden="1" customWidth="1"/>
    <col min="16" max="16" style="14976" width="3.00390625" customWidth="1"/>
    <col min="17" max="18" style="14977" width="3.00390625" customWidth="1"/>
    <col min="19" max="19" style="14978" width="12.00390625" customWidth="1"/>
    <col min="20" max="20" style="14077" width="35.00390625" customWidth="1"/>
    <col min="21" max="21" style="14077" width="0.140625" customWidth="1"/>
    <col min="22" max="22" style="14077" width="24.7109375" hidden="1" customWidth="1"/>
    <col min="23" max="23" style="14077" width="0.140625" hidden="1" customWidth="1"/>
    <col min="24" max="25" style="14077" width="24.7109375" hidden="1" customWidth="1"/>
    <col min="26" max="26" style="14077" width="11.7109375" hidden="1" customWidth="1"/>
    <col min="27" max="27" style="14077" width="3.7109375" hidden="1" customWidth="1"/>
    <col min="28" max="28" style="14077" width="11.7109375" hidden="1" customWidth="1"/>
    <col min="29" max="29" style="14077" width="8.57421875" hidden="1" customWidth="1"/>
    <col min="30" max="30" style="14077" width="24.7109375" customWidth="1"/>
    <col min="31" max="31" style="14077" width="0.140625" customWidth="1"/>
    <col min="32" max="33" style="14077" width="24.00390625" customWidth="1"/>
    <col min="34" max="34" style="14077" width="11.00390625" customWidth="1"/>
    <col min="35" max="35" style="14077" width="3.7109375" customWidth="1"/>
    <col min="36" max="36" style="14077" width="11.00390625" customWidth="1"/>
    <col min="37" max="37" style="14077" width="8.57421875" hidden="1" customWidth="1"/>
    <col min="38" max="38" style="14077" width="4.00390625" customWidth="1"/>
    <col min="39" max="39" style="14077" width="115.00390625" customWidth="1"/>
    <col min="40" max="44" style="14158" width="10.00390625" customWidth="1"/>
    <col min="45" max="45" style="14077" width="10.57421875" hidden="1"/>
  </cols>
  <sheetData>
    <row customHeight="1" ht="22.5" hidden="1">
      <c r="Y1" s="611"/>
      <c r="Z1" s="611"/>
      <c r="AG1" s="611"/>
      <c r="AH1" s="611"/>
      <c r="AS1" s="1439" t="s">
        <v>14</v>
      </c>
    </row>
    <row customHeight="1" ht="21" hidden="1">
      <c r="A2" s="1647"/>
      <c r="B2" s="1647"/>
      <c r="C2" s="1647"/>
      <c r="D2" s="1647"/>
      <c r="E2" s="2542">
        <v>1</v>
      </c>
      <c r="F2" s="1647"/>
      <c r="G2" s="1647"/>
      <c r="H2" s="1647"/>
      <c r="I2" s="1647"/>
      <c r="J2" s="1647"/>
      <c r="K2" s="1647"/>
      <c r="L2" s="1648"/>
      <c r="M2" s="1649"/>
      <c r="N2" s="1649"/>
      <c r="O2" s="1649"/>
      <c r="P2" s="645"/>
      <c r="Q2" s="644"/>
      <c r="R2" s="639"/>
      <c r="S2" s="1593">
        <f>INDEX(PT_DIFFERENTIATION_NUM_NTAR,MATCH(A2,PT_DIFFERENTIATION_NTAR_ID,0))</f>
      </c>
      <c r="T2" s="582" t="s">
        <v>124</v>
      </c>
      <c r="U2" s="584"/>
      <c r="V2" s="2526"/>
      <c r="W2" s="2527"/>
      <c r="X2" s="2527"/>
      <c r="Y2" s="2527"/>
      <c r="Z2" s="2527"/>
      <c r="AA2" s="2527"/>
      <c r="AB2" s="2527"/>
      <c r="AC2" s="2528"/>
      <c r="AD2" s="2526">
        <f>INDEX(PT_DIFFERENTIATION_NTAR,MATCH(A2,PT_DIFFERENTIATION_NTAR_ID,0))</f>
      </c>
      <c r="AE2" s="2527"/>
      <c r="AF2" s="2527"/>
      <c r="AG2" s="2527"/>
      <c r="AH2" s="2527"/>
      <c r="AI2" s="2527"/>
      <c r="AJ2" s="2527"/>
      <c r="AK2" s="2527"/>
      <c r="AL2" s="2528"/>
      <c r="AM2" s="1542" t="s">
        <v>401</v>
      </c>
      <c r="AO2" s="784"/>
      <c r="AP2" s="784" t="str">
        <f>IF(T2="","",T2)</f>
        <v>Наименование тарифа</v>
      </c>
      <c r="AQ2" s="784"/>
      <c r="AR2" s="784"/>
      <c r="AS2" s="1439">
        <v>0</v>
      </c>
    </row>
    <row customHeight="1" ht="21" hidden="1">
      <c r="A3" s="1647"/>
      <c r="B3" s="1647"/>
      <c r="C3" s="1647"/>
      <c r="D3" s="1647"/>
      <c r="E3" s="2543"/>
      <c r="F3" s="2542">
        <v>1</v>
      </c>
      <c r="G3" s="1647"/>
      <c r="H3" s="1647"/>
      <c r="I3" s="1647"/>
      <c r="J3" s="1647"/>
      <c r="K3" s="1647"/>
      <c r="L3" s="1648"/>
      <c r="M3" s="1649"/>
      <c r="N3" s="1649"/>
      <c r="O3" s="1649"/>
      <c r="P3" s="1588"/>
      <c r="Q3" s="636"/>
      <c r="R3" s="637"/>
      <c r="S3" s="1593">
        <f>INDEX(PT_DIFFERENTIATION_NUM_TER,MATCH(B3,PT_DIFFERENTIATION_TER_ID,0))</f>
      </c>
      <c r="T3" s="592" t="s">
        <v>402</v>
      </c>
      <c r="U3" s="584"/>
      <c r="V3" s="2526"/>
      <c r="W3" s="2527"/>
      <c r="X3" s="2527"/>
      <c r="Y3" s="2527"/>
      <c r="Z3" s="2527"/>
      <c r="AA3" s="2527"/>
      <c r="AB3" s="2527"/>
      <c r="AC3" s="2528"/>
      <c r="AD3" s="2526">
        <f>INDEX(PT_DIFFERENTIATION_TER,MATCH(B3,PT_DIFFERENTIATION_TER_ID,0))</f>
      </c>
      <c r="AE3" s="2527"/>
      <c r="AF3" s="2527"/>
      <c r="AG3" s="2527"/>
      <c r="AH3" s="2527"/>
      <c r="AI3" s="2527"/>
      <c r="AJ3" s="2527"/>
      <c r="AK3" s="2527"/>
      <c r="AL3" s="2528"/>
      <c r="AM3" s="1542" t="s">
        <v>403</v>
      </c>
      <c r="AO3" s="784"/>
      <c r="AP3" s="784" t="str">
        <f>IF(T3="","",T3)</f>
        <v>Территория действия тарифа</v>
      </c>
      <c r="AQ3" s="784"/>
      <c r="AR3" s="784"/>
      <c r="AS3" s="1439">
        <v>0</v>
      </c>
    </row>
    <row customHeight="1" ht="23.25" hidden="1">
      <c r="A4" s="1647"/>
      <c r="B4" s="1647"/>
      <c r="C4" s="1647"/>
      <c r="D4" s="1647"/>
      <c r="E4" s="2543"/>
      <c r="F4" s="2543"/>
      <c r="G4" s="2542">
        <v>1</v>
      </c>
      <c r="H4" s="1647"/>
      <c r="I4" s="1647"/>
      <c r="J4" s="1647"/>
      <c r="K4" s="1647"/>
      <c r="L4" s="1648"/>
      <c r="M4" s="1649"/>
      <c r="N4" s="1649"/>
      <c r="O4" s="1649"/>
      <c r="P4" s="638"/>
      <c r="Q4" s="636"/>
      <c r="R4" s="637"/>
      <c r="S4" s="1593">
        <f>INDEX(PT_DIFFERENTIATION_NUM_CS,MATCH(C4,PT_DIFFERENTIATION_CS_ID,0))</f>
      </c>
      <c r="T4" s="593" t="s">
        <v>404</v>
      </c>
      <c r="U4" s="584"/>
      <c r="V4" s="2526"/>
      <c r="W4" s="2527"/>
      <c r="X4" s="2527"/>
      <c r="Y4" s="2527"/>
      <c r="Z4" s="2527"/>
      <c r="AA4" s="2527"/>
      <c r="AB4" s="2527"/>
      <c r="AC4" s="2528"/>
      <c r="AD4" s="2526">
        <f>INDEX(PT_DIFFERENTIATION_CS,MATCH(C4,PT_DIFFERENTIATION_CS_ID,0))</f>
      </c>
      <c r="AE4" s="2527"/>
      <c r="AF4" s="2527"/>
      <c r="AG4" s="2527"/>
      <c r="AH4" s="2527"/>
      <c r="AI4" s="2527"/>
      <c r="AJ4" s="2527"/>
      <c r="AK4" s="2527"/>
      <c r="AL4" s="2528"/>
      <c r="AM4" s="1542" t="s">
        <v>405</v>
      </c>
      <c r="AO4" s="784"/>
      <c r="AP4" s="784" t="str">
        <f>IF(T4="","",T4)</f>
        <v>Наименование системы теплоснабжения </v>
      </c>
      <c r="AQ4" s="784"/>
      <c r="AR4" s="784"/>
      <c r="AS4" s="1439">
        <v>0</v>
      </c>
    </row>
    <row customHeight="1" ht="21" hidden="1">
      <c r="A5" s="1647"/>
      <c r="B5" s="1647"/>
      <c r="C5" s="1647"/>
      <c r="D5" s="1647"/>
      <c r="E5" s="2543"/>
      <c r="F5" s="2543"/>
      <c r="G5" s="2543"/>
      <c r="H5" s="2542">
        <v>1</v>
      </c>
      <c r="I5" s="1647"/>
      <c r="J5" s="1647"/>
      <c r="K5" s="1647"/>
      <c r="L5" s="1648"/>
      <c r="M5" s="1649"/>
      <c r="N5" s="1649"/>
      <c r="O5" s="1649"/>
      <c r="P5" s="638"/>
      <c r="Q5" s="636"/>
      <c r="R5" s="637"/>
      <c r="S5" s="1593">
        <f>INDEX(PT_DIFFERENTIATION_NUM_IST_TE,MATCH(D5,PT_DIFFERENTIATION_IST_TE_ID,0))</f>
      </c>
      <c r="T5" s="594" t="s">
        <v>406</v>
      </c>
      <c r="U5" s="584"/>
      <c r="V5" s="2526"/>
      <c r="W5" s="2527"/>
      <c r="X5" s="2527"/>
      <c r="Y5" s="2527"/>
      <c r="Z5" s="2527"/>
      <c r="AA5" s="2527"/>
      <c r="AB5" s="2527"/>
      <c r="AC5" s="2528"/>
      <c r="AD5" s="2526">
        <f>INDEX(PT_DIFFERENTIATION_IST_TE,MATCH(D5,PT_DIFFERENTIATION_IST_TE_ID,0))</f>
      </c>
      <c r="AE5" s="2527"/>
      <c r="AF5" s="2527"/>
      <c r="AG5" s="2527"/>
      <c r="AH5" s="2527"/>
      <c r="AI5" s="2527"/>
      <c r="AJ5" s="2527"/>
      <c r="AK5" s="2527"/>
      <c r="AL5" s="2528"/>
      <c r="AM5" s="1542" t="s">
        <v>407</v>
      </c>
      <c r="AO5" s="784"/>
      <c r="AP5" s="784" t="str">
        <f>IF(T5="","",T5)</f>
        <v>Источник тепловой энергии  </v>
      </c>
      <c r="AQ5" s="784"/>
      <c r="AR5" s="784"/>
      <c r="AS5" s="1439">
        <v>0</v>
      </c>
    </row>
    <row customHeight="1" ht="47.25" hidden="1">
      <c r="A6" s="1647"/>
      <c r="B6" s="1647"/>
      <c r="C6" s="1647"/>
      <c r="D6" s="1647"/>
      <c r="E6" s="2543"/>
      <c r="F6" s="2543"/>
      <c r="G6" s="2543"/>
      <c r="H6" s="2543"/>
      <c r="I6" s="2540">
        <f>S5&amp;".1"</f>
      </c>
      <c r="J6" s="1647"/>
      <c r="K6" s="1647"/>
      <c r="L6" s="1648" t="s">
        <v>408</v>
      </c>
      <c r="M6" s="821"/>
      <c r="P6" s="2541">
        <v>1</v>
      </c>
      <c r="Q6" s="1589"/>
      <c r="R6" s="640"/>
      <c r="S6" s="1593">
        <f>$I6</f>
      </c>
      <c r="T6" s="569" t="s">
        <v>409</v>
      </c>
      <c r="U6" s="584"/>
      <c r="V6" s="2529"/>
      <c r="W6" s="2530"/>
      <c r="X6" s="2530"/>
      <c r="Y6" s="2530"/>
      <c r="Z6" s="2530"/>
      <c r="AA6" s="2530"/>
      <c r="AB6" s="2530"/>
      <c r="AC6" s="2531"/>
      <c r="AD6" s="2529"/>
      <c r="AE6" s="2530"/>
      <c r="AF6" s="2530"/>
      <c r="AG6" s="2530"/>
      <c r="AH6" s="2530"/>
      <c r="AI6" s="2530"/>
      <c r="AJ6" s="2530"/>
      <c r="AK6" s="2530"/>
      <c r="AL6" s="2531"/>
      <c r="AM6" s="1542" t="s">
        <v>410</v>
      </c>
      <c r="AO6" s="784"/>
      <c r="AP6" s="784" t="str">
        <f>IF(T6="","",T6)</f>
        <v>Схема подключения теплопотребляющей установки к коллектору источника тепловой энергии</v>
      </c>
      <c r="AQ6" s="784"/>
      <c r="AR6" s="784"/>
      <c r="AS6" s="1439">
        <v>0</v>
      </c>
    </row>
    <row customHeight="1" ht="21" hidden="1">
      <c r="A7" s="1647"/>
      <c r="B7" s="1647"/>
      <c r="C7" s="1647"/>
      <c r="D7" s="1647"/>
      <c r="E7" s="2543"/>
      <c r="F7" s="2543"/>
      <c r="G7" s="2543"/>
      <c r="H7" s="2543"/>
      <c r="I7" s="2570"/>
      <c r="J7" s="2540">
        <f>I6&amp;".1"</f>
      </c>
      <c r="K7" s="1647"/>
      <c r="L7" s="1648" t="s">
        <v>411</v>
      </c>
      <c r="M7" s="821"/>
      <c r="N7" s="1650"/>
      <c r="P7" s="2541"/>
      <c r="Q7" s="2541">
        <v>1</v>
      </c>
      <c r="R7" s="641"/>
      <c r="S7" s="1593">
        <f>$J7</f>
      </c>
      <c r="T7" s="570" t="s">
        <v>412</v>
      </c>
      <c r="U7" s="584"/>
      <c r="V7" s="2529"/>
      <c r="W7" s="2530"/>
      <c r="X7" s="2530"/>
      <c r="Y7" s="2530"/>
      <c r="Z7" s="2530"/>
      <c r="AA7" s="2530"/>
      <c r="AB7" s="2530"/>
      <c r="AC7" s="2531"/>
      <c r="AD7" s="2529"/>
      <c r="AE7" s="2530"/>
      <c r="AF7" s="2530"/>
      <c r="AG7" s="2530"/>
      <c r="AH7" s="2530"/>
      <c r="AI7" s="2530"/>
      <c r="AJ7" s="2530"/>
      <c r="AK7" s="2530"/>
      <c r="AL7" s="2531"/>
      <c r="AM7" s="1542" t="s">
        <v>413</v>
      </c>
      <c r="AO7" s="784"/>
      <c r="AP7" s="784" t="str">
        <f>IF(T7="","",T7)</f>
        <v>Группа потребителей</v>
      </c>
      <c r="AQ7" s="784"/>
      <c r="AR7" s="784"/>
      <c r="AS7" s="1439">
        <v>0</v>
      </c>
    </row>
    <row customHeight="1" ht="21" hidden="1">
      <c r="A8" s="1647"/>
      <c r="B8" s="1647"/>
      <c r="C8" s="1647"/>
      <c r="D8" s="1647"/>
      <c r="E8" s="2543"/>
      <c r="F8" s="2543"/>
      <c r="G8" s="2543"/>
      <c r="H8" s="2543"/>
      <c r="I8" s="2570"/>
      <c r="J8" s="2570"/>
      <c r="K8" s="2540">
        <f>J7&amp;".1"</f>
      </c>
      <c r="L8" s="1648" t="s">
        <v>414</v>
      </c>
      <c r="M8" s="821"/>
      <c r="N8" s="1650"/>
      <c r="O8" s="1650"/>
      <c r="P8" s="2541"/>
      <c r="Q8" s="2541"/>
      <c r="R8" s="641">
        <v>1</v>
      </c>
      <c r="S8" s="1593">
        <f>$K8</f>
      </c>
      <c r="T8" s="1631"/>
      <c r="U8" s="584"/>
      <c r="V8" s="1035"/>
      <c r="W8" s="609"/>
      <c r="X8" s="1035"/>
      <c r="Y8" s="1541"/>
      <c r="Z8" s="2549"/>
      <c r="AA8" s="2391" t="s">
        <v>67</v>
      </c>
      <c r="AB8" s="2549"/>
      <c r="AC8" s="2391" t="s">
        <v>67</v>
      </c>
      <c r="AD8" s="1035"/>
      <c r="AE8" s="609"/>
      <c r="AF8" s="1035"/>
      <c r="AG8" s="1541"/>
      <c r="AH8" s="2549"/>
      <c r="AI8" s="2391" t="s">
        <v>67</v>
      </c>
      <c r="AJ8" s="2549"/>
      <c r="AK8" s="2391" t="s">
        <v>67</v>
      </c>
      <c r="AL8" s="609"/>
      <c r="AM8" s="2537" t="s">
        <v>415</v>
      </c>
      <c r="AN8" s="795">
        <f>STRCHECKDATE(V9:AL9)</f>
      </c>
      <c r="AO8" s="784"/>
      <c r="AP8" s="784" t="str">
        <f>IF(T8="","",T8)</f>
        <v/>
      </c>
      <c r="AQ8" s="784"/>
      <c r="AR8" s="784"/>
      <c r="AS8" s="1439">
        <v>0</v>
      </c>
    </row>
    <row customHeight="1" ht="0.75" hidden="1">
      <c r="A9" s="1647"/>
      <c r="B9" s="1647"/>
      <c r="C9" s="1647"/>
      <c r="D9" s="1647"/>
      <c r="E9" s="2543"/>
      <c r="F9" s="2543"/>
      <c r="G9" s="2543"/>
      <c r="H9" s="2543"/>
      <c r="I9" s="2570"/>
      <c r="J9" s="2570"/>
      <c r="K9" s="2540"/>
      <c r="L9" s="1648"/>
      <c r="M9" s="821"/>
      <c r="N9" s="1650"/>
      <c r="O9" s="1650"/>
      <c r="P9" s="2541"/>
      <c r="Q9" s="2541"/>
      <c r="R9" s="641"/>
      <c r="S9" s="1590"/>
      <c r="T9" s="584"/>
      <c r="U9" s="584"/>
      <c r="V9" s="609"/>
      <c r="W9" s="609"/>
      <c r="X9" s="609"/>
      <c r="Y9" s="612" t="str">
        <f>Z8&amp;"-"&amp;AB8</f>
        <v>-</v>
      </c>
      <c r="Z9" s="2550"/>
      <c r="AA9" s="2391"/>
      <c r="AB9" s="2550"/>
      <c r="AC9" s="2391"/>
      <c r="AD9" s="609"/>
      <c r="AE9" s="609"/>
      <c r="AF9" s="609"/>
      <c r="AG9" s="612" t="str">
        <f>AH8&amp;"-"&amp;AJ8</f>
        <v>-</v>
      </c>
      <c r="AH9" s="2550"/>
      <c r="AI9" s="2391"/>
      <c r="AJ9" s="2550"/>
      <c r="AK9" s="2391"/>
      <c r="AL9" s="609"/>
      <c r="AM9" s="2538"/>
      <c r="AO9" s="784"/>
      <c r="AP9" s="784" t="str">
        <f>IF(T9="","",T9)</f>
        <v/>
      </c>
      <c r="AQ9" s="784"/>
      <c r="AR9" s="784"/>
      <c r="AS9" s="1439">
        <v>0</v>
      </c>
    </row>
    <row customHeight="1" ht="15" hidden="1">
      <c r="A10" s="1647"/>
      <c r="B10" s="1647"/>
      <c r="C10" s="1647"/>
      <c r="D10" s="1647"/>
      <c r="E10" s="2543"/>
      <c r="F10" s="2543"/>
      <c r="G10" s="2543"/>
      <c r="H10" s="2543"/>
      <c r="I10" s="2570"/>
      <c r="J10" s="2540"/>
      <c r="K10" s="1647"/>
      <c r="L10" s="1648"/>
      <c r="M10" s="821"/>
      <c r="N10" s="1650"/>
      <c r="P10" s="2541"/>
      <c r="Q10" s="2541"/>
      <c r="R10" s="640"/>
      <c r="S10" s="1562"/>
      <c r="T10" s="572" t="s">
        <v>416</v>
      </c>
      <c r="U10" s="651"/>
      <c r="V10" s="651"/>
      <c r="W10" s="651"/>
      <c r="X10" s="651"/>
      <c r="Y10" s="651"/>
      <c r="Z10" s="651"/>
      <c r="AA10" s="651"/>
      <c r="AB10" s="651"/>
      <c r="AC10" s="651"/>
      <c r="AD10" s="651"/>
      <c r="AE10" s="651"/>
      <c r="AF10" s="651"/>
      <c r="AG10" s="651"/>
      <c r="AH10" s="651"/>
      <c r="AI10" s="651"/>
      <c r="AJ10" s="651"/>
      <c r="AK10" s="651"/>
      <c r="AL10" s="608"/>
      <c r="AM10" s="2539"/>
      <c r="AO10" s="784"/>
      <c r="AP10" s="784" t="str">
        <f>IF(T10="","",T10)</f>
        <v>Добавить вид теплоносителя (параметры теплоносителя)</v>
      </c>
      <c r="AQ10" s="784"/>
      <c r="AR10" s="784"/>
      <c r="AS10" s="1439">
        <v>0</v>
      </c>
    </row>
    <row customHeight="1" ht="15" hidden="1">
      <c r="A11" s="1647"/>
      <c r="B11" s="1647"/>
      <c r="C11" s="1647"/>
      <c r="D11" s="1647"/>
      <c r="E11" s="2543"/>
      <c r="F11" s="2543"/>
      <c r="G11" s="2543"/>
      <c r="H11" s="2543"/>
      <c r="I11" s="2540"/>
      <c r="J11" s="1647"/>
      <c r="K11" s="1647"/>
      <c r="L11" s="1648"/>
      <c r="M11" s="821"/>
      <c r="P11" s="2541"/>
      <c r="Q11" s="1589"/>
      <c r="R11" s="640"/>
      <c r="S11" s="1562"/>
      <c r="T11" s="571" t="s">
        <v>417</v>
      </c>
      <c r="U11" s="651"/>
      <c r="V11" s="651"/>
      <c r="W11" s="651"/>
      <c r="X11" s="651"/>
      <c r="Y11" s="651"/>
      <c r="Z11" s="651"/>
      <c r="AA11" s="651"/>
      <c r="AB11" s="651"/>
      <c r="AC11" s="650"/>
      <c r="AD11" s="651"/>
      <c r="AE11" s="651"/>
      <c r="AF11" s="651"/>
      <c r="AG11" s="651"/>
      <c r="AH11" s="651"/>
      <c r="AI11" s="651"/>
      <c r="AJ11" s="651"/>
      <c r="AK11" s="650"/>
      <c r="AL11" s="651"/>
      <c r="AM11" s="587"/>
      <c r="AO11" s="784"/>
      <c r="AP11" s="784" t="str">
        <f>IF(T11="","",T11)</f>
        <v>Добавить группу потребителей</v>
      </c>
      <c r="AQ11" s="784"/>
      <c r="AR11" s="784"/>
      <c r="AS11" s="1439">
        <v>0</v>
      </c>
    </row>
    <row customHeight="1" ht="14.25" hidden="1">
      <c r="A12" s="1647"/>
      <c r="B12" s="1647"/>
      <c r="C12" s="1647"/>
      <c r="D12" s="1647"/>
      <c r="E12" s="2543"/>
      <c r="F12" s="2543"/>
      <c r="G12" s="2543"/>
      <c r="H12" s="2542"/>
      <c r="I12" s="1647"/>
      <c r="J12" s="1647"/>
      <c r="K12" s="1647"/>
      <c r="L12" s="1648"/>
      <c r="M12" s="1649"/>
      <c r="N12" s="1649"/>
      <c r="O12" s="821"/>
      <c r="P12" s="644"/>
      <c r="Q12" s="659"/>
      <c r="R12" s="639"/>
      <c r="S12" s="1562"/>
      <c r="T12" s="649" t="s">
        <v>418</v>
      </c>
      <c r="U12" s="651"/>
      <c r="V12" s="651"/>
      <c r="W12" s="651"/>
      <c r="X12" s="651"/>
      <c r="Y12" s="651"/>
      <c r="Z12" s="651"/>
      <c r="AA12" s="651"/>
      <c r="AB12" s="651"/>
      <c r="AC12" s="650"/>
      <c r="AD12" s="651"/>
      <c r="AE12" s="651"/>
      <c r="AF12" s="651"/>
      <c r="AG12" s="651"/>
      <c r="AH12" s="651"/>
      <c r="AI12" s="651"/>
      <c r="AJ12" s="651"/>
      <c r="AK12" s="650"/>
      <c r="AL12" s="651"/>
      <c r="AM12" s="587"/>
      <c r="AO12" s="784"/>
      <c r="AP12" s="784" t="str">
        <f>IF(T12="","",T12)</f>
        <v>Добавить схему подключения</v>
      </c>
      <c r="AQ12" s="784"/>
      <c r="AR12" s="784"/>
      <c r="AS12" s="1439">
        <v>0</v>
      </c>
    </row>
    <row s="14158" customFormat="1" customHeight="1" ht="0.75" hidden="1">
      <c r="A13" s="1598"/>
      <c r="B13" s="1598"/>
      <c r="C13" s="1598"/>
      <c r="D13" s="1598"/>
      <c r="E13" s="2543"/>
      <c r="F13" s="2543"/>
      <c r="G13" s="2542"/>
      <c r="H13" s="1598"/>
      <c r="I13" s="1598"/>
      <c r="J13" s="1598"/>
      <c r="K13" s="1598"/>
      <c r="L13" s="1623"/>
      <c r="M13" s="1599"/>
      <c r="N13" s="1599"/>
      <c r="P13" s="1600"/>
      <c r="Q13" s="1601"/>
      <c r="R13" s="1600"/>
      <c r="S13" s="1602"/>
      <c r="T13" s="1603" t="s">
        <v>169</v>
      </c>
      <c r="U13" s="1604"/>
      <c r="V13" s="1604"/>
      <c r="W13" s="1604"/>
      <c r="X13" s="1604"/>
      <c r="Y13" s="1604"/>
      <c r="Z13" s="1604"/>
      <c r="AA13" s="1604"/>
      <c r="AB13" s="1604"/>
      <c r="AC13" s="1604"/>
      <c r="AD13" s="1604"/>
      <c r="AE13" s="1604"/>
      <c r="AF13" s="1604"/>
      <c r="AG13" s="1604"/>
      <c r="AH13" s="1604"/>
      <c r="AI13" s="1604"/>
      <c r="AJ13" s="1604"/>
      <c r="AK13" s="1604"/>
      <c r="AL13" s="1604"/>
      <c r="AM13" s="1604"/>
      <c r="AO13" s="1073"/>
      <c r="AP13" s="1073" t="str">
        <f>IF(T13="","",T13)</f>
        <v>Добавить источник для дифференциации</v>
      </c>
      <c r="AQ13" s="1073"/>
      <c r="AR13" s="1073"/>
      <c r="AS13" s="802">
        <v>0</v>
      </c>
    </row>
    <row s="14158" customFormat="1" customHeight="1" ht="0.75" hidden="1">
      <c r="A14" s="1598"/>
      <c r="B14" s="1598"/>
      <c r="C14" s="1598"/>
      <c r="D14" s="1598"/>
      <c r="E14" s="2543"/>
      <c r="F14" s="2542"/>
      <c r="G14" s="1598"/>
      <c r="H14" s="1598"/>
      <c r="I14" s="1598"/>
      <c r="J14" s="1598"/>
      <c r="K14" s="1598"/>
      <c r="L14" s="1623"/>
      <c r="M14" s="1605"/>
      <c r="N14" s="1605"/>
      <c r="P14" s="1600"/>
      <c r="Q14" s="1601"/>
      <c r="R14" s="1600"/>
      <c r="S14" s="1606"/>
      <c r="T14" s="1607" t="s">
        <v>170</v>
      </c>
      <c r="U14" s="1608"/>
      <c r="V14" s="1608"/>
      <c r="W14" s="1608"/>
      <c r="X14" s="1608"/>
      <c r="Y14" s="1608"/>
      <c r="Z14" s="1608"/>
      <c r="AA14" s="1608"/>
      <c r="AB14" s="1608"/>
      <c r="AC14" s="1608"/>
      <c r="AD14" s="1608"/>
      <c r="AE14" s="1608"/>
      <c r="AF14" s="1608"/>
      <c r="AG14" s="1608"/>
      <c r="AH14" s="1608"/>
      <c r="AI14" s="1608"/>
      <c r="AJ14" s="1608"/>
      <c r="AK14" s="1608"/>
      <c r="AL14" s="1608"/>
      <c r="AM14" s="1608"/>
      <c r="AO14" s="1073"/>
      <c r="AP14" s="1073" t="str">
        <f>IF(T14="","",T14)</f>
        <v>Добавить централизованную систему для дифференциации</v>
      </c>
      <c r="AQ14" s="1073"/>
      <c r="AR14" s="1073"/>
      <c r="AS14" s="802">
        <v>0</v>
      </c>
    </row>
    <row s="14158" customFormat="1" customHeight="1" ht="0.75" hidden="1">
      <c r="A15" s="1598"/>
      <c r="B15" s="1598"/>
      <c r="C15" s="1598"/>
      <c r="D15" s="1598"/>
      <c r="E15" s="2542"/>
      <c r="F15" s="1598"/>
      <c r="G15" s="1598"/>
      <c r="H15" s="1598"/>
      <c r="I15" s="1598"/>
      <c r="J15" s="1598"/>
      <c r="K15" s="1598"/>
      <c r="L15" s="1623"/>
      <c r="M15" s="1605"/>
      <c r="N15" s="1605"/>
      <c r="P15" s="1600"/>
      <c r="Q15" s="1601"/>
      <c r="R15" s="1600"/>
      <c r="S15" s="1606"/>
      <c r="T15" s="1609" t="s">
        <v>171</v>
      </c>
      <c r="U15" s="1608"/>
      <c r="V15" s="1608"/>
      <c r="W15" s="1608"/>
      <c r="X15" s="1608"/>
      <c r="Y15" s="1608"/>
      <c r="Z15" s="1608"/>
      <c r="AA15" s="1608"/>
      <c r="AB15" s="1608"/>
      <c r="AC15" s="1608"/>
      <c r="AD15" s="1608"/>
      <c r="AE15" s="1608"/>
      <c r="AF15" s="1608"/>
      <c r="AG15" s="1608"/>
      <c r="AH15" s="1608"/>
      <c r="AI15" s="1608"/>
      <c r="AJ15" s="1608"/>
      <c r="AK15" s="1608"/>
      <c r="AL15" s="1608"/>
      <c r="AM15" s="1608"/>
      <c r="AO15" s="1073"/>
      <c r="AP15" s="1073" t="str">
        <f>IF(T15="","",T15)</f>
        <v>Добавить территорию для дифференциации</v>
      </c>
      <c r="AQ15" s="1073"/>
      <c r="AR15" s="1073"/>
      <c r="AS15" s="802">
        <v>0</v>
      </c>
    </row>
    <row customHeight="1" ht="14.25" hidden="1">
      <c r="AC16" s="611"/>
      <c r="AK16" s="611"/>
      <c r="AS16" s="1439">
        <v>0</v>
      </c>
    </row>
    <row customHeight="1" ht="14.25" hidden="1">
      <c r="P17" s="1595"/>
      <c r="AD17" s="1644"/>
      <c r="AE17" s="1644"/>
      <c r="AF17" s="1644"/>
      <c r="AG17" s="1645"/>
      <c r="AH17" s="2551"/>
      <c r="AI17" s="2552" t="s">
        <v>67</v>
      </c>
      <c r="AJ17" s="2551"/>
      <c r="AK17" s="2552" t="s">
        <v>67</v>
      </c>
      <c r="AS17" s="1439">
        <v>0</v>
      </c>
    </row>
    <row customHeight="1" ht="14.25" hidden="1">
      <c r="P18" s="1595"/>
      <c r="AD18" s="1644"/>
      <c r="AE18" s="1644"/>
      <c r="AF18" s="1644"/>
      <c r="AG18" s="612" t="str">
        <f>AH17&amp;"-"&amp;AJ17</f>
        <v>-</v>
      </c>
      <c r="AH18" s="2552"/>
      <c r="AI18" s="2552"/>
      <c r="AJ18" s="2552"/>
      <c r="AK18" s="2552"/>
      <c r="AS18" s="1439">
        <v>0</v>
      </c>
    </row>
    <row customHeight="1" ht="14.25" hidden="1">
      <c r="P19" s="1595"/>
      <c r="AK19" s="611"/>
      <c r="AS19" s="1439">
        <v>0</v>
      </c>
    </row>
    <row s="14157" customFormat="1" customHeight="1" ht="22.5" hidden="1">
      <c r="L20" s="1613"/>
      <c r="M20" s="1646"/>
      <c r="N20" s="1646"/>
      <c r="O20" s="1651" t="s">
        <v>419</v>
      </c>
      <c r="P20" s="1646"/>
      <c r="Q20" s="1655"/>
      <c r="R20" s="1655"/>
      <c r="S20" s="1013"/>
      <c r="Z20" s="1651"/>
      <c r="AB20" s="1651"/>
      <c r="AC20" s="1650"/>
      <c r="AH20" s="1651"/>
      <c r="AJ20" s="1651"/>
      <c r="AK20" s="1650"/>
      <c r="AN20" s="795"/>
      <c r="AO20" s="795"/>
      <c r="AP20" s="795"/>
      <c r="AQ20" s="795"/>
      <c r="AR20" s="795"/>
      <c r="AS20" s="1444">
        <v>0</v>
      </c>
    </row>
    <row s="14157" customFormat="1" customHeight="1" ht="14.25" hidden="1">
      <c r="L21" s="1613"/>
      <c r="M21" s="1646"/>
      <c r="N21" s="1646"/>
      <c r="O21" s="1646"/>
      <c r="P21" s="1646"/>
      <c r="Q21" s="1655"/>
      <c r="R21" s="1655"/>
      <c r="S21" s="1013"/>
      <c r="AC21" s="1650"/>
      <c r="AK21" s="1650"/>
      <c r="AN21" s="795"/>
      <c r="AO21" s="795"/>
      <c r="AP21" s="795"/>
      <c r="AQ21" s="795"/>
      <c r="AR21" s="795"/>
      <c r="AS21" s="1444">
        <v>0</v>
      </c>
    </row>
    <row s="14157" customFormat="1" customHeight="1" ht="14.25" hidden="1">
      <c r="L22" s="1613"/>
      <c r="M22" s="1646"/>
      <c r="N22" s="1646"/>
      <c r="O22" s="1648" t="s">
        <v>420</v>
      </c>
      <c r="P22" s="1646"/>
      <c r="Q22" s="1655"/>
      <c r="R22" s="1655"/>
      <c r="S22" s="1013"/>
      <c r="T22" s="1444" t="s">
        <v>421</v>
      </c>
      <c r="AA22" s="470" t="s">
        <v>422</v>
      </c>
      <c r="AC22" s="470" t="s">
        <v>423</v>
      </c>
      <c r="AD22" s="1444" t="s">
        <v>421</v>
      </c>
      <c r="AI22" s="470" t="s">
        <v>424</v>
      </c>
      <c r="AK22" s="470" t="s">
        <v>423</v>
      </c>
      <c r="AN22" s="795"/>
      <c r="AO22" s="795"/>
      <c r="AP22" s="795"/>
      <c r="AQ22" s="795"/>
      <c r="AR22" s="795"/>
      <c r="AS22" s="1444">
        <v>0</v>
      </c>
    </row>
    <row customHeight="1" ht="14.25" hidden="1">
      <c r="O23" s="1648"/>
      <c r="P23" s="1595"/>
      <c r="AS23" s="1439">
        <v>0</v>
      </c>
    </row>
    <row customHeight="1" ht="14.25" hidden="1">
      <c r="O24" s="1648"/>
      <c r="P24" s="1595"/>
      <c r="AS24" s="1439">
        <v>0</v>
      </c>
    </row>
    <row customHeight="1" ht="14.699999999999998">
      <c r="Q25" s="660"/>
      <c r="R25" s="660"/>
      <c r="S25" s="1559"/>
      <c r="T25" s="647"/>
      <c r="U25" s="647"/>
      <c r="V25" s="793"/>
      <c r="W25" s="793"/>
      <c r="X25" s="793"/>
      <c r="Y25" s="793"/>
      <c r="Z25" s="793"/>
      <c r="AA25" s="793"/>
      <c r="AB25" s="793"/>
      <c r="AC25" s="793"/>
      <c r="AD25" s="793"/>
      <c r="AE25" s="793"/>
      <c r="AF25" s="793"/>
      <c r="AG25" s="793"/>
      <c r="AH25" s="793"/>
      <c r="AI25" s="793"/>
      <c r="AJ25" s="793"/>
      <c r="AK25" s="793"/>
      <c r="AS25" s="1439">
        <v>14</v>
      </c>
    </row>
    <row customHeight="1" ht="14.699999999999998">
      <c r="Q26" s="660"/>
      <c r="R26" s="660"/>
      <c r="S26" s="2532"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532"/>
      <c r="U26" s="2532"/>
      <c r="V26" s="2532"/>
      <c r="W26" s="2532"/>
      <c r="X26" s="2532"/>
      <c r="Y26" s="2532"/>
      <c r="Z26" s="2532"/>
      <c r="AA26" s="2532"/>
      <c r="AB26" s="2532"/>
      <c r="AC26" s="2532"/>
      <c r="AD26" s="2532"/>
      <c r="AE26" s="2532"/>
      <c r="AF26" s="2532"/>
      <c r="AG26" s="2532"/>
      <c r="AH26" s="2532"/>
      <c r="AI26" s="2532"/>
      <c r="AJ26" s="2532"/>
      <c r="AK26" s="1527"/>
      <c r="AS26" s="1439">
        <v>14</v>
      </c>
    </row>
    <row customHeight="1" ht="14.699999999999998">
      <c r="Q27" s="660"/>
      <c r="R27" s="660"/>
      <c r="S27" s="2533" t="str">
        <f>IF(org=0,"Не определено",org)</f>
        <v>МУП г. Азова "Теплоэнерго"</v>
      </c>
      <c r="T27" s="2533"/>
      <c r="U27" s="2533"/>
      <c r="V27" s="2533"/>
      <c r="W27" s="2533"/>
      <c r="X27" s="2533"/>
      <c r="Y27" s="2533"/>
      <c r="Z27" s="2533"/>
      <c r="AA27" s="2533"/>
      <c r="AB27" s="2533"/>
      <c r="AC27" s="2533"/>
      <c r="AD27" s="2533"/>
      <c r="AE27" s="2533"/>
      <c r="AF27" s="2533"/>
      <c r="AG27" s="2533"/>
      <c r="AH27" s="2533"/>
      <c r="AI27" s="2533"/>
      <c r="AJ27" s="2533"/>
      <c r="AK27" s="1527"/>
      <c r="AS27" s="1439">
        <v>14</v>
      </c>
    </row>
    <row customHeight="1" ht="14.25" hidden="1">
      <c r="Q28" s="660"/>
      <c r="R28" s="660"/>
      <c r="S28" s="1559"/>
      <c r="T28" s="647"/>
      <c r="U28" s="647"/>
      <c r="V28" s="606"/>
      <c r="W28" s="606"/>
      <c r="X28" s="606"/>
      <c r="Y28" s="606"/>
      <c r="Z28" s="606"/>
      <c r="AA28" s="606"/>
      <c r="AB28" s="606"/>
      <c r="AC28" s="606"/>
      <c r="AD28" s="606"/>
      <c r="AE28" s="606"/>
      <c r="AF28" s="606"/>
      <c r="AG28" s="606"/>
      <c r="AH28" s="606"/>
      <c r="AI28" s="606"/>
      <c r="AJ28" s="606"/>
      <c r="AK28" s="606"/>
      <c r="AL28" s="793"/>
      <c r="AS28" s="1439">
        <v>0</v>
      </c>
    </row>
    <row s="14284" customFormat="1" customHeight="1" ht="25.5" hidden="1">
      <c r="A29" s="1652"/>
      <c r="B29" s="1652"/>
      <c r="C29" s="1652"/>
      <c r="D29" s="1652"/>
      <c r="E29" s="1652"/>
      <c r="F29" s="1652"/>
      <c r="G29" s="1652"/>
      <c r="H29" s="1652"/>
      <c r="I29" s="1652"/>
      <c r="J29" s="1652"/>
      <c r="K29" s="1652"/>
      <c r="L29" s="1653"/>
      <c r="M29" s="1652"/>
      <c r="N29" s="1652"/>
      <c r="O29" s="1652"/>
      <c r="S29" s="2534" t="s">
        <v>42</v>
      </c>
      <c r="T29" s="2534"/>
      <c r="U29" s="1656"/>
      <c r="V29" s="2535" t="str">
        <f>IF(TITLE_NAME_OR_PR_CHANGE="",IF(TITLE_NAME_OR_PR="","",TITLE_NAME_OR_PR),TITLE_NAME_OR_PR_CHANGE)</f>
        <v/>
      </c>
      <c r="W29" s="2535"/>
      <c r="X29" s="2535"/>
      <c r="Y29" s="2535"/>
      <c r="Z29" s="2535"/>
      <c r="AA29" s="2535"/>
      <c r="AB29" s="2535"/>
      <c r="AC29" s="610"/>
      <c r="AD29" s="2535" t="str">
        <f>IF(TITLE_NAME_OR_PR_CHANGE="",IF(TITLE_NAME_OR_PR="","",TITLE_NAME_OR_PR),TITLE_NAME_OR_PR_CHANGE)</f>
        <v/>
      </c>
      <c r="AE29" s="2535"/>
      <c r="AF29" s="2535"/>
      <c r="AG29" s="2535"/>
      <c r="AH29" s="2535"/>
      <c r="AI29" s="2535"/>
      <c r="AJ29" s="2535"/>
      <c r="AK29" s="610"/>
      <c r="AL29" s="610"/>
      <c r="AM29" s="564"/>
      <c r="AN29" s="652"/>
      <c r="AO29" s="652"/>
      <c r="AP29" s="652"/>
      <c r="AQ29" s="652"/>
      <c r="AR29" s="652"/>
      <c r="AS29" s="702">
        <v>0</v>
      </c>
    </row>
    <row s="14284" customFormat="1" customHeight="1" ht="18.75" hidden="1">
      <c r="A30" s="1652"/>
      <c r="B30" s="1652"/>
      <c r="C30" s="1652"/>
      <c r="D30" s="1652"/>
      <c r="E30" s="1652"/>
      <c r="F30" s="1652"/>
      <c r="G30" s="1652"/>
      <c r="H30" s="1652"/>
      <c r="I30" s="1652"/>
      <c r="J30" s="1652"/>
      <c r="K30" s="1652"/>
      <c r="L30" s="1653"/>
      <c r="M30" s="1652"/>
      <c r="N30" s="1652"/>
      <c r="O30" s="1652"/>
      <c r="S30" s="2534" t="s">
        <v>425</v>
      </c>
      <c r="T30" s="2534"/>
      <c r="U30" s="1656"/>
      <c r="V30" s="2548" t="str">
        <f>IF(TITLE_DATE_PR_CHANGE="",IF(TITLE_DATE_PR="","",TITLE_DATE_PR),TITLE_DATE_PR_CHANGE)</f>
        <v>45471</v>
      </c>
      <c r="W30" s="2548"/>
      <c r="X30" s="2548"/>
      <c r="Y30" s="2548"/>
      <c r="Z30" s="2548"/>
      <c r="AA30" s="2548"/>
      <c r="AB30" s="2548"/>
      <c r="AC30" s="610"/>
      <c r="AD30" s="2548" t="str">
        <f>IF(TITLE_DATE_PR_CHANGE="",IF(TITLE_DATE_PR="","",TITLE_DATE_PR),TITLE_DATE_PR_CHANGE)</f>
        <v>45471</v>
      </c>
      <c r="AE30" s="2548"/>
      <c r="AF30" s="2548"/>
      <c r="AG30" s="2548"/>
      <c r="AH30" s="2548"/>
      <c r="AI30" s="2548"/>
      <c r="AJ30" s="2548"/>
      <c r="AK30" s="610"/>
      <c r="AL30" s="610"/>
      <c r="AM30" s="564"/>
      <c r="AN30" s="652"/>
      <c r="AO30" s="652"/>
      <c r="AP30" s="652"/>
      <c r="AQ30" s="652"/>
      <c r="AR30" s="652"/>
      <c r="AS30" s="702">
        <v>0</v>
      </c>
    </row>
    <row s="14284" customFormat="1" customHeight="1" ht="18.75" hidden="1">
      <c r="A31" s="1652"/>
      <c r="B31" s="1652"/>
      <c r="C31" s="1652"/>
      <c r="D31" s="1652"/>
      <c r="E31" s="1652"/>
      <c r="F31" s="1652"/>
      <c r="G31" s="1652"/>
      <c r="H31" s="1652"/>
      <c r="I31" s="1652"/>
      <c r="J31" s="1652"/>
      <c r="K31" s="1652"/>
      <c r="L31" s="1653"/>
      <c r="M31" s="1652"/>
      <c r="N31" s="1652"/>
      <c r="O31" s="1652"/>
      <c r="S31" s="2534" t="s">
        <v>426</v>
      </c>
      <c r="T31" s="2534"/>
      <c r="U31" s="1656"/>
      <c r="V31" s="2535" t="str">
        <f>IF(TITLE_NUMBER_PR_CHANGE="",IF(TITLE_NUMBER_PR="","",TITLE_NUMBER_PR),TITLE_NUMBER_PR_CHANGE)</f>
        <v>50/18-01/261</v>
      </c>
      <c r="W31" s="2535"/>
      <c r="X31" s="2535"/>
      <c r="Y31" s="2535"/>
      <c r="Z31" s="2535"/>
      <c r="AA31" s="2535"/>
      <c r="AB31" s="2535"/>
      <c r="AC31" s="610"/>
      <c r="AD31" s="2535" t="str">
        <f>IF(TITLE_NUMBER_PR_CHANGE="",IF(TITLE_NUMBER_PR="","",TITLE_NUMBER_PR),TITLE_NUMBER_PR_CHANGE)</f>
        <v>50/18-01/261</v>
      </c>
      <c r="AE31" s="2535"/>
      <c r="AF31" s="2535"/>
      <c r="AG31" s="2535"/>
      <c r="AH31" s="2535"/>
      <c r="AI31" s="2535"/>
      <c r="AJ31" s="2535"/>
      <c r="AK31" s="610"/>
      <c r="AL31" s="610"/>
      <c r="AM31" s="564"/>
      <c r="AN31" s="652"/>
      <c r="AO31" s="652"/>
      <c r="AP31" s="652"/>
      <c r="AQ31" s="652"/>
      <c r="AR31" s="652"/>
      <c r="AS31" s="702">
        <v>0</v>
      </c>
    </row>
    <row s="14284" customFormat="1" customHeight="1" ht="18.75" hidden="1">
      <c r="A32" s="1652"/>
      <c r="B32" s="1652"/>
      <c r="C32" s="1652"/>
      <c r="D32" s="1652"/>
      <c r="E32" s="1652"/>
      <c r="F32" s="1652"/>
      <c r="G32" s="1652"/>
      <c r="H32" s="1652"/>
      <c r="I32" s="1652"/>
      <c r="J32" s="1652"/>
      <c r="K32" s="1652"/>
      <c r="L32" s="1653"/>
      <c r="M32" s="1652"/>
      <c r="N32" s="1652"/>
      <c r="O32" s="1652"/>
      <c r="S32" s="2534" t="s">
        <v>43</v>
      </c>
      <c r="T32" s="2534"/>
      <c r="U32" s="1656"/>
      <c r="V32" s="2535" t="str">
        <f>IF(TITLE_IST_PUB_CHANGE="",IF(TITLE_IST_PUB="","",TITLE_IST_PUB),TITLE_IST_PUB_CHANGE)</f>
        <v/>
      </c>
      <c r="W32" s="2535"/>
      <c r="X32" s="2535"/>
      <c r="Y32" s="2535"/>
      <c r="Z32" s="2535"/>
      <c r="AA32" s="2535"/>
      <c r="AB32" s="2535"/>
      <c r="AC32" s="610"/>
      <c r="AD32" s="2535" t="str">
        <f>IF(TITLE_IST_PUB_CHANGE="",IF(TITLE_IST_PUB="","",TITLE_IST_PUB),TITLE_IST_PUB_CHANGE)</f>
        <v/>
      </c>
      <c r="AE32" s="2535"/>
      <c r="AF32" s="2535"/>
      <c r="AG32" s="2535"/>
      <c r="AH32" s="2535"/>
      <c r="AI32" s="2535"/>
      <c r="AJ32" s="2535"/>
      <c r="AK32" s="610"/>
      <c r="AL32" s="610"/>
      <c r="AM32" s="564"/>
      <c r="AN32" s="652"/>
      <c r="AO32" s="652"/>
      <c r="AP32" s="652"/>
      <c r="AQ32" s="652"/>
      <c r="AR32" s="652"/>
      <c r="AS32" s="702">
        <v>0</v>
      </c>
    </row>
    <row customHeight="1" ht="14.25">
      <c r="P33" s="1612"/>
      <c r="Q33" s="660"/>
      <c r="R33" s="660"/>
      <c r="S33" s="1559"/>
      <c r="T33" s="647"/>
      <c r="U33" s="647"/>
      <c r="V33" s="606"/>
      <c r="W33" s="606"/>
      <c r="X33" s="606"/>
      <c r="Y33" s="606"/>
      <c r="Z33" s="606"/>
      <c r="AA33" s="606"/>
      <c r="AB33" s="606"/>
      <c r="AC33" s="606"/>
      <c r="AD33" s="606"/>
      <c r="AE33" s="606"/>
      <c r="AF33" s="606"/>
      <c r="AG33" s="606"/>
      <c r="AH33" s="606"/>
      <c r="AI33" s="606"/>
      <c r="AJ33" s="606"/>
      <c r="AK33" s="606"/>
      <c r="AL33" s="793"/>
      <c r="AS33" s="1439">
        <v>0</v>
      </c>
    </row>
    <row s="14284" customFormat="1" customHeight="1" ht="18.75">
      <c r="A34" s="1652"/>
      <c r="B34" s="1652"/>
      <c r="C34" s="1652"/>
      <c r="D34" s="1652"/>
      <c r="E34" s="1652"/>
      <c r="F34" s="1652"/>
      <c r="G34" s="1652"/>
      <c r="H34" s="1652"/>
      <c r="I34" s="1652"/>
      <c r="J34" s="1652"/>
      <c r="K34" s="1652"/>
      <c r="L34" s="1653"/>
      <c r="M34" s="1652"/>
      <c r="N34" s="1652"/>
      <c r="O34" s="1652"/>
      <c r="S34" s="2534" t="s">
        <v>427</v>
      </c>
      <c r="T34" s="2534"/>
      <c r="U34" s="1656"/>
      <c r="V34" s="2548" t="str">
        <f>IF(TITLE_DATE_PR_CHANGE="",IF(TITLE_DATE_PR="","",TITLE_DATE_PR),TITLE_DATE_PR_CHANGE)</f>
        <v>45471</v>
      </c>
      <c r="W34" s="2548"/>
      <c r="X34" s="2548"/>
      <c r="Y34" s="2548"/>
      <c r="Z34" s="2548"/>
      <c r="AA34" s="2548"/>
      <c r="AB34" s="2548"/>
      <c r="AC34" s="610"/>
      <c r="AD34" s="2548" t="str">
        <f>IF(TITLE_DATE_PR_CHANGE="",IF(TITLE_DATE_PR="","",TITLE_DATE_PR),TITLE_DATE_PR_CHANGE)</f>
        <v>45471</v>
      </c>
      <c r="AE34" s="2548"/>
      <c r="AF34" s="2548"/>
      <c r="AG34" s="2548"/>
      <c r="AH34" s="2548"/>
      <c r="AI34" s="2548"/>
      <c r="AJ34" s="2548"/>
      <c r="AK34" s="610"/>
      <c r="AL34" s="610"/>
      <c r="AM34" s="564"/>
      <c r="AN34" s="652"/>
      <c r="AO34" s="652"/>
      <c r="AP34" s="652"/>
      <c r="AQ34" s="652"/>
      <c r="AR34" s="652"/>
      <c r="AS34" s="702">
        <v>0</v>
      </c>
    </row>
    <row s="14284" customFormat="1" customHeight="1" ht="18.75">
      <c r="A35" s="1652"/>
      <c r="B35" s="1652"/>
      <c r="C35" s="1652"/>
      <c r="D35" s="1652"/>
      <c r="E35" s="1652"/>
      <c r="F35" s="1652"/>
      <c r="G35" s="1652"/>
      <c r="H35" s="1652"/>
      <c r="I35" s="1652"/>
      <c r="J35" s="1652"/>
      <c r="K35" s="1652"/>
      <c r="L35" s="1653"/>
      <c r="M35" s="1652"/>
      <c r="N35" s="1652"/>
      <c r="O35" s="1652"/>
      <c r="S35" s="2534" t="s">
        <v>428</v>
      </c>
      <c r="T35" s="2534"/>
      <c r="U35" s="1656"/>
      <c r="V35" s="2535" t="str">
        <f>IF(TITLE_NUMBER_PR_CHANGE="",IF(TITLE_NUMBER_PR="","",TITLE_NUMBER_PR),TITLE_NUMBER_PR_CHANGE)</f>
        <v>50/18-01/261</v>
      </c>
      <c r="W35" s="2535"/>
      <c r="X35" s="2535"/>
      <c r="Y35" s="2535"/>
      <c r="Z35" s="2535"/>
      <c r="AA35" s="2535"/>
      <c r="AB35" s="2535"/>
      <c r="AC35" s="610"/>
      <c r="AD35" s="2535" t="str">
        <f>IF(TITLE_NUMBER_PR_CHANGE="",IF(TITLE_NUMBER_PR="","",TITLE_NUMBER_PR),TITLE_NUMBER_PR_CHANGE)</f>
        <v>50/18-01/261</v>
      </c>
      <c r="AE35" s="2535"/>
      <c r="AF35" s="2535"/>
      <c r="AG35" s="2535"/>
      <c r="AH35" s="2535"/>
      <c r="AI35" s="2535"/>
      <c r="AJ35" s="2535"/>
      <c r="AK35" s="610"/>
      <c r="AL35" s="610"/>
      <c r="AM35" s="564"/>
      <c r="AN35" s="652"/>
      <c r="AO35" s="652"/>
      <c r="AP35" s="652"/>
      <c r="AQ35" s="652"/>
      <c r="AR35" s="652"/>
      <c r="AS35" s="702">
        <v>0</v>
      </c>
    </row>
    <row s="14284" customFormat="1" customHeight="1" ht="0">
      <c r="A36" s="1652"/>
      <c r="B36" s="1652"/>
      <c r="C36" s="1652"/>
      <c r="D36" s="1652"/>
      <c r="E36" s="1652"/>
      <c r="F36" s="1652"/>
      <c r="G36" s="1652"/>
      <c r="H36" s="1652"/>
      <c r="I36" s="1652"/>
      <c r="J36" s="1652"/>
      <c r="K36" s="1652"/>
      <c r="L36" s="1653"/>
      <c r="M36" s="1652"/>
      <c r="N36" s="1652"/>
      <c r="O36" s="1652"/>
      <c r="S36" s="607"/>
      <c r="T36" s="607"/>
      <c r="U36" s="1503"/>
      <c r="V36" s="610"/>
      <c r="W36" s="610"/>
      <c r="X36" s="610"/>
      <c r="Y36" s="610"/>
      <c r="Z36" s="610"/>
      <c r="AA36" s="610"/>
      <c r="AB36" s="610"/>
      <c r="AC36" s="562" t="s">
        <v>429</v>
      </c>
      <c r="AD36" s="610"/>
      <c r="AE36" s="610"/>
      <c r="AF36" s="610"/>
      <c r="AG36" s="610"/>
      <c r="AH36" s="610"/>
      <c r="AI36" s="610"/>
      <c r="AJ36" s="610"/>
      <c r="AK36" s="562" t="s">
        <v>429</v>
      </c>
      <c r="AN36" s="652"/>
      <c r="AO36" s="652"/>
      <c r="AP36" s="652"/>
      <c r="AQ36" s="652"/>
      <c r="AR36" s="652"/>
      <c r="AS36" s="702">
        <v>0</v>
      </c>
    </row>
    <row customHeight="1" ht="14.699999999999998">
      <c r="Q37" s="660"/>
      <c r="R37" s="660"/>
      <c r="S37" s="1559"/>
      <c r="T37" s="647"/>
      <c r="U37" s="1528"/>
      <c r="V37" s="2536"/>
      <c r="W37" s="2536"/>
      <c r="X37" s="2536"/>
      <c r="Y37" s="2536"/>
      <c r="Z37" s="2536"/>
      <c r="AA37" s="2536"/>
      <c r="AB37" s="2536"/>
      <c r="AC37" s="2536"/>
      <c r="AD37" s="2536"/>
      <c r="AE37" s="2536"/>
      <c r="AF37" s="2536"/>
      <c r="AG37" s="2536"/>
      <c r="AH37" s="2536"/>
      <c r="AI37" s="2536"/>
      <c r="AJ37" s="2536"/>
      <c r="AK37" s="2536"/>
      <c r="AS37" s="1439">
        <v>14</v>
      </c>
    </row>
    <row customHeight="1" ht="14.699999999999998">
      <c r="Q38" s="660"/>
      <c r="R38" s="660"/>
      <c r="S38" s="2411" t="s">
        <v>305</v>
      </c>
      <c r="T38" s="2411"/>
      <c r="U38" s="2411"/>
      <c r="V38" s="2411"/>
      <c r="W38" s="2411"/>
      <c r="X38" s="2411"/>
      <c r="Y38" s="2411"/>
      <c r="Z38" s="2411"/>
      <c r="AA38" s="2411"/>
      <c r="AB38" s="2411"/>
      <c r="AC38" s="2411"/>
      <c r="AD38" s="2411"/>
      <c r="AE38" s="2411"/>
      <c r="AF38" s="2411"/>
      <c r="AG38" s="2411"/>
      <c r="AH38" s="2411"/>
      <c r="AI38" s="2411"/>
      <c r="AJ38" s="2411"/>
      <c r="AK38" s="2411"/>
      <c r="AL38" s="2411"/>
      <c r="AM38" s="2411" t="s">
        <v>306</v>
      </c>
      <c r="AS38" s="1439">
        <v>14</v>
      </c>
    </row>
    <row customHeight="1" ht="14.699999999999998">
      <c r="Q39" s="660"/>
      <c r="R39" s="660"/>
      <c r="S39" s="2557" t="s">
        <v>89</v>
      </c>
      <c r="T39" s="2493" t="s">
        <v>430</v>
      </c>
      <c r="U39" s="585"/>
      <c r="V39" s="2558" t="s">
        <v>431</v>
      </c>
      <c r="W39" s="2559"/>
      <c r="X39" s="2559"/>
      <c r="Y39" s="2559"/>
      <c r="Z39" s="2559"/>
      <c r="AA39" s="2559"/>
      <c r="AB39" s="2560"/>
      <c r="AC39" s="2561" t="s">
        <v>432</v>
      </c>
      <c r="AD39" s="2558" t="s">
        <v>431</v>
      </c>
      <c r="AE39" s="2559"/>
      <c r="AF39" s="2559"/>
      <c r="AG39" s="2559"/>
      <c r="AH39" s="2559"/>
      <c r="AI39" s="2559"/>
      <c r="AJ39" s="2560"/>
      <c r="AK39" s="2561" t="s">
        <v>433</v>
      </c>
      <c r="AL39" s="2564" t="s">
        <v>434</v>
      </c>
      <c r="AM39" s="2411"/>
      <c r="AS39" s="1439">
        <v>14</v>
      </c>
    </row>
    <row customHeight="1" ht="35.699999999999996">
      <c r="Q40" s="660"/>
      <c r="R40" s="660"/>
      <c r="S40" s="2557"/>
      <c r="T40" s="2493"/>
      <c r="U40" s="1315"/>
      <c r="V40" s="2544" t="s">
        <v>435</v>
      </c>
      <c r="W40" s="2894" t="s">
        <v>436</v>
      </c>
      <c r="X40" s="2546" t="s">
        <v>437</v>
      </c>
      <c r="Y40" s="2547"/>
      <c r="Z40" s="2546" t="s">
        <v>438</v>
      </c>
      <c r="AA40" s="2553"/>
      <c r="AB40" s="2547"/>
      <c r="AC40" s="2562"/>
      <c r="AD40" s="2544" t="s">
        <v>435</v>
      </c>
      <c r="AE40" s="2567" t="s">
        <v>436</v>
      </c>
      <c r="AF40" s="2546" t="s">
        <v>437</v>
      </c>
      <c r="AG40" s="2547"/>
      <c r="AH40" s="2546" t="s">
        <v>438</v>
      </c>
      <c r="AI40" s="2553"/>
      <c r="AJ40" s="2547"/>
      <c r="AK40" s="2562"/>
      <c r="AL40" s="2565"/>
      <c r="AM40" s="2411"/>
      <c r="AS40" s="1439">
        <v>34</v>
      </c>
    </row>
    <row customHeight="1" ht="35.699999999999996">
      <c r="A41" s="1654"/>
      <c r="B41" s="1654" t="s">
        <v>136</v>
      </c>
      <c r="C41" s="1654" t="s">
        <v>137</v>
      </c>
      <c r="D41" s="1654" t="s">
        <v>138</v>
      </c>
      <c r="E41" s="1648" t="s">
        <v>439</v>
      </c>
      <c r="F41" s="1648" t="s">
        <v>440</v>
      </c>
      <c r="G41" s="1648" t="s">
        <v>441</v>
      </c>
      <c r="H41" s="1648" t="s">
        <v>442</v>
      </c>
      <c r="I41" s="1648" t="s">
        <v>443</v>
      </c>
      <c r="J41" s="1648" t="s">
        <v>444</v>
      </c>
      <c r="K41" s="1648" t="s">
        <v>445</v>
      </c>
      <c r="L41" s="1648" t="s">
        <v>420</v>
      </c>
      <c r="Q41" s="660"/>
      <c r="R41" s="660"/>
      <c r="S41" s="2557"/>
      <c r="T41" s="2493"/>
      <c r="U41" s="586"/>
      <c r="V41" s="2545"/>
      <c r="W41" s="2568"/>
      <c r="X41" s="1506" t="s">
        <v>446</v>
      </c>
      <c r="Y41" s="1506" t="s">
        <v>447</v>
      </c>
      <c r="Z41" s="1505" t="s">
        <v>448</v>
      </c>
      <c r="AA41" s="2554" t="s">
        <v>449</v>
      </c>
      <c r="AB41" s="2555"/>
      <c r="AC41" s="2563"/>
      <c r="AD41" s="2545"/>
      <c r="AE41" s="2568"/>
      <c r="AF41" s="1506" t="s">
        <v>446</v>
      </c>
      <c r="AG41" s="1506" t="s">
        <v>447</v>
      </c>
      <c r="AH41" s="1597" t="s">
        <v>448</v>
      </c>
      <c r="AI41" s="2554" t="s">
        <v>449</v>
      </c>
      <c r="AJ41" s="2555"/>
      <c r="AK41" s="2563"/>
      <c r="AL41" s="2566"/>
      <c r="AM41" s="2411"/>
      <c r="AS41" s="1439">
        <v>34</v>
      </c>
    </row>
    <row s="14730" customFormat="1" customHeight="1" ht="11.25" hidden="1">
      <c r="A42" s="1654"/>
      <c r="B42" s="1654"/>
      <c r="C42" s="1654"/>
      <c r="D42" s="1654"/>
      <c r="E42" s="1654"/>
      <c r="F42" s="1654"/>
      <c r="G42" s="1654"/>
      <c r="H42" s="1654"/>
      <c r="I42" s="1654"/>
      <c r="J42" s="1654"/>
      <c r="K42" s="1654"/>
      <c r="L42" s="1648"/>
      <c r="M42" s="1646"/>
      <c r="N42" s="1646"/>
      <c r="O42" s="1646"/>
      <c r="P42" s="1530"/>
      <c r="Q42" s="1531"/>
      <c r="R42" s="1538">
        <v>1</v>
      </c>
      <c r="S42" s="1561" t="s">
        <v>110</v>
      </c>
      <c r="T42" s="1539" t="s">
        <v>111</v>
      </c>
      <c r="U42" s="1529" t="str">
        <f>OFFSET(U42,0,-1)</f>
        <v>2</v>
      </c>
      <c r="V42" s="1540">
        <f>OFFSET(V42,0,-1)+1</f>
        <v>3</v>
      </c>
      <c r="W42" s="1540"/>
      <c r="X42" s="1540">
        <f>OFFSET(X42,0,-1)+1</f>
        <v>1</v>
      </c>
      <c r="Y42" s="1540">
        <f>OFFSET(Y42,0,-1)+1</f>
        <v>2</v>
      </c>
      <c r="Z42" s="1540">
        <f>OFFSET(Z42,0,-1)+1</f>
        <v>3</v>
      </c>
      <c r="AA42" s="2556">
        <f>OFFSET(AA42,0,-1)+1</f>
        <v>4</v>
      </c>
      <c r="AB42" s="2556"/>
      <c r="AC42" s="1540">
        <f>OFFSET(AC42,0,-2)+1</f>
        <v>5</v>
      </c>
      <c r="AD42" s="1596">
        <f>OFFSET(AD42,0,-1)+1</f>
        <v>6</v>
      </c>
      <c r="AE42" s="1596"/>
      <c r="AF42" s="1596">
        <f>OFFSET(AF42,0,-1)+1</f>
        <v>1</v>
      </c>
      <c r="AG42" s="1596">
        <f>OFFSET(AG42,0,-1)+1</f>
        <v>2</v>
      </c>
      <c r="AH42" s="1596">
        <f>OFFSET(AH42,0,-1)+1</f>
        <v>3</v>
      </c>
      <c r="AI42" s="2556">
        <f>OFFSET(AI42,0,-1)+1</f>
        <v>4</v>
      </c>
      <c r="AJ42" s="2556"/>
      <c r="AK42" s="1596">
        <f>OFFSET(AK42,0,-2)+1</f>
        <v>5</v>
      </c>
      <c r="AL42" s="1529">
        <f>OFFSET(AL42,0,-1)</f>
        <v>5</v>
      </c>
      <c r="AM42" s="1540">
        <f>OFFSET(AM42,0,-1)+1</f>
        <v>6</v>
      </c>
      <c r="AN42" s="795"/>
      <c r="AO42" s="795"/>
      <c r="AP42" s="795"/>
      <c r="AQ42" s="795"/>
      <c r="AR42" s="795"/>
      <c r="AS42" s="780">
        <v>0</v>
      </c>
    </row>
    <row customHeight="1" ht="24">
      <c r="A43" s="1647" t="s">
        <v>157</v>
      </c>
      <c r="B43" s="1647"/>
      <c r="C43" s="1647"/>
      <c r="D43" s="1647"/>
      <c r="E43" s="2542">
        <v>1</v>
      </c>
      <c r="F43" s="1647"/>
      <c r="G43" s="1647"/>
      <c r="H43" s="1647"/>
      <c r="I43" s="1647"/>
      <c r="J43" s="1647"/>
      <c r="K43" s="1647"/>
      <c r="L43" s="1648"/>
      <c r="M43" s="1649"/>
      <c r="N43" s="1649"/>
      <c r="O43" s="1649"/>
      <c r="P43" s="645"/>
      <c r="Q43" s="644"/>
      <c r="R43" s="639"/>
      <c r="S43" s="1508">
        <f>INDEX(PT_DIFFERENTIATION_NUM_NTAR,MATCH(A43,PT_DIFFERENTIATION_NTAR_ID,0))</f>
        <v>0</v>
      </c>
      <c r="T43" s="582" t="s">
        <v>124</v>
      </c>
      <c r="U43" s="584"/>
      <c r="V43" s="2526"/>
      <c r="W43" s="2527"/>
      <c r="X43" s="2527"/>
      <c r="Y43" s="2527"/>
      <c r="Z43" s="2527"/>
      <c r="AA43" s="2527"/>
      <c r="AB43" s="2527"/>
      <c r="AC43" s="2528"/>
      <c r="AD43" s="2526" t="str">
        <f>INDEX(PT_DIFFERENTIATION_NTAR,MATCH(A43,PT_DIFFERENTIATION_NTAR_ID,0))</f>
        <v/>
      </c>
      <c r="AE43" s="2527"/>
      <c r="AF43" s="2527"/>
      <c r="AG43" s="2527"/>
      <c r="AH43" s="2527"/>
      <c r="AI43" s="2527"/>
      <c r="AJ43" s="2527"/>
      <c r="AK43" s="2527"/>
      <c r="AL43" s="2528"/>
      <c r="AM43" s="1542"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784"/>
      <c r="AP43" s="784" t="str">
        <f>IF(T43="","",T43)</f>
        <v>Наименование тарифа</v>
      </c>
      <c r="AQ43" s="784"/>
      <c r="AR43" s="784"/>
      <c r="AS43" s="1439">
        <v>23</v>
      </c>
    </row>
    <row customHeight="1" ht="24">
      <c r="A44" s="1647" t="s">
        <v>157</v>
      </c>
      <c r="B44" s="1647" t="s">
        <v>158</v>
      </c>
      <c r="C44" s="1647"/>
      <c r="D44" s="1647"/>
      <c r="E44" s="2543"/>
      <c r="F44" s="2542">
        <v>1</v>
      </c>
      <c r="G44" s="1647"/>
      <c r="H44" s="1647"/>
      <c r="I44" s="1647"/>
      <c r="J44" s="1647"/>
      <c r="K44" s="1647"/>
      <c r="L44" s="1648"/>
      <c r="M44" s="1649"/>
      <c r="N44" s="1649"/>
      <c r="O44" s="1649"/>
      <c r="P44" s="806"/>
      <c r="Q44" s="636"/>
      <c r="R44" s="637"/>
      <c r="S44" s="1508" t="str">
        <f>INDEX(PT_DIFFERENTIATION_NUM_TER,MATCH(B44,PT_DIFFERENTIATION_TER_ID,0))</f>
        <v>.</v>
      </c>
      <c r="T44" s="592" t="s">
        <v>402</v>
      </c>
      <c r="U44" s="584"/>
      <c r="V44" s="2526"/>
      <c r="W44" s="2527"/>
      <c r="X44" s="2527"/>
      <c r="Y44" s="2527"/>
      <c r="Z44" s="2527"/>
      <c r="AA44" s="2527"/>
      <c r="AB44" s="2527"/>
      <c r="AC44" s="2528"/>
      <c r="AD44" s="2526" t="str">
        <f>INDEX(PT_DIFFERENTIATION_TER,MATCH(B44,PT_DIFFERENTIATION_TER_ID,0))</f>
        <v/>
      </c>
      <c r="AE44" s="2527"/>
      <c r="AF44" s="2527"/>
      <c r="AG44" s="2527"/>
      <c r="AH44" s="2527"/>
      <c r="AI44" s="2527"/>
      <c r="AJ44" s="2527"/>
      <c r="AK44" s="2527"/>
      <c r="AL44" s="2528"/>
      <c r="AM44" s="1542" t="s">
        <v>403</v>
      </c>
      <c r="AO44" s="784"/>
      <c r="AP44" s="784" t="str">
        <f>IF(T44="","",T44)</f>
        <v>Территория действия тарифа</v>
      </c>
      <c r="AQ44" s="784"/>
      <c r="AR44" s="784"/>
      <c r="AS44" s="1439">
        <v>23</v>
      </c>
    </row>
    <row customHeight="1" ht="24">
      <c r="A45" s="1647" t="s">
        <v>157</v>
      </c>
      <c r="B45" s="1647" t="s">
        <v>158</v>
      </c>
      <c r="C45" s="1647" t="s">
        <v>159</v>
      </c>
      <c r="D45" s="1647"/>
      <c r="E45" s="2543"/>
      <c r="F45" s="2543"/>
      <c r="G45" s="2542">
        <v>1</v>
      </c>
      <c r="H45" s="1647"/>
      <c r="I45" s="1647"/>
      <c r="J45" s="1647"/>
      <c r="K45" s="1647"/>
      <c r="L45" s="1648"/>
      <c r="M45" s="1649"/>
      <c r="N45" s="1649"/>
      <c r="O45" s="1649"/>
      <c r="P45" s="638"/>
      <c r="Q45" s="636"/>
      <c r="R45" s="637"/>
      <c r="S45" s="1508" t="str">
        <f>INDEX(PT_DIFFERENTIATION_NUM_CS,MATCH(C45,PT_DIFFERENTIATION_CS_ID,0))</f>
        <v>..</v>
      </c>
      <c r="T45" s="593" t="s">
        <v>404</v>
      </c>
      <c r="U45" s="584"/>
      <c r="V45" s="2526"/>
      <c r="W45" s="2527"/>
      <c r="X45" s="2527"/>
      <c r="Y45" s="2527"/>
      <c r="Z45" s="2527"/>
      <c r="AA45" s="2527"/>
      <c r="AB45" s="2527"/>
      <c r="AC45" s="2528"/>
      <c r="AD45" s="2526" t="str">
        <f>INDEX(PT_DIFFERENTIATION_CS,MATCH(C45,PT_DIFFERENTIATION_CS_ID,0))</f>
        <v/>
      </c>
      <c r="AE45" s="2527"/>
      <c r="AF45" s="2527"/>
      <c r="AG45" s="2527"/>
      <c r="AH45" s="2527"/>
      <c r="AI45" s="2527"/>
      <c r="AJ45" s="2527"/>
      <c r="AK45" s="2527"/>
      <c r="AL45" s="2528"/>
      <c r="AM45" s="1542" t="s">
        <v>405</v>
      </c>
      <c r="AO45" s="784"/>
      <c r="AP45" s="784" t="str">
        <f>IF(T45="","",T45)</f>
        <v>Наименование системы теплоснабжения </v>
      </c>
      <c r="AQ45" s="784"/>
      <c r="AR45" s="784"/>
      <c r="AS45" s="1439">
        <v>23</v>
      </c>
    </row>
    <row customHeight="1" ht="24">
      <c r="A46" s="1647" t="s">
        <v>157</v>
      </c>
      <c r="B46" s="1647" t="s">
        <v>158</v>
      </c>
      <c r="C46" s="1647" t="s">
        <v>159</v>
      </c>
      <c r="D46" s="1647" t="s">
        <v>160</v>
      </c>
      <c r="E46" s="2543"/>
      <c r="F46" s="2543"/>
      <c r="G46" s="2543"/>
      <c r="H46" s="2542">
        <v>1</v>
      </c>
      <c r="I46" s="1647"/>
      <c r="J46" s="1647"/>
      <c r="K46" s="1647"/>
      <c r="L46" s="1648"/>
      <c r="M46" s="1649"/>
      <c r="N46" s="1649"/>
      <c r="O46" s="1649"/>
      <c r="P46" s="638"/>
      <c r="Q46" s="636"/>
      <c r="R46" s="637"/>
      <c r="S46" s="1508" t="str">
        <f>INDEX(PT_DIFFERENTIATION_NUM_IST_TE,MATCH(D46,PT_DIFFERENTIATION_IST_TE_ID,0))</f>
        <v>...</v>
      </c>
      <c r="T46" s="594" t="s">
        <v>406</v>
      </c>
      <c r="U46" s="584"/>
      <c r="V46" s="2526"/>
      <c r="W46" s="2527"/>
      <c r="X46" s="2527"/>
      <c r="Y46" s="2527"/>
      <c r="Z46" s="2527"/>
      <c r="AA46" s="2527"/>
      <c r="AB46" s="2527"/>
      <c r="AC46" s="2528"/>
      <c r="AD46" s="2526" t="str">
        <f>INDEX(PT_DIFFERENTIATION_IST_TE,MATCH(D46,PT_DIFFERENTIATION_IST_TE_ID,0))</f>
        <v/>
      </c>
      <c r="AE46" s="2527"/>
      <c r="AF46" s="2527"/>
      <c r="AG46" s="2527"/>
      <c r="AH46" s="2527"/>
      <c r="AI46" s="2527"/>
      <c r="AJ46" s="2527"/>
      <c r="AK46" s="2527"/>
      <c r="AL46" s="2528"/>
      <c r="AM46" s="1542" t="s">
        <v>407</v>
      </c>
      <c r="AO46" s="784"/>
      <c r="AP46" s="784" t="str">
        <f>IF(T46="","",T46)</f>
        <v>Источник тепловой энергии  </v>
      </c>
      <c r="AQ46" s="784"/>
      <c r="AR46" s="784"/>
      <c r="AS46" s="1439">
        <v>23</v>
      </c>
    </row>
    <row customHeight="1" ht="49.5">
      <c r="A47" s="1647" t="s">
        <v>157</v>
      </c>
      <c r="B47" s="1647" t="s">
        <v>158</v>
      </c>
      <c r="C47" s="1647" t="s">
        <v>159</v>
      </c>
      <c r="D47" s="1647" t="s">
        <v>160</v>
      </c>
      <c r="E47" s="2543"/>
      <c r="F47" s="2543"/>
      <c r="G47" s="2543"/>
      <c r="H47" s="2543"/>
      <c r="I47" s="2540" t="str">
        <f>S46&amp;".1"</f>
        <v>....1</v>
      </c>
      <c r="J47" s="1647"/>
      <c r="K47" s="1647"/>
      <c r="L47" s="1648" t="s">
        <v>408</v>
      </c>
      <c r="P47" s="2541">
        <v>1</v>
      </c>
      <c r="Q47" s="1504"/>
      <c r="R47" s="640"/>
      <c r="S47" s="1508" t="str">
        <f>$I47</f>
        <v>....1</v>
      </c>
      <c r="T47" s="569" t="s">
        <v>409</v>
      </c>
      <c r="U47" s="584"/>
      <c r="V47" s="2529"/>
      <c r="W47" s="2530"/>
      <c r="X47" s="2530"/>
      <c r="Y47" s="2530"/>
      <c r="Z47" s="2530"/>
      <c r="AA47" s="2530"/>
      <c r="AB47" s="2530"/>
      <c r="AC47" s="2531"/>
      <c r="AD47" s="2529"/>
      <c r="AE47" s="2530"/>
      <c r="AF47" s="2530"/>
      <c r="AG47" s="2530"/>
      <c r="AH47" s="2530"/>
      <c r="AI47" s="2530"/>
      <c r="AJ47" s="2530"/>
      <c r="AK47" s="2530"/>
      <c r="AL47" s="2531"/>
      <c r="AM47" s="1542" t="s">
        <v>410</v>
      </c>
      <c r="AO47" s="784"/>
      <c r="AP47" s="784" t="str">
        <f>IF(T47="","",T47)</f>
        <v>Схема подключения теплопотребляющей установки к коллектору источника тепловой энергии</v>
      </c>
      <c r="AQ47" s="784"/>
      <c r="AR47" s="784"/>
      <c r="AS47" s="1439">
        <v>47</v>
      </c>
    </row>
    <row customHeight="1" ht="24">
      <c r="A48" s="1647" t="s">
        <v>157</v>
      </c>
      <c r="B48" s="1647" t="s">
        <v>158</v>
      </c>
      <c r="C48" s="1647" t="s">
        <v>159</v>
      </c>
      <c r="D48" s="1647" t="s">
        <v>160</v>
      </c>
      <c r="E48" s="2543"/>
      <c r="F48" s="2543"/>
      <c r="G48" s="2543"/>
      <c r="H48" s="2543"/>
      <c r="I48" s="2570"/>
      <c r="J48" s="2540" t="str">
        <f>I47&amp;".1"</f>
        <v>....1.1</v>
      </c>
      <c r="K48" s="1647"/>
      <c r="L48" s="1648" t="s">
        <v>411</v>
      </c>
      <c r="P48" s="2541"/>
      <c r="Q48" s="2541">
        <v>1</v>
      </c>
      <c r="R48" s="641"/>
      <c r="S48" s="1508" t="str">
        <f>$J48</f>
        <v>....1.1</v>
      </c>
      <c r="T48" s="570" t="s">
        <v>412</v>
      </c>
      <c r="U48" s="584"/>
      <c r="V48" s="2529"/>
      <c r="W48" s="2530"/>
      <c r="X48" s="2530"/>
      <c r="Y48" s="2530"/>
      <c r="Z48" s="2530"/>
      <c r="AA48" s="2530"/>
      <c r="AB48" s="2530"/>
      <c r="AC48" s="2531"/>
      <c r="AD48" s="2529"/>
      <c r="AE48" s="2530"/>
      <c r="AF48" s="2530"/>
      <c r="AG48" s="2530"/>
      <c r="AH48" s="2530"/>
      <c r="AI48" s="2530"/>
      <c r="AJ48" s="2530"/>
      <c r="AK48" s="2530"/>
      <c r="AL48" s="2531"/>
      <c r="AM48" s="1542" t="s">
        <v>413</v>
      </c>
      <c r="AO48" s="784"/>
      <c r="AP48" s="784" t="str">
        <f>IF(T48="","",T48)</f>
        <v>Группа потребителей</v>
      </c>
      <c r="AQ48" s="784"/>
      <c r="AR48" s="784"/>
      <c r="AS48" s="1439">
        <v>23</v>
      </c>
    </row>
    <row customHeight="1" ht="24">
      <c r="A49" s="1647" t="s">
        <v>157</v>
      </c>
      <c r="B49" s="1647" t="s">
        <v>158</v>
      </c>
      <c r="C49" s="1647" t="s">
        <v>159</v>
      </c>
      <c r="D49" s="1647" t="s">
        <v>160</v>
      </c>
      <c r="E49" s="2543"/>
      <c r="F49" s="2543"/>
      <c r="G49" s="2543"/>
      <c r="H49" s="2543"/>
      <c r="I49" s="2570"/>
      <c r="J49" s="2570"/>
      <c r="K49" s="2540" t="str">
        <f>J48&amp;".1"</f>
        <v>....1.1.1</v>
      </c>
      <c r="L49" s="1648" t="s">
        <v>414</v>
      </c>
      <c r="P49" s="2541"/>
      <c r="Q49" s="2541"/>
      <c r="R49" s="641">
        <v>1</v>
      </c>
      <c r="S49" s="1508" t="str">
        <f>$K49</f>
        <v>....1.1.1</v>
      </c>
      <c r="T49" s="1631"/>
      <c r="U49" s="584"/>
      <c r="V49" s="1035"/>
      <c r="W49" s="609"/>
      <c r="X49" s="1035"/>
      <c r="Y49" s="1541"/>
      <c r="Z49" s="2549"/>
      <c r="AA49" s="2391" t="s">
        <v>67</v>
      </c>
      <c r="AB49" s="2549"/>
      <c r="AC49" s="2391" t="s">
        <v>67</v>
      </c>
      <c r="AD49" s="1035"/>
      <c r="AE49" s="609"/>
      <c r="AF49" s="1035"/>
      <c r="AG49" s="1541"/>
      <c r="AH49" s="2549"/>
      <c r="AI49" s="2391" t="s">
        <v>67</v>
      </c>
      <c r="AJ49" s="2571"/>
      <c r="AK49" s="2391" t="s">
        <v>67</v>
      </c>
      <c r="AL49" s="1632"/>
      <c r="AM49" s="2537" t="s">
        <v>415</v>
      </c>
      <c r="AN49" s="795">
        <f>STRCHECKDATE(V50:AL50)</f>
      </c>
      <c r="AO49" s="784"/>
      <c r="AP49" s="784" t="str">
        <f>IF(T49="","",T49)</f>
        <v/>
      </c>
      <c r="AQ49" s="784"/>
      <c r="AR49" s="784"/>
      <c r="AS49" s="1439">
        <v>23</v>
      </c>
    </row>
    <row customHeight="1" ht="1.05">
      <c r="A50" s="1647" t="s">
        <v>157</v>
      </c>
      <c r="B50" s="1647" t="s">
        <v>158</v>
      </c>
      <c r="C50" s="1647" t="s">
        <v>159</v>
      </c>
      <c r="D50" s="1647" t="s">
        <v>160</v>
      </c>
      <c r="E50" s="2543"/>
      <c r="F50" s="2543"/>
      <c r="G50" s="2543"/>
      <c r="H50" s="2543"/>
      <c r="I50" s="2570"/>
      <c r="J50" s="2570"/>
      <c r="K50" s="2540"/>
      <c r="L50" s="1648"/>
      <c r="P50" s="2541"/>
      <c r="Q50" s="2541"/>
      <c r="R50" s="641"/>
      <c r="S50" s="1507"/>
      <c r="T50" s="584"/>
      <c r="U50" s="584"/>
      <c r="V50" s="609"/>
      <c r="W50" s="609"/>
      <c r="X50" s="609"/>
      <c r="Y50" s="612" t="str">
        <f>Z49&amp;"-"&amp;AB49</f>
        <v>-</v>
      </c>
      <c r="Z50" s="2550"/>
      <c r="AA50" s="2391"/>
      <c r="AB50" s="2550"/>
      <c r="AC50" s="2391"/>
      <c r="AD50" s="609"/>
      <c r="AE50" s="609"/>
      <c r="AF50" s="609"/>
      <c r="AG50" s="612" t="str">
        <f>AH49&amp;"-"&amp;AJ49</f>
        <v>-</v>
      </c>
      <c r="AH50" s="2550"/>
      <c r="AI50" s="2391"/>
      <c r="AJ50" s="2572"/>
      <c r="AK50" s="2391"/>
      <c r="AL50" s="1633"/>
      <c r="AM50" s="2538"/>
      <c r="AO50" s="784"/>
      <c r="AP50" s="784" t="str">
        <f>IF(T50="","",T50)</f>
        <v/>
      </c>
      <c r="AQ50" s="784"/>
      <c r="AR50" s="784"/>
      <c r="AS50" s="1439">
        <v>1</v>
      </c>
    </row>
    <row customHeight="1" ht="11.549999999999999">
      <c r="A51" s="1647" t="s">
        <v>157</v>
      </c>
      <c r="B51" s="1647" t="s">
        <v>158</v>
      </c>
      <c r="C51" s="1647" t="s">
        <v>159</v>
      </c>
      <c r="D51" s="1647" t="s">
        <v>160</v>
      </c>
      <c r="E51" s="2543"/>
      <c r="F51" s="2543"/>
      <c r="G51" s="2543"/>
      <c r="H51" s="2543"/>
      <c r="I51" s="2570"/>
      <c r="J51" s="2540"/>
      <c r="K51" s="1647"/>
      <c r="L51" s="1648"/>
      <c r="P51" s="2541"/>
      <c r="Q51" s="2541"/>
      <c r="R51" s="640"/>
      <c r="S51" s="1562"/>
      <c r="T51" s="572" t="s">
        <v>416</v>
      </c>
      <c r="U51" s="651"/>
      <c r="V51" s="651"/>
      <c r="W51" s="651"/>
      <c r="X51" s="651"/>
      <c r="Y51" s="651"/>
      <c r="Z51" s="651"/>
      <c r="AA51" s="651"/>
      <c r="AB51" s="651"/>
      <c r="AC51" s="651"/>
      <c r="AD51" s="651"/>
      <c r="AE51" s="651"/>
      <c r="AF51" s="651"/>
      <c r="AG51" s="651"/>
      <c r="AH51" s="651"/>
      <c r="AI51" s="651"/>
      <c r="AJ51" s="651"/>
      <c r="AK51" s="651"/>
      <c r="AL51" s="608"/>
      <c r="AM51" s="2539"/>
      <c r="AO51" s="784"/>
      <c r="AP51" s="784" t="str">
        <f>IF(T51="","",T51)</f>
        <v>Добавить вид теплоносителя (параметры теплоносителя)</v>
      </c>
      <c r="AQ51" s="784"/>
      <c r="AR51" s="784"/>
      <c r="AS51" s="1439">
        <v>11</v>
      </c>
    </row>
    <row customHeight="1" ht="11.549999999999999">
      <c r="A52" s="1647" t="s">
        <v>157</v>
      </c>
      <c r="B52" s="1647" t="s">
        <v>158</v>
      </c>
      <c r="C52" s="1647" t="s">
        <v>159</v>
      </c>
      <c r="D52" s="1647" t="s">
        <v>160</v>
      </c>
      <c r="E52" s="2543"/>
      <c r="F52" s="2543"/>
      <c r="G52" s="2543"/>
      <c r="H52" s="2543"/>
      <c r="I52" s="2540"/>
      <c r="J52" s="1647"/>
      <c r="K52" s="1647"/>
      <c r="L52" s="1648"/>
      <c r="P52" s="2541"/>
      <c r="Q52" s="1504"/>
      <c r="R52" s="640"/>
      <c r="S52" s="1562"/>
      <c r="T52" s="571" t="s">
        <v>417</v>
      </c>
      <c r="U52" s="651"/>
      <c r="V52" s="651"/>
      <c r="W52" s="651"/>
      <c r="X52" s="651"/>
      <c r="Y52" s="651"/>
      <c r="Z52" s="651"/>
      <c r="AA52" s="651"/>
      <c r="AB52" s="651"/>
      <c r="AC52" s="650"/>
      <c r="AD52" s="651"/>
      <c r="AE52" s="651"/>
      <c r="AF52" s="651"/>
      <c r="AG52" s="651"/>
      <c r="AH52" s="651"/>
      <c r="AI52" s="651"/>
      <c r="AJ52" s="651"/>
      <c r="AK52" s="650"/>
      <c r="AL52" s="651"/>
      <c r="AM52" s="587"/>
      <c r="AO52" s="784"/>
      <c r="AP52" s="784" t="str">
        <f>IF(T52="","",T52)</f>
        <v>Добавить группу потребителей</v>
      </c>
      <c r="AQ52" s="784"/>
      <c r="AR52" s="784"/>
      <c r="AS52" s="1439">
        <v>11</v>
      </c>
    </row>
    <row customHeight="1" ht="14.699999999999998">
      <c r="A53" s="1647" t="s">
        <v>157</v>
      </c>
      <c r="B53" s="1647" t="s">
        <v>158</v>
      </c>
      <c r="C53" s="1647" t="s">
        <v>159</v>
      </c>
      <c r="D53" s="1647" t="s">
        <v>160</v>
      </c>
      <c r="E53" s="2543"/>
      <c r="F53" s="2543"/>
      <c r="G53" s="2543"/>
      <c r="H53" s="2542"/>
      <c r="I53" s="1647"/>
      <c r="J53" s="1647"/>
      <c r="K53" s="1647"/>
      <c r="L53" s="1648"/>
      <c r="M53" s="1649"/>
      <c r="N53" s="1649"/>
      <c r="O53" s="821"/>
      <c r="P53" s="644"/>
      <c r="Q53" s="659"/>
      <c r="R53" s="639"/>
      <c r="S53" s="1562"/>
      <c r="T53" s="649" t="s">
        <v>418</v>
      </c>
      <c r="U53" s="651"/>
      <c r="V53" s="651"/>
      <c r="W53" s="651"/>
      <c r="X53" s="651"/>
      <c r="Y53" s="651"/>
      <c r="Z53" s="651"/>
      <c r="AA53" s="651"/>
      <c r="AB53" s="651"/>
      <c r="AC53" s="650"/>
      <c r="AD53" s="651"/>
      <c r="AE53" s="651"/>
      <c r="AF53" s="651"/>
      <c r="AG53" s="651"/>
      <c r="AH53" s="651"/>
      <c r="AI53" s="651"/>
      <c r="AJ53" s="651"/>
      <c r="AK53" s="650"/>
      <c r="AL53" s="651"/>
      <c r="AM53" s="587"/>
      <c r="AO53" s="784"/>
      <c r="AP53" s="784" t="str">
        <f>IF(T53="","",T53)</f>
        <v>Добавить схему подключения</v>
      </c>
      <c r="AQ53" s="784"/>
      <c r="AR53" s="784"/>
      <c r="AS53" s="1439">
        <v>14</v>
      </c>
    </row>
    <row s="14158" customFormat="1" customHeight="1" ht="1.05">
      <c r="A54" s="1627" t="s">
        <v>157</v>
      </c>
      <c r="B54" s="1627" t="s">
        <v>158</v>
      </c>
      <c r="C54" s="1627" t="s">
        <v>159</v>
      </c>
      <c r="D54" s="1598"/>
      <c r="E54" s="2543"/>
      <c r="F54" s="2543"/>
      <c r="G54" s="2542"/>
      <c r="H54" s="1598"/>
      <c r="I54" s="1598"/>
      <c r="J54" s="1598"/>
      <c r="K54" s="1598"/>
      <c r="L54" s="1623"/>
      <c r="M54" s="1599"/>
      <c r="N54" s="1599"/>
      <c r="P54" s="1600"/>
      <c r="Q54" s="1601"/>
      <c r="R54" s="1600"/>
      <c r="S54" s="1606"/>
      <c r="T54" s="1609" t="s">
        <v>169</v>
      </c>
      <c r="U54" s="1608"/>
      <c r="V54" s="1608"/>
      <c r="W54" s="1608"/>
      <c r="X54" s="1608"/>
      <c r="Y54" s="1608"/>
      <c r="Z54" s="1608"/>
      <c r="AA54" s="1608"/>
      <c r="AB54" s="1608"/>
      <c r="AC54" s="1608"/>
      <c r="AD54" s="1608"/>
      <c r="AE54" s="1608"/>
      <c r="AF54" s="1608"/>
      <c r="AG54" s="1608"/>
      <c r="AH54" s="1608"/>
      <c r="AI54" s="1608"/>
      <c r="AJ54" s="1608"/>
      <c r="AK54" s="1608"/>
      <c r="AL54" s="1608"/>
      <c r="AM54" s="1608"/>
      <c r="AO54" s="1073"/>
      <c r="AP54" s="1073" t="str">
        <f>IF(T54="","",T54)</f>
        <v>Добавить источник для дифференциации</v>
      </c>
      <c r="AQ54" s="1073"/>
      <c r="AR54" s="1073"/>
      <c r="AS54" s="802">
        <v>1</v>
      </c>
    </row>
    <row s="14158" customFormat="1" customHeight="1" ht="1.05">
      <c r="A55" s="1627" t="s">
        <v>157</v>
      </c>
      <c r="B55" s="1627" t="s">
        <v>158</v>
      </c>
      <c r="C55" s="1598"/>
      <c r="D55" s="1598"/>
      <c r="E55" s="2543"/>
      <c r="F55" s="2542"/>
      <c r="G55" s="1598"/>
      <c r="H55" s="1598"/>
      <c r="I55" s="1598"/>
      <c r="J55" s="1598"/>
      <c r="K55" s="1598"/>
      <c r="L55" s="1623"/>
      <c r="M55" s="1605"/>
      <c r="N55" s="1605"/>
      <c r="P55" s="1600"/>
      <c r="Q55" s="1601"/>
      <c r="R55" s="1600"/>
      <c r="S55" s="1606"/>
      <c r="T55" s="1609" t="s">
        <v>170</v>
      </c>
      <c r="U55" s="1608"/>
      <c r="V55" s="1608"/>
      <c r="W55" s="1608"/>
      <c r="X55" s="1608"/>
      <c r="Y55" s="1608"/>
      <c r="Z55" s="1608"/>
      <c r="AA55" s="1608"/>
      <c r="AB55" s="1608"/>
      <c r="AC55" s="1608"/>
      <c r="AD55" s="1608"/>
      <c r="AE55" s="1608"/>
      <c r="AF55" s="1608"/>
      <c r="AG55" s="1608"/>
      <c r="AH55" s="1608"/>
      <c r="AI55" s="1608"/>
      <c r="AJ55" s="1608"/>
      <c r="AK55" s="1608"/>
      <c r="AL55" s="1608"/>
      <c r="AM55" s="1608"/>
      <c r="AO55" s="1073"/>
      <c r="AP55" s="1073" t="str">
        <f>IF(T55="","",T55)</f>
        <v>Добавить централизованную систему для дифференциации</v>
      </c>
      <c r="AQ55" s="1073"/>
      <c r="AR55" s="1073"/>
      <c r="AS55" s="802">
        <v>1</v>
      </c>
    </row>
    <row s="14158" customFormat="1" customHeight="1" ht="1.05">
      <c r="A56" s="1627" t="s">
        <v>157</v>
      </c>
      <c r="B56" s="1627"/>
      <c r="C56" s="1627"/>
      <c r="D56" s="1627"/>
      <c r="E56" s="2542"/>
      <c r="F56" s="1627"/>
      <c r="G56" s="1627"/>
      <c r="H56" s="1627"/>
      <c r="I56" s="1627"/>
      <c r="J56" s="1627"/>
      <c r="K56" s="1627"/>
      <c r="L56" s="1630"/>
      <c r="M56" s="1605"/>
      <c r="N56" s="1605"/>
      <c r="O56" s="802"/>
      <c r="P56" s="664"/>
      <c r="Q56" s="1628"/>
      <c r="R56" s="664"/>
      <c r="S56" s="1606"/>
      <c r="T56" s="1609" t="s">
        <v>171</v>
      </c>
      <c r="U56" s="1608"/>
      <c r="V56" s="1608"/>
      <c r="W56" s="1608"/>
      <c r="X56" s="1608"/>
      <c r="Y56" s="1608"/>
      <c r="Z56" s="1608"/>
      <c r="AA56" s="1608"/>
      <c r="AB56" s="1608"/>
      <c r="AC56" s="1608"/>
      <c r="AD56" s="1608"/>
      <c r="AE56" s="1608"/>
      <c r="AF56" s="1608"/>
      <c r="AG56" s="1608"/>
      <c r="AH56" s="1608"/>
      <c r="AI56" s="1608"/>
      <c r="AJ56" s="1608"/>
      <c r="AK56" s="1608"/>
      <c r="AL56" s="1608"/>
      <c r="AM56" s="1608"/>
      <c r="AO56" s="784"/>
      <c r="AP56" s="784" t="str">
        <f>IF(T56="","",T56)</f>
        <v>Добавить территорию для дифференциации</v>
      </c>
      <c r="AQ56" s="784"/>
      <c r="AR56" s="784"/>
      <c r="AS56" s="795">
        <v>1</v>
      </c>
    </row>
    <row s="14158" customFormat="1" customHeight="1" ht="1.05">
      <c r="A57" s="1598"/>
      <c r="B57" s="1598"/>
      <c r="C57" s="1598"/>
      <c r="D57" s="1598"/>
      <c r="E57" s="1627"/>
      <c r="F57" s="1598"/>
      <c r="G57" s="1598"/>
      <c r="H57" s="1598"/>
      <c r="I57" s="1598"/>
      <c r="J57" s="1598"/>
      <c r="K57" s="1598"/>
      <c r="L57" s="1623"/>
      <c r="M57" s="1605"/>
      <c r="N57" s="1605"/>
      <c r="P57" s="1600"/>
      <c r="Q57" s="1601"/>
      <c r="R57" s="1600"/>
      <c r="S57" s="1606"/>
      <c r="T57" s="1609" t="s">
        <v>172</v>
      </c>
      <c r="U57" s="1608"/>
      <c r="V57" s="1608"/>
      <c r="W57" s="1608"/>
      <c r="X57" s="1608"/>
      <c r="Y57" s="1608"/>
      <c r="Z57" s="1608"/>
      <c r="AA57" s="1608"/>
      <c r="AB57" s="1608"/>
      <c r="AC57" s="1608"/>
      <c r="AD57" s="1608"/>
      <c r="AE57" s="1608"/>
      <c r="AF57" s="1608"/>
      <c r="AG57" s="1608"/>
      <c r="AH57" s="1608"/>
      <c r="AI57" s="1608"/>
      <c r="AJ57" s="1608"/>
      <c r="AK57" s="1608"/>
      <c r="AL57" s="1608"/>
      <c r="AM57" s="1608"/>
      <c r="AO57" s="1073"/>
      <c r="AP57" s="1073" t="str">
        <f>IF(T57="","",T57)</f>
        <v>Добавить наименование тарифа</v>
      </c>
      <c r="AQ57" s="1073"/>
      <c r="AR57" s="1073"/>
      <c r="AS57" s="802">
        <v>1</v>
      </c>
    </row>
    <row customHeight="1" ht="11.549999999999999">
      <c r="M58" s="1444"/>
      <c r="N58" s="1444"/>
      <c r="O58" s="821"/>
      <c r="P58" s="1439"/>
      <c r="Q58" s="1439"/>
      <c r="R58" s="1439"/>
      <c r="S58" s="1439"/>
      <c r="AN58" s="1439"/>
      <c r="AO58" s="1439"/>
      <c r="AP58" s="1439"/>
      <c r="AQ58" s="1439"/>
      <c r="AR58" s="1439"/>
      <c r="AS58" s="1439">
        <v>11</v>
      </c>
    </row>
    <row customHeight="1" ht="28.5">
      <c r="O59" s="821"/>
      <c r="S59" s="1537"/>
      <c r="T59" s="2569"/>
      <c r="U59" s="2569"/>
      <c r="V59" s="2569"/>
      <c r="W59" s="2569"/>
      <c r="X59" s="2569"/>
      <c r="Y59" s="2569"/>
      <c r="Z59" s="2569"/>
      <c r="AA59" s="2569"/>
      <c r="AB59" s="2569"/>
      <c r="AC59" s="2569"/>
      <c r="AD59" s="2569"/>
      <c r="AE59" s="2569"/>
      <c r="AF59" s="2569"/>
      <c r="AG59" s="2569"/>
      <c r="AH59" s="2569"/>
      <c r="AI59" s="2569"/>
      <c r="AJ59" s="2569"/>
      <c r="AK59" s="2569"/>
      <c r="AL59" s="2569"/>
      <c r="AM59" s="2569"/>
      <c r="AS59" s="1439">
        <v>27</v>
      </c>
    </row>
    <row customHeight="1" ht="67.2">
      <c r="O60" s="821"/>
      <c r="P60" s="1587"/>
      <c r="T60" s="2569"/>
      <c r="U60" s="2569"/>
      <c r="V60" s="2569"/>
      <c r="W60" s="2569"/>
      <c r="X60" s="2569"/>
      <c r="Y60" s="2569"/>
      <c r="Z60" s="2569"/>
      <c r="AA60" s="2569"/>
      <c r="AB60" s="2569"/>
      <c r="AC60" s="2569"/>
      <c r="AD60" s="2569"/>
      <c r="AE60" s="2569"/>
      <c r="AF60" s="2569"/>
      <c r="AG60" s="2569"/>
      <c r="AH60" s="2569"/>
      <c r="AI60" s="2569"/>
      <c r="AJ60" s="2569"/>
      <c r="AK60" s="2569"/>
      <c r="AL60" s="2569"/>
      <c r="AM60" s="2569"/>
      <c r="AS60" s="1439">
        <v>64</v>
      </c>
    </row>
    <row customHeight="1" ht="14.699999999999998">
      <c r="O61" s="821"/>
      <c r="AS61" s="1439">
        <v>14</v>
      </c>
    </row>
    <row customHeight="1" ht="18.75">
      <c r="O62" s="821"/>
      <c r="P62" s="1612"/>
      <c r="S62" s="1537"/>
      <c r="T62" s="2569"/>
      <c r="U62" s="2569"/>
      <c r="V62" s="2569"/>
      <c r="W62" s="2569"/>
      <c r="X62" s="2569"/>
      <c r="Y62" s="2569"/>
      <c r="Z62" s="2569"/>
      <c r="AA62" s="2569"/>
      <c r="AB62" s="2569"/>
      <c r="AC62" s="2569"/>
      <c r="AD62" s="2569"/>
      <c r="AE62" s="2569"/>
      <c r="AF62" s="2569"/>
      <c r="AG62" s="2569"/>
      <c r="AH62" s="2569"/>
      <c r="AI62" s="2569"/>
      <c r="AJ62" s="2569"/>
      <c r="AK62" s="2569"/>
      <c r="AL62" s="2569"/>
      <c r="AM62" s="2569"/>
      <c r="AS62" s="1439">
        <v>18</v>
      </c>
    </row>
    <row customHeight="1" ht="18.75">
      <c r="O63" s="821"/>
      <c r="P63" s="1612"/>
      <c r="T63" s="2569"/>
      <c r="U63" s="2569"/>
      <c r="V63" s="2569"/>
      <c r="W63" s="2569"/>
      <c r="X63" s="2569"/>
      <c r="Y63" s="2569"/>
      <c r="Z63" s="2569"/>
      <c r="AA63" s="2569"/>
      <c r="AB63" s="2569"/>
      <c r="AC63" s="2569"/>
      <c r="AD63" s="2569"/>
      <c r="AE63" s="2569"/>
      <c r="AF63" s="2569"/>
      <c r="AG63" s="2569"/>
      <c r="AH63" s="2569"/>
      <c r="AI63" s="2569"/>
      <c r="AJ63" s="2569"/>
      <c r="AK63" s="2569"/>
      <c r="AL63" s="2569"/>
      <c r="AM63" s="2569"/>
      <c r="AS63" s="1439">
        <v>18</v>
      </c>
    </row>
    <row customHeight="1" ht="29.25">
      <c r="O64" s="821"/>
      <c r="P64" s="1612"/>
      <c r="S64" s="1537"/>
      <c r="T64" s="2569"/>
      <c r="U64" s="2569"/>
      <c r="V64" s="2569"/>
      <c r="W64" s="2569"/>
      <c r="X64" s="2569"/>
      <c r="Y64" s="2569"/>
      <c r="Z64" s="2569"/>
      <c r="AA64" s="2569"/>
      <c r="AB64" s="2569"/>
      <c r="AC64" s="2569"/>
      <c r="AD64" s="2569"/>
      <c r="AE64" s="2569"/>
      <c r="AF64" s="2569"/>
      <c r="AG64" s="2569"/>
      <c r="AH64" s="2569"/>
      <c r="AI64" s="2569"/>
      <c r="AJ64" s="2569"/>
      <c r="AK64" s="2569"/>
      <c r="AL64" s="2569"/>
      <c r="AM64" s="2569"/>
      <c r="AS64" s="1439">
        <v>28</v>
      </c>
    </row>
    <row customHeight="1" ht="22.5" hidden="1">
      <c r="A65" s="1444" t="s">
        <v>83</v>
      </c>
      <c r="B65" s="1444">
        <v>0</v>
      </c>
      <c r="C65" s="1444">
        <v>0</v>
      </c>
      <c r="D65" s="1444">
        <v>0</v>
      </c>
      <c r="E65" s="1444">
        <v>0</v>
      </c>
      <c r="F65" s="1444">
        <v>0</v>
      </c>
      <c r="G65" s="1444">
        <v>0</v>
      </c>
      <c r="H65" s="1444">
        <v>0</v>
      </c>
      <c r="I65" s="1444">
        <v>0</v>
      </c>
      <c r="J65" s="1444">
        <v>0</v>
      </c>
      <c r="K65" s="1444">
        <v>0</v>
      </c>
      <c r="L65" s="1613">
        <v>0</v>
      </c>
      <c r="M65" s="1646">
        <v>0</v>
      </c>
      <c r="N65" s="1646">
        <v>0</v>
      </c>
      <c r="O65" s="1646">
        <v>0</v>
      </c>
      <c r="P65" s="1502">
        <v>3</v>
      </c>
      <c r="Q65" s="628">
        <v>3</v>
      </c>
      <c r="R65" s="628">
        <v>3</v>
      </c>
      <c r="S65" s="865">
        <v>12</v>
      </c>
      <c r="T65" s="1439">
        <v>35</v>
      </c>
      <c r="U65" s="1439">
        <v>0</v>
      </c>
      <c r="V65" s="1439">
        <v>0</v>
      </c>
      <c r="W65" s="1439">
        <v>0</v>
      </c>
      <c r="X65" s="1439">
        <v>0</v>
      </c>
      <c r="Y65" s="1439">
        <v>0</v>
      </c>
      <c r="Z65" s="1439">
        <v>0</v>
      </c>
      <c r="AA65" s="1439">
        <v>0</v>
      </c>
      <c r="AB65" s="1439">
        <v>0</v>
      </c>
      <c r="AC65" s="1439">
        <v>0</v>
      </c>
      <c r="AD65" s="1439">
        <v>24</v>
      </c>
      <c r="AE65" s="1439">
        <v>0</v>
      </c>
      <c r="AF65" s="1439">
        <v>24</v>
      </c>
      <c r="AG65" s="1439">
        <v>24</v>
      </c>
      <c r="AH65" s="1439">
        <v>11</v>
      </c>
      <c r="AI65" s="1439">
        <v>3</v>
      </c>
      <c r="AJ65" s="1439">
        <v>11</v>
      </c>
      <c r="AK65" s="1439">
        <v>0</v>
      </c>
      <c r="AL65" s="1439">
        <v>4</v>
      </c>
      <c r="AM65" s="1439">
        <v>115</v>
      </c>
      <c r="AN65" s="795">
        <v>10</v>
      </c>
      <c r="AO65" s="795">
        <v>10</v>
      </c>
      <c r="AP65" s="795">
        <v>10</v>
      </c>
      <c r="AQ65" s="795">
        <v>10</v>
      </c>
      <c r="AR65" s="795">
        <v>10</v>
      </c>
      <c r="AS65" s="1439">
        <v>23</v>
      </c>
    </row>
  </sheetData>
  <sheetProtection formatColumns="0" formatRows="0" autoFilter="0" sort="0" insertRows="0" insertColumns="1" deleteRows="0" deleteColumns="0"/>
  <mergeCells count="112">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S26:AJ26"/>
    <mergeCell ref="S27:AJ27"/>
    <mergeCell ref="S29:T29"/>
    <mergeCell ref="S30:T30"/>
    <mergeCell ref="S31:T31"/>
    <mergeCell ref="S32:T32"/>
    <mergeCell ref="AD31:AJ31"/>
    <mergeCell ref="AD32:AJ32"/>
    <mergeCell ref="AD37:AK37"/>
    <mergeCell ref="V43:AC43"/>
    <mergeCell ref="V44:AC44"/>
    <mergeCell ref="V45:AC45"/>
    <mergeCell ref="V46:AC46"/>
    <mergeCell ref="V47:AC47"/>
    <mergeCell ref="V48:AC48"/>
    <mergeCell ref="AD43:AL43"/>
    <mergeCell ref="AD44:AL44"/>
    <mergeCell ref="AD45:AL45"/>
    <mergeCell ref="AD46:AL46"/>
    <mergeCell ref="AD47:AL47"/>
    <mergeCell ref="AD48:AL48"/>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D56BA8D-1EB2-F271-8AED-205B57FE7EC4}" mc:Ignorable="x14ac xr xr2 xr3">
  <sheetPr>
    <tabColor theme="6" tint="0.4"/>
  </sheetPr>
  <dimension ref="A1:AS77"/>
  <sheetViews>
    <sheetView topLeftCell="A1" showGridLines="0" zoomScale="90" workbookViewId="0">
      <selection activeCell="AD62" sqref="AD62"/>
    </sheetView>
  </sheetViews>
  <sheetFormatPr defaultColWidth="10.57421875" customHeight="1" defaultRowHeight="14.25"/>
  <cols>
    <col min="1" max="1" style="14157" width="10.57421875" hidden="1"/>
    <col min="2" max="2" style="14157" width="11.00390625" hidden="1" customWidth="1"/>
    <col min="3" max="3" style="14157" width="10.57421875" hidden="1"/>
    <col min="4" max="4" style="14157" width="11.8515625" hidden="1" customWidth="1"/>
    <col min="5" max="5" style="14157" width="10.00390625" hidden="1" customWidth="1"/>
    <col min="6" max="6" style="14157" width="8.7109375" hidden="1" customWidth="1"/>
    <col min="7" max="7" style="14157" width="7.57421875" hidden="1" customWidth="1"/>
    <col min="8" max="8" style="14157" width="11.421875" hidden="1" customWidth="1"/>
    <col min="9" max="9" style="14157" width="12.00390625" hidden="1" customWidth="1"/>
    <col min="10" max="10" style="14157" width="9.8515625" hidden="1" customWidth="1"/>
    <col min="11" max="11" style="14157" width="11.421875" hidden="1" customWidth="1"/>
    <col min="12" max="12" style="14974" width="19.140625" hidden="1" customWidth="1"/>
    <col min="13" max="14" style="14975" width="12.28125" hidden="1" customWidth="1"/>
    <col min="15" max="15" style="14975" width="23.421875" hidden="1" customWidth="1"/>
    <col min="16" max="16" style="14976" width="3.00390625" customWidth="1"/>
    <col min="17" max="18" style="14977" width="3.00390625" customWidth="1"/>
    <col min="19" max="19" style="14978" width="12.00390625" customWidth="1"/>
    <col min="20" max="20" style="14077" width="31.00390625" customWidth="1"/>
    <col min="21" max="21" style="14077" width="0.140625" customWidth="1"/>
    <col min="22" max="22" style="14077" width="24.7109375" hidden="1" customWidth="1"/>
    <col min="23" max="23" style="14077" width="0.140625" hidden="1" customWidth="1"/>
    <col min="24" max="25" style="14077" width="24.7109375" hidden="1" customWidth="1"/>
    <col min="26" max="26" style="14077" width="11.7109375" hidden="1" customWidth="1"/>
    <col min="27" max="27" style="14077" width="3.7109375" hidden="1" customWidth="1"/>
    <col min="28" max="28" style="14077" width="11.7109375" hidden="1" customWidth="1"/>
    <col min="29" max="29" style="14077" width="8.57421875" hidden="1" customWidth="1"/>
    <col min="30" max="30" style="14077" width="24.7109375" customWidth="1"/>
    <col min="31" max="31" style="14077" width="0.140625" customWidth="1"/>
    <col min="32" max="33" style="14077" width="24.00390625" customWidth="1"/>
    <col min="34" max="34" style="14077" width="11.00390625" customWidth="1"/>
    <col min="35" max="35" style="14077" width="3.7109375" customWidth="1"/>
    <col min="36" max="36" style="14077" width="11.00390625" customWidth="1"/>
    <col min="37" max="37" style="14077" width="8.57421875" hidden="1" customWidth="1"/>
    <col min="38" max="38" style="14077" width="4.00390625" customWidth="1"/>
    <col min="39" max="39" style="14077" width="115.00390625" customWidth="1"/>
    <col min="40" max="44" style="14158" width="10.00390625" customWidth="1"/>
    <col min="45" max="45" style="14077" width="10.57421875" hidden="1"/>
  </cols>
  <sheetData>
    <row customHeight="1" ht="22.5" hidden="1">
      <c r="Y1" s="611"/>
      <c r="Z1" s="611"/>
      <c r="AG1" s="611"/>
      <c r="AH1" s="611"/>
      <c r="AS1" s="1439" t="s">
        <v>14</v>
      </c>
    </row>
    <row customHeight="1" ht="21" hidden="1">
      <c r="A2" s="1647"/>
      <c r="B2" s="1647"/>
      <c r="C2" s="1647"/>
      <c r="D2" s="1647"/>
      <c r="E2" s="2542">
        <v>1</v>
      </c>
      <c r="F2" s="1647"/>
      <c r="G2" s="1647"/>
      <c r="H2" s="1647"/>
      <c r="I2" s="1647"/>
      <c r="J2" s="1647"/>
      <c r="K2" s="1647"/>
      <c r="L2" s="1648"/>
      <c r="M2" s="1649"/>
      <c r="N2" s="1649"/>
      <c r="O2" s="1649"/>
      <c r="P2" s="645"/>
      <c r="Q2" s="644"/>
      <c r="R2" s="639"/>
      <c r="S2" s="1620">
        <f>INDEX(PT_DIFFERENTIATION_NUM_NTAR,MATCH(A2,PT_DIFFERENTIATION_NTAR_ID,0))</f>
      </c>
      <c r="T2" s="582" t="s">
        <v>124</v>
      </c>
      <c r="U2" s="584"/>
      <c r="V2" s="2526"/>
      <c r="W2" s="2527"/>
      <c r="X2" s="2527"/>
      <c r="Y2" s="2527"/>
      <c r="Z2" s="2527"/>
      <c r="AA2" s="2527"/>
      <c r="AB2" s="2527"/>
      <c r="AC2" s="2528"/>
      <c r="AD2" s="2526">
        <f>INDEX(PT_DIFFERENTIATION_NTAR,MATCH(A2,PT_DIFFERENTIATION_NTAR_ID,0))</f>
      </c>
      <c r="AE2" s="2527"/>
      <c r="AF2" s="2527"/>
      <c r="AG2" s="2527"/>
      <c r="AH2" s="2527"/>
      <c r="AI2" s="2527"/>
      <c r="AJ2" s="2527"/>
      <c r="AK2" s="2527"/>
      <c r="AL2" s="2528"/>
      <c r="AM2" s="1542" t="s">
        <v>401</v>
      </c>
      <c r="AO2" s="784"/>
      <c r="AP2" s="784" t="str">
        <f>IF(T2="","",T2)</f>
        <v>Наименование тарифа</v>
      </c>
      <c r="AQ2" s="784"/>
      <c r="AR2" s="784"/>
      <c r="AS2" s="1439">
        <v>0</v>
      </c>
    </row>
    <row customHeight="1" ht="21" hidden="1">
      <c r="A3" s="1647"/>
      <c r="B3" s="1647"/>
      <c r="C3" s="1647"/>
      <c r="D3" s="1647"/>
      <c r="E3" s="2543"/>
      <c r="F3" s="2542">
        <v>1</v>
      </c>
      <c r="G3" s="1647"/>
      <c r="H3" s="1647"/>
      <c r="I3" s="1647"/>
      <c r="J3" s="1647"/>
      <c r="K3" s="1647"/>
      <c r="L3" s="1648"/>
      <c r="M3" s="1649"/>
      <c r="N3" s="1649"/>
      <c r="O3" s="1649"/>
      <c r="P3" s="1616"/>
      <c r="Q3" s="636"/>
      <c r="R3" s="637"/>
      <c r="S3" s="1620">
        <f>INDEX(PT_DIFFERENTIATION_NUM_TER,MATCH(B3,PT_DIFFERENTIATION_TER_ID,0))</f>
      </c>
      <c r="T3" s="592" t="s">
        <v>402</v>
      </c>
      <c r="U3" s="584"/>
      <c r="V3" s="2526"/>
      <c r="W3" s="2527"/>
      <c r="X3" s="2527"/>
      <c r="Y3" s="2527"/>
      <c r="Z3" s="2527"/>
      <c r="AA3" s="2527"/>
      <c r="AB3" s="2527"/>
      <c r="AC3" s="2528"/>
      <c r="AD3" s="2526">
        <f>INDEX(PT_DIFFERENTIATION_TER,MATCH(B3,PT_DIFFERENTIATION_TER_ID,0))</f>
      </c>
      <c r="AE3" s="2527"/>
      <c r="AF3" s="2527"/>
      <c r="AG3" s="2527"/>
      <c r="AH3" s="2527"/>
      <c r="AI3" s="2527"/>
      <c r="AJ3" s="2527"/>
      <c r="AK3" s="2527"/>
      <c r="AL3" s="2528"/>
      <c r="AM3" s="1542" t="s">
        <v>403</v>
      </c>
      <c r="AO3" s="784"/>
      <c r="AP3" s="784" t="str">
        <f>IF(T3="","",T3)</f>
        <v>Территория действия тарифа</v>
      </c>
      <c r="AQ3" s="784"/>
      <c r="AR3" s="784"/>
      <c r="AS3" s="1439">
        <v>0</v>
      </c>
    </row>
    <row customHeight="1" ht="23.25" hidden="1">
      <c r="A4" s="1647"/>
      <c r="B4" s="1647"/>
      <c r="C4" s="1647"/>
      <c r="D4" s="1647"/>
      <c r="E4" s="2543"/>
      <c r="F4" s="2543"/>
      <c r="G4" s="2542">
        <v>1</v>
      </c>
      <c r="H4" s="1647"/>
      <c r="I4" s="1647"/>
      <c r="J4" s="1647"/>
      <c r="K4" s="1647"/>
      <c r="L4" s="1648"/>
      <c r="M4" s="1649"/>
      <c r="N4" s="1649"/>
      <c r="O4" s="1649"/>
      <c r="P4" s="638"/>
      <c r="Q4" s="636"/>
      <c r="R4" s="637"/>
      <c r="S4" s="1620">
        <f>INDEX(PT_DIFFERENTIATION_NUM_CS,MATCH(C4,PT_DIFFERENTIATION_CS_ID,0))</f>
      </c>
      <c r="T4" s="593" t="s">
        <v>404</v>
      </c>
      <c r="U4" s="584"/>
      <c r="V4" s="2526"/>
      <c r="W4" s="2527"/>
      <c r="X4" s="2527"/>
      <c r="Y4" s="2527"/>
      <c r="Z4" s="2527"/>
      <c r="AA4" s="2527"/>
      <c r="AB4" s="2527"/>
      <c r="AC4" s="2528"/>
      <c r="AD4" s="2526">
        <f>INDEX(PT_DIFFERENTIATION_CS,MATCH(C4,PT_DIFFERENTIATION_CS_ID,0))</f>
      </c>
      <c r="AE4" s="2527"/>
      <c r="AF4" s="2527"/>
      <c r="AG4" s="2527"/>
      <c r="AH4" s="2527"/>
      <c r="AI4" s="2527"/>
      <c r="AJ4" s="2527"/>
      <c r="AK4" s="2527"/>
      <c r="AL4" s="2528"/>
      <c r="AM4" s="1542" t="s">
        <v>405</v>
      </c>
      <c r="AO4" s="784"/>
      <c r="AP4" s="784" t="str">
        <f>IF(T4="","",T4)</f>
        <v>Наименование системы теплоснабжения </v>
      </c>
      <c r="AQ4" s="784"/>
      <c r="AR4" s="784"/>
      <c r="AS4" s="1439">
        <v>0</v>
      </c>
    </row>
    <row customHeight="1" ht="21" hidden="1">
      <c r="A5" s="1647"/>
      <c r="B5" s="1647"/>
      <c r="C5" s="1647"/>
      <c r="D5" s="1647"/>
      <c r="E5" s="2543"/>
      <c r="F5" s="2543"/>
      <c r="G5" s="2543"/>
      <c r="H5" s="2542">
        <v>1</v>
      </c>
      <c r="I5" s="1647"/>
      <c r="J5" s="1647"/>
      <c r="K5" s="1647"/>
      <c r="L5" s="1648"/>
      <c r="M5" s="1649"/>
      <c r="N5" s="1649"/>
      <c r="O5" s="1649"/>
      <c r="P5" s="638"/>
      <c r="Q5" s="636"/>
      <c r="R5" s="637"/>
      <c r="S5" s="1620">
        <f>INDEX(PT_DIFFERENTIATION_NUM_IST_TE,MATCH(D5,PT_DIFFERENTIATION_IST_TE_ID,0))</f>
      </c>
      <c r="T5" s="594" t="s">
        <v>406</v>
      </c>
      <c r="U5" s="584"/>
      <c r="V5" s="2526"/>
      <c r="W5" s="2527"/>
      <c r="X5" s="2527"/>
      <c r="Y5" s="2527"/>
      <c r="Z5" s="2527"/>
      <c r="AA5" s="2527"/>
      <c r="AB5" s="2527"/>
      <c r="AC5" s="2528"/>
      <c r="AD5" s="2526">
        <f>INDEX(PT_DIFFERENTIATION_IST_TE,MATCH(D5,PT_DIFFERENTIATION_IST_TE_ID,0))</f>
      </c>
      <c r="AE5" s="2527"/>
      <c r="AF5" s="2527"/>
      <c r="AG5" s="2527"/>
      <c r="AH5" s="2527"/>
      <c r="AI5" s="2527"/>
      <c r="AJ5" s="2527"/>
      <c r="AK5" s="2527"/>
      <c r="AL5" s="2528"/>
      <c r="AM5" s="1542" t="s">
        <v>407</v>
      </c>
      <c r="AO5" s="784"/>
      <c r="AP5" s="784" t="str">
        <f>IF(T5="","",T5)</f>
        <v>Источник тепловой энергии  </v>
      </c>
      <c r="AQ5" s="784"/>
      <c r="AR5" s="784"/>
      <c r="AS5" s="1439">
        <v>0</v>
      </c>
    </row>
    <row customHeight="1" ht="47.25" hidden="1">
      <c r="A6" s="1647"/>
      <c r="B6" s="1647"/>
      <c r="C6" s="1647"/>
      <c r="D6" s="1647"/>
      <c r="E6" s="2543"/>
      <c r="F6" s="2543"/>
      <c r="G6" s="2543"/>
      <c r="H6" s="2543"/>
      <c r="I6" s="2540">
        <f>S5&amp;".1"</f>
      </c>
      <c r="J6" s="1647"/>
      <c r="K6" s="1647"/>
      <c r="L6" s="1648" t="s">
        <v>408</v>
      </c>
      <c r="M6" s="821"/>
      <c r="P6" s="2541">
        <v>1</v>
      </c>
      <c r="Q6" s="1615"/>
      <c r="R6" s="640"/>
      <c r="S6" s="1620">
        <f>$I6</f>
      </c>
      <c r="T6" s="569" t="s">
        <v>409</v>
      </c>
      <c r="U6" s="584"/>
      <c r="V6" s="2529"/>
      <c r="W6" s="2530"/>
      <c r="X6" s="2530"/>
      <c r="Y6" s="2530"/>
      <c r="Z6" s="2530"/>
      <c r="AA6" s="2530"/>
      <c r="AB6" s="2530"/>
      <c r="AC6" s="2531"/>
      <c r="AD6" s="2529"/>
      <c r="AE6" s="2530"/>
      <c r="AF6" s="2530"/>
      <c r="AG6" s="2530"/>
      <c r="AH6" s="2530"/>
      <c r="AI6" s="2530"/>
      <c r="AJ6" s="2530"/>
      <c r="AK6" s="2530"/>
      <c r="AL6" s="2531"/>
      <c r="AM6" s="1542" t="s">
        <v>410</v>
      </c>
      <c r="AO6" s="784"/>
      <c r="AP6" s="784" t="str">
        <f>IF(T6="","",T6)</f>
        <v>Схема подключения теплопотребляющей установки к коллектору источника тепловой энергии</v>
      </c>
      <c r="AQ6" s="784"/>
      <c r="AR6" s="784"/>
      <c r="AS6" s="1439">
        <v>0</v>
      </c>
    </row>
    <row customHeight="1" ht="21" hidden="1">
      <c r="A7" s="1647"/>
      <c r="B7" s="1647"/>
      <c r="C7" s="1647"/>
      <c r="D7" s="1647"/>
      <c r="E7" s="2543"/>
      <c r="F7" s="2543"/>
      <c r="G7" s="2543"/>
      <c r="H7" s="2543"/>
      <c r="I7" s="2570"/>
      <c r="J7" s="2540">
        <f>I6&amp;".1"</f>
      </c>
      <c r="K7" s="1647"/>
      <c r="L7" s="1648" t="s">
        <v>411</v>
      </c>
      <c r="M7" s="821"/>
      <c r="N7" s="1650"/>
      <c r="P7" s="2541"/>
      <c r="Q7" s="2541">
        <v>1</v>
      </c>
      <c r="R7" s="641"/>
      <c r="S7" s="1620">
        <f>$J7</f>
      </c>
      <c r="T7" s="570" t="s">
        <v>412</v>
      </c>
      <c r="U7" s="584"/>
      <c r="V7" s="2529"/>
      <c r="W7" s="2530"/>
      <c r="X7" s="2530"/>
      <c r="Y7" s="2530"/>
      <c r="Z7" s="2530"/>
      <c r="AA7" s="2530"/>
      <c r="AB7" s="2530"/>
      <c r="AC7" s="2531"/>
      <c r="AD7" s="2529"/>
      <c r="AE7" s="2530"/>
      <c r="AF7" s="2530"/>
      <c r="AG7" s="2530"/>
      <c r="AH7" s="2530"/>
      <c r="AI7" s="2530"/>
      <c r="AJ7" s="2530"/>
      <c r="AK7" s="2530"/>
      <c r="AL7" s="2531"/>
      <c r="AM7" s="1542" t="s">
        <v>413</v>
      </c>
      <c r="AO7" s="784"/>
      <c r="AP7" s="784" t="str">
        <f>IF(T7="","",T7)</f>
        <v>Группа потребителей</v>
      </c>
      <c r="AQ7" s="784"/>
      <c r="AR7" s="784"/>
      <c r="AS7" s="1439">
        <v>0</v>
      </c>
    </row>
    <row customHeight="1" ht="21" hidden="1">
      <c r="A8" s="1647"/>
      <c r="B8" s="1647"/>
      <c r="C8" s="1647"/>
      <c r="D8" s="1647"/>
      <c r="E8" s="2543"/>
      <c r="F8" s="2543"/>
      <c r="G8" s="2543"/>
      <c r="H8" s="2543"/>
      <c r="I8" s="2570"/>
      <c r="J8" s="2570"/>
      <c r="K8" s="2540">
        <f>J7&amp;".1"</f>
      </c>
      <c r="L8" s="1648" t="s">
        <v>414</v>
      </c>
      <c r="M8" s="821"/>
      <c r="N8" s="1650"/>
      <c r="O8" s="1650"/>
      <c r="P8" s="2541"/>
      <c r="Q8" s="2541"/>
      <c r="R8" s="641">
        <v>1</v>
      </c>
      <c r="S8" s="1620">
        <f>$K8</f>
      </c>
      <c r="T8" s="1631"/>
      <c r="U8" s="584"/>
      <c r="V8" s="1035"/>
      <c r="W8" s="609"/>
      <c r="X8" s="1035"/>
      <c r="Y8" s="1541"/>
      <c r="Z8" s="2549"/>
      <c r="AA8" s="2391" t="s">
        <v>67</v>
      </c>
      <c r="AB8" s="2549"/>
      <c r="AC8" s="2391" t="s">
        <v>67</v>
      </c>
      <c r="AD8" s="1035"/>
      <c r="AE8" s="609"/>
      <c r="AF8" s="1035"/>
      <c r="AG8" s="1541"/>
      <c r="AH8" s="2549"/>
      <c r="AI8" s="2391" t="s">
        <v>67</v>
      </c>
      <c r="AJ8" s="2549"/>
      <c r="AK8" s="2391" t="s">
        <v>67</v>
      </c>
      <c r="AL8" s="609"/>
      <c r="AM8" s="2537" t="s">
        <v>415</v>
      </c>
      <c r="AN8" s="795">
        <f>STRCHECKDATE(V9:AL9)</f>
      </c>
      <c r="AO8" s="784"/>
      <c r="AP8" s="784" t="str">
        <f>IF(T8="","",T8)</f>
        <v/>
      </c>
      <c r="AQ8" s="784"/>
      <c r="AR8" s="784"/>
      <c r="AS8" s="1439">
        <v>0</v>
      </c>
    </row>
    <row customHeight="1" ht="0.75" hidden="1">
      <c r="A9" s="1647"/>
      <c r="B9" s="1647"/>
      <c r="C9" s="1647"/>
      <c r="D9" s="1647"/>
      <c r="E9" s="2543"/>
      <c r="F9" s="2543"/>
      <c r="G9" s="2543"/>
      <c r="H9" s="2543"/>
      <c r="I9" s="2570"/>
      <c r="J9" s="2570"/>
      <c r="K9" s="2540"/>
      <c r="L9" s="1648"/>
      <c r="M9" s="821"/>
      <c r="N9" s="1650"/>
      <c r="O9" s="1650"/>
      <c r="P9" s="2541"/>
      <c r="Q9" s="2541"/>
      <c r="R9" s="641"/>
      <c r="S9" s="1626"/>
      <c r="T9" s="584"/>
      <c r="U9" s="584"/>
      <c r="V9" s="609"/>
      <c r="W9" s="609"/>
      <c r="X9" s="609"/>
      <c r="Y9" s="612" t="str">
        <f>Z8&amp;"-"&amp;AB8</f>
        <v>-</v>
      </c>
      <c r="Z9" s="2550"/>
      <c r="AA9" s="2391"/>
      <c r="AB9" s="2550"/>
      <c r="AC9" s="2391"/>
      <c r="AD9" s="609"/>
      <c r="AE9" s="609"/>
      <c r="AF9" s="609"/>
      <c r="AG9" s="612" t="str">
        <f>AH8&amp;"-"&amp;AJ8</f>
        <v>-</v>
      </c>
      <c r="AH9" s="2550"/>
      <c r="AI9" s="2391"/>
      <c r="AJ9" s="2550"/>
      <c r="AK9" s="2391"/>
      <c r="AL9" s="609"/>
      <c r="AM9" s="2538"/>
      <c r="AO9" s="784"/>
      <c r="AP9" s="784" t="str">
        <f>IF(T9="","",T9)</f>
        <v/>
      </c>
      <c r="AQ9" s="784"/>
      <c r="AR9" s="784"/>
      <c r="AS9" s="1439">
        <v>0</v>
      </c>
    </row>
    <row customHeight="1" ht="15" hidden="1">
      <c r="A10" s="1647"/>
      <c r="B10" s="1647"/>
      <c r="C10" s="1647"/>
      <c r="D10" s="1647"/>
      <c r="E10" s="2543"/>
      <c r="F10" s="2543"/>
      <c r="G10" s="2543"/>
      <c r="H10" s="2543"/>
      <c r="I10" s="2570"/>
      <c r="J10" s="2540"/>
      <c r="K10" s="1647"/>
      <c r="L10" s="1648"/>
      <c r="M10" s="821"/>
      <c r="N10" s="1650"/>
      <c r="P10" s="2541"/>
      <c r="Q10" s="2541"/>
      <c r="R10" s="640"/>
      <c r="S10" s="1562"/>
      <c r="T10" s="572" t="s">
        <v>416</v>
      </c>
      <c r="U10" s="651"/>
      <c r="V10" s="651"/>
      <c r="W10" s="651"/>
      <c r="X10" s="651"/>
      <c r="Y10" s="651"/>
      <c r="Z10" s="651"/>
      <c r="AA10" s="651"/>
      <c r="AB10" s="651"/>
      <c r="AC10" s="651"/>
      <c r="AD10" s="651"/>
      <c r="AE10" s="651"/>
      <c r="AF10" s="651"/>
      <c r="AG10" s="651"/>
      <c r="AH10" s="651"/>
      <c r="AI10" s="651"/>
      <c r="AJ10" s="651"/>
      <c r="AK10" s="651"/>
      <c r="AL10" s="608"/>
      <c r="AM10" s="2539"/>
      <c r="AO10" s="784"/>
      <c r="AP10" s="784" t="str">
        <f>IF(T10="","",T10)</f>
        <v>Добавить вид теплоносителя (параметры теплоносителя)</v>
      </c>
      <c r="AQ10" s="784"/>
      <c r="AR10" s="784"/>
      <c r="AS10" s="1439">
        <v>0</v>
      </c>
    </row>
    <row customHeight="1" ht="15" hidden="1">
      <c r="A11" s="1647"/>
      <c r="B11" s="1647"/>
      <c r="C11" s="1647"/>
      <c r="D11" s="1647"/>
      <c r="E11" s="2543"/>
      <c r="F11" s="2543"/>
      <c r="G11" s="2543"/>
      <c r="H11" s="2543"/>
      <c r="I11" s="2540"/>
      <c r="J11" s="1647"/>
      <c r="K11" s="1647"/>
      <c r="L11" s="1648"/>
      <c r="M11" s="821"/>
      <c r="P11" s="2541"/>
      <c r="Q11" s="1615"/>
      <c r="R11" s="640"/>
      <c r="S11" s="1562"/>
      <c r="T11" s="571" t="s">
        <v>417</v>
      </c>
      <c r="U11" s="651"/>
      <c r="V11" s="651"/>
      <c r="W11" s="651"/>
      <c r="X11" s="651"/>
      <c r="Y11" s="651"/>
      <c r="Z11" s="651"/>
      <c r="AA11" s="651"/>
      <c r="AB11" s="651"/>
      <c r="AC11" s="650"/>
      <c r="AD11" s="651"/>
      <c r="AE11" s="651"/>
      <c r="AF11" s="651"/>
      <c r="AG11" s="651"/>
      <c r="AH11" s="651"/>
      <c r="AI11" s="651"/>
      <c r="AJ11" s="651"/>
      <c r="AK11" s="650"/>
      <c r="AL11" s="651"/>
      <c r="AM11" s="587"/>
      <c r="AO11" s="784"/>
      <c r="AP11" s="784" t="str">
        <f>IF(T11="","",T11)</f>
        <v>Добавить группу потребителей</v>
      </c>
      <c r="AQ11" s="784"/>
      <c r="AR11" s="784"/>
      <c r="AS11" s="1439">
        <v>0</v>
      </c>
    </row>
    <row customHeight="1" ht="14.25" hidden="1">
      <c r="A12" s="1647"/>
      <c r="B12" s="1647"/>
      <c r="C12" s="1647"/>
      <c r="D12" s="1647"/>
      <c r="E12" s="2543"/>
      <c r="F12" s="2543"/>
      <c r="G12" s="2543"/>
      <c r="H12" s="2542"/>
      <c r="I12" s="1647"/>
      <c r="J12" s="1647"/>
      <c r="K12" s="1647"/>
      <c r="L12" s="1648"/>
      <c r="M12" s="1649"/>
      <c r="N12" s="1649"/>
      <c r="O12" s="821"/>
      <c r="P12" s="644"/>
      <c r="Q12" s="659"/>
      <c r="R12" s="639"/>
      <c r="S12" s="1562"/>
      <c r="T12" s="649" t="s">
        <v>418</v>
      </c>
      <c r="U12" s="651"/>
      <c r="V12" s="651"/>
      <c r="W12" s="651"/>
      <c r="X12" s="651"/>
      <c r="Y12" s="651"/>
      <c r="Z12" s="651"/>
      <c r="AA12" s="651"/>
      <c r="AB12" s="651"/>
      <c r="AC12" s="650"/>
      <c r="AD12" s="651"/>
      <c r="AE12" s="651"/>
      <c r="AF12" s="651"/>
      <c r="AG12" s="651"/>
      <c r="AH12" s="651"/>
      <c r="AI12" s="651"/>
      <c r="AJ12" s="651"/>
      <c r="AK12" s="650"/>
      <c r="AL12" s="651"/>
      <c r="AM12" s="587"/>
      <c r="AO12" s="784"/>
      <c r="AP12" s="784" t="str">
        <f>IF(T12="","",T12)</f>
        <v>Добавить схему подключения</v>
      </c>
      <c r="AQ12" s="784"/>
      <c r="AR12" s="784"/>
      <c r="AS12" s="1439">
        <v>0</v>
      </c>
    </row>
    <row s="14158" customFormat="1" customHeight="1" ht="0.75" hidden="1">
      <c r="A13" s="1598"/>
      <c r="B13" s="1598"/>
      <c r="C13" s="1598"/>
      <c r="D13" s="1598"/>
      <c r="E13" s="2543"/>
      <c r="F13" s="2543"/>
      <c r="G13" s="2542"/>
      <c r="H13" s="1598"/>
      <c r="I13" s="1598"/>
      <c r="J13" s="1598"/>
      <c r="K13" s="1598"/>
      <c r="L13" s="1623"/>
      <c r="M13" s="1599"/>
      <c r="N13" s="1599"/>
      <c r="P13" s="1600"/>
      <c r="Q13" s="1601"/>
      <c r="R13" s="1600"/>
      <c r="S13" s="1602"/>
      <c r="T13" s="1603" t="s">
        <v>169</v>
      </c>
      <c r="U13" s="1604"/>
      <c r="V13" s="1604"/>
      <c r="W13" s="1604"/>
      <c r="X13" s="1604"/>
      <c r="Y13" s="1604"/>
      <c r="Z13" s="1604"/>
      <c r="AA13" s="1604"/>
      <c r="AB13" s="1604"/>
      <c r="AC13" s="1604"/>
      <c r="AD13" s="1604"/>
      <c r="AE13" s="1604"/>
      <c r="AF13" s="1604"/>
      <c r="AG13" s="1604"/>
      <c r="AH13" s="1604"/>
      <c r="AI13" s="1604"/>
      <c r="AJ13" s="1604"/>
      <c r="AK13" s="1604"/>
      <c r="AL13" s="1604"/>
      <c r="AM13" s="1604"/>
      <c r="AO13" s="1073"/>
      <c r="AP13" s="1073" t="str">
        <f>IF(T13="","",T13)</f>
        <v>Добавить источник для дифференциации</v>
      </c>
      <c r="AQ13" s="1073"/>
      <c r="AR13" s="1073"/>
      <c r="AS13" s="802">
        <v>0</v>
      </c>
    </row>
    <row s="14158" customFormat="1" customHeight="1" ht="0.75" hidden="1">
      <c r="A14" s="1598"/>
      <c r="B14" s="1598"/>
      <c r="C14" s="1598"/>
      <c r="D14" s="1598"/>
      <c r="E14" s="2543"/>
      <c r="F14" s="2542"/>
      <c r="G14" s="1598"/>
      <c r="H14" s="1598"/>
      <c r="I14" s="1598"/>
      <c r="J14" s="1598"/>
      <c r="K14" s="1598"/>
      <c r="L14" s="1623"/>
      <c r="M14" s="1605"/>
      <c r="N14" s="1605"/>
      <c r="P14" s="1600"/>
      <c r="Q14" s="1601"/>
      <c r="R14" s="1600"/>
      <c r="S14" s="1606"/>
      <c r="T14" s="1607" t="s">
        <v>170</v>
      </c>
      <c r="U14" s="1608"/>
      <c r="V14" s="1608"/>
      <c r="W14" s="1608"/>
      <c r="X14" s="1608"/>
      <c r="Y14" s="1608"/>
      <c r="Z14" s="1608"/>
      <c r="AA14" s="1608"/>
      <c r="AB14" s="1608"/>
      <c r="AC14" s="1608"/>
      <c r="AD14" s="1608"/>
      <c r="AE14" s="1608"/>
      <c r="AF14" s="1608"/>
      <c r="AG14" s="1608"/>
      <c r="AH14" s="1608"/>
      <c r="AI14" s="1608"/>
      <c r="AJ14" s="1608"/>
      <c r="AK14" s="1608"/>
      <c r="AL14" s="1608"/>
      <c r="AM14" s="1608"/>
      <c r="AO14" s="1073"/>
      <c r="AP14" s="1073" t="str">
        <f>IF(T14="","",T14)</f>
        <v>Добавить централизованную систему для дифференциации</v>
      </c>
      <c r="AQ14" s="1073"/>
      <c r="AR14" s="1073"/>
      <c r="AS14" s="802">
        <v>0</v>
      </c>
    </row>
    <row s="14158" customFormat="1" customHeight="1" ht="0.75" hidden="1">
      <c r="A15" s="1598"/>
      <c r="B15" s="1598"/>
      <c r="C15" s="1598"/>
      <c r="D15" s="1598"/>
      <c r="E15" s="2542"/>
      <c r="F15" s="1598"/>
      <c r="G15" s="1598"/>
      <c r="H15" s="1598"/>
      <c r="I15" s="1598"/>
      <c r="J15" s="1598"/>
      <c r="K15" s="1598"/>
      <c r="L15" s="1623"/>
      <c r="M15" s="1605"/>
      <c r="N15" s="1605"/>
      <c r="P15" s="1600"/>
      <c r="Q15" s="1601"/>
      <c r="R15" s="1600"/>
      <c r="S15" s="1606"/>
      <c r="T15" s="1609" t="s">
        <v>171</v>
      </c>
      <c r="U15" s="1608"/>
      <c r="V15" s="1608"/>
      <c r="W15" s="1608"/>
      <c r="X15" s="1608"/>
      <c r="Y15" s="1608"/>
      <c r="Z15" s="1608"/>
      <c r="AA15" s="1608"/>
      <c r="AB15" s="1608"/>
      <c r="AC15" s="1608"/>
      <c r="AD15" s="1608"/>
      <c r="AE15" s="1608"/>
      <c r="AF15" s="1608"/>
      <c r="AG15" s="1608"/>
      <c r="AH15" s="1608"/>
      <c r="AI15" s="1608"/>
      <c r="AJ15" s="1608"/>
      <c r="AK15" s="1608"/>
      <c r="AL15" s="1608"/>
      <c r="AM15" s="1608"/>
      <c r="AO15" s="1073"/>
      <c r="AP15" s="1073" t="str">
        <f>IF(T15="","",T15)</f>
        <v>Добавить территорию для дифференциации</v>
      </c>
      <c r="AQ15" s="1073"/>
      <c r="AR15" s="1073"/>
      <c r="AS15" s="802">
        <v>0</v>
      </c>
    </row>
    <row customHeight="1" ht="14.25" hidden="1">
      <c r="AC16" s="611"/>
      <c r="AK16" s="611"/>
      <c r="AS16" s="1439">
        <v>0</v>
      </c>
    </row>
    <row customHeight="1" ht="14.25" hidden="1">
      <c r="AD17" s="1644"/>
      <c r="AE17" s="1644"/>
      <c r="AF17" s="1644"/>
      <c r="AG17" s="1645"/>
      <c r="AH17" s="2551"/>
      <c r="AI17" s="2552" t="s">
        <v>67</v>
      </c>
      <c r="AJ17" s="2551"/>
      <c r="AK17" s="2552" t="s">
        <v>67</v>
      </c>
      <c r="AS17" s="1439">
        <v>0</v>
      </c>
    </row>
    <row customHeight="1" ht="14.25" hidden="1">
      <c r="AD18" s="1644"/>
      <c r="AE18" s="1644"/>
      <c r="AF18" s="1644"/>
      <c r="AG18" s="612" t="str">
        <f>AH17&amp;"-"&amp;AJ17</f>
        <v>-</v>
      </c>
      <c r="AH18" s="2552"/>
      <c r="AI18" s="2552"/>
      <c r="AJ18" s="2552"/>
      <c r="AK18" s="2552"/>
      <c r="AS18" s="1439">
        <v>0</v>
      </c>
    </row>
    <row customHeight="1" ht="14.25" hidden="1">
      <c r="AK19" s="611"/>
      <c r="AS19" s="1439">
        <v>0</v>
      </c>
    </row>
    <row s="14157" customFormat="1" customHeight="1" ht="22.5" hidden="1">
      <c r="L20" s="1613"/>
      <c r="M20" s="1646"/>
      <c r="N20" s="1646"/>
      <c r="O20" s="1651" t="s">
        <v>419</v>
      </c>
      <c r="P20" s="1646"/>
      <c r="Q20" s="1655"/>
      <c r="R20" s="1655"/>
      <c r="S20" s="1013"/>
      <c r="Z20" s="1651"/>
      <c r="AB20" s="1651"/>
      <c r="AC20" s="1650"/>
      <c r="AH20" s="1651"/>
      <c r="AJ20" s="1651"/>
      <c r="AK20" s="1650"/>
      <c r="AN20" s="795"/>
      <c r="AO20" s="795"/>
      <c r="AP20" s="795"/>
      <c r="AQ20" s="795"/>
      <c r="AR20" s="795"/>
      <c r="AS20" s="1444">
        <v>0</v>
      </c>
    </row>
    <row s="14157" customFormat="1" customHeight="1" ht="14.25" hidden="1">
      <c r="L21" s="1613"/>
      <c r="M21" s="1646"/>
      <c r="N21" s="1646"/>
      <c r="O21" s="1646"/>
      <c r="P21" s="1646"/>
      <c r="Q21" s="1655"/>
      <c r="R21" s="1655"/>
      <c r="S21" s="1013"/>
      <c r="AC21" s="1650"/>
      <c r="AK21" s="1650"/>
      <c r="AN21" s="795"/>
      <c r="AO21" s="795"/>
      <c r="AP21" s="795"/>
      <c r="AQ21" s="795"/>
      <c r="AR21" s="795"/>
      <c r="AS21" s="1444">
        <v>0</v>
      </c>
    </row>
    <row s="14157" customFormat="1" customHeight="1" ht="14.25" hidden="1">
      <c r="L22" s="1613"/>
      <c r="M22" s="1646"/>
      <c r="N22" s="1646"/>
      <c r="O22" s="1648" t="s">
        <v>420</v>
      </c>
      <c r="P22" s="1646"/>
      <c r="Q22" s="1655"/>
      <c r="R22" s="1655"/>
      <c r="S22" s="1013"/>
      <c r="T22" s="1444" t="s">
        <v>421</v>
      </c>
      <c r="AA22" s="470" t="s">
        <v>422</v>
      </c>
      <c r="AC22" s="470" t="s">
        <v>423</v>
      </c>
      <c r="AD22" s="1444" t="s">
        <v>421</v>
      </c>
      <c r="AI22" s="470" t="s">
        <v>424</v>
      </c>
      <c r="AK22" s="470" t="s">
        <v>423</v>
      </c>
      <c r="AN22" s="795"/>
      <c r="AO22" s="795"/>
      <c r="AP22" s="795"/>
      <c r="AQ22" s="795"/>
      <c r="AR22" s="795"/>
      <c r="AS22" s="1444">
        <v>0</v>
      </c>
    </row>
    <row customHeight="1" ht="14.25" hidden="1">
      <c r="O23" s="1648"/>
      <c r="AS23" s="1439">
        <v>0</v>
      </c>
    </row>
    <row customHeight="1" ht="14.25" hidden="1">
      <c r="O24" s="1648"/>
      <c r="AS24" s="1439">
        <v>0</v>
      </c>
    </row>
    <row customHeight="1" ht="14.699999999999998">
      <c r="Q25" s="660"/>
      <c r="R25" s="660"/>
      <c r="S25" s="1559"/>
      <c r="T25" s="647"/>
      <c r="U25" s="647"/>
      <c r="V25" s="793"/>
      <c r="W25" s="793"/>
      <c r="X25" s="793"/>
      <c r="Y25" s="793"/>
      <c r="Z25" s="793"/>
      <c r="AA25" s="793"/>
      <c r="AB25" s="793"/>
      <c r="AC25" s="793"/>
      <c r="AD25" s="793"/>
      <c r="AE25" s="793"/>
      <c r="AF25" s="793"/>
      <c r="AG25" s="793"/>
      <c r="AH25" s="793"/>
      <c r="AI25" s="793"/>
      <c r="AJ25" s="793"/>
      <c r="AK25" s="793"/>
      <c r="AS25" s="1439">
        <v>14</v>
      </c>
    </row>
    <row customHeight="1" ht="14.699999999999998">
      <c r="Q26" s="660"/>
      <c r="R26" s="660"/>
      <c r="S26" s="2532"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532"/>
      <c r="U26" s="2532"/>
      <c r="V26" s="2532"/>
      <c r="W26" s="2532"/>
      <c r="X26" s="2532"/>
      <c r="Y26" s="2532"/>
      <c r="Z26" s="2532"/>
      <c r="AA26" s="2532"/>
      <c r="AB26" s="2532"/>
      <c r="AC26" s="2532"/>
      <c r="AD26" s="2532"/>
      <c r="AE26" s="2532"/>
      <c r="AF26" s="2532"/>
      <c r="AG26" s="2532"/>
      <c r="AH26" s="2532"/>
      <c r="AI26" s="2532"/>
      <c r="AJ26" s="2532"/>
      <c r="AK26" s="1527"/>
      <c r="AS26" s="1439">
        <v>14</v>
      </c>
    </row>
    <row customHeight="1" ht="14.699999999999998">
      <c r="Q27" s="660"/>
      <c r="R27" s="660"/>
      <c r="S27" s="2533" t="str">
        <f>IF(org=0,"Не определено",org)</f>
        <v>МУП г. Азова "Теплоэнерго"</v>
      </c>
      <c r="T27" s="2533"/>
      <c r="U27" s="2533"/>
      <c r="V27" s="2533"/>
      <c r="W27" s="2533"/>
      <c r="X27" s="2533"/>
      <c r="Y27" s="2533"/>
      <c r="Z27" s="2533"/>
      <c r="AA27" s="2533"/>
      <c r="AB27" s="2533"/>
      <c r="AC27" s="2533"/>
      <c r="AD27" s="2533"/>
      <c r="AE27" s="2533"/>
      <c r="AF27" s="2533"/>
      <c r="AG27" s="2533"/>
      <c r="AH27" s="2533"/>
      <c r="AI27" s="2533"/>
      <c r="AJ27" s="2533"/>
      <c r="AK27" s="1527"/>
      <c r="AS27" s="1439">
        <v>14</v>
      </c>
    </row>
    <row customHeight="1" ht="14.25" hidden="1">
      <c r="Q28" s="660"/>
      <c r="R28" s="660"/>
      <c r="S28" s="1559"/>
      <c r="T28" s="647"/>
      <c r="U28" s="647"/>
      <c r="V28" s="606"/>
      <c r="W28" s="606"/>
      <c r="X28" s="606"/>
      <c r="Y28" s="606"/>
      <c r="Z28" s="606"/>
      <c r="AA28" s="606"/>
      <c r="AB28" s="606"/>
      <c r="AC28" s="606"/>
      <c r="AD28" s="606"/>
      <c r="AE28" s="606"/>
      <c r="AF28" s="606"/>
      <c r="AG28" s="606"/>
      <c r="AH28" s="606"/>
      <c r="AI28" s="606"/>
      <c r="AJ28" s="606"/>
      <c r="AK28" s="606"/>
      <c r="AL28" s="793"/>
      <c r="AS28" s="1439">
        <v>0</v>
      </c>
    </row>
    <row s="14284" customFormat="1" customHeight="1" ht="25.5" hidden="1">
      <c r="A29" s="1652"/>
      <c r="B29" s="1652"/>
      <c r="C29" s="1652"/>
      <c r="D29" s="1652"/>
      <c r="E29" s="1652"/>
      <c r="F29" s="1652"/>
      <c r="G29" s="1652"/>
      <c r="H29" s="1652"/>
      <c r="I29" s="1652"/>
      <c r="J29" s="1652"/>
      <c r="K29" s="1652"/>
      <c r="L29" s="1653"/>
      <c r="M29" s="1652"/>
      <c r="N29" s="1652"/>
      <c r="O29" s="1652"/>
      <c r="S29" s="2534" t="s">
        <v>42</v>
      </c>
      <c r="T29" s="2534"/>
      <c r="U29" s="1656"/>
      <c r="V29" s="2535" t="str">
        <f>IF(TITLE_NAME_OR_PR_CHANGE="",IF(TITLE_NAME_OR_PR="","",TITLE_NAME_OR_PR),TITLE_NAME_OR_PR_CHANGE)</f>
        <v/>
      </c>
      <c r="W29" s="2535"/>
      <c r="X29" s="2535"/>
      <c r="Y29" s="2535"/>
      <c r="Z29" s="2535"/>
      <c r="AA29" s="2535"/>
      <c r="AB29" s="2535"/>
      <c r="AC29" s="610"/>
      <c r="AD29" s="2535" t="str">
        <f>IF(TITLE_NAME_OR_PR_CHANGE="",IF(TITLE_NAME_OR_PR="","",TITLE_NAME_OR_PR),TITLE_NAME_OR_PR_CHANGE)</f>
        <v/>
      </c>
      <c r="AE29" s="2535"/>
      <c r="AF29" s="2535"/>
      <c r="AG29" s="2535"/>
      <c r="AH29" s="2535"/>
      <c r="AI29" s="2535"/>
      <c r="AJ29" s="2535"/>
      <c r="AK29" s="610"/>
      <c r="AL29" s="610"/>
      <c r="AM29" s="564"/>
      <c r="AN29" s="652"/>
      <c r="AO29" s="652"/>
      <c r="AP29" s="652"/>
      <c r="AQ29" s="652"/>
      <c r="AR29" s="652"/>
      <c r="AS29" s="702">
        <v>0</v>
      </c>
    </row>
    <row s="14284" customFormat="1" customHeight="1" ht="18.75" hidden="1">
      <c r="A30" s="1652"/>
      <c r="B30" s="1652"/>
      <c r="C30" s="1652"/>
      <c r="D30" s="1652"/>
      <c r="E30" s="1652"/>
      <c r="F30" s="1652"/>
      <c r="G30" s="1652"/>
      <c r="H30" s="1652"/>
      <c r="I30" s="1652"/>
      <c r="J30" s="1652"/>
      <c r="K30" s="1652"/>
      <c r="L30" s="1653"/>
      <c r="M30" s="1652"/>
      <c r="N30" s="1652"/>
      <c r="O30" s="1652"/>
      <c r="S30" s="2534" t="s">
        <v>425</v>
      </c>
      <c r="T30" s="2534"/>
      <c r="U30" s="1656"/>
      <c r="V30" s="2548" t="str">
        <f>IF(TITLE_DATE_PR_CHANGE="",IF(TITLE_DATE_PR="","",TITLE_DATE_PR),TITLE_DATE_PR_CHANGE)</f>
        <v>45471</v>
      </c>
      <c r="W30" s="2548"/>
      <c r="X30" s="2548"/>
      <c r="Y30" s="2548"/>
      <c r="Z30" s="2548"/>
      <c r="AA30" s="2548"/>
      <c r="AB30" s="2548"/>
      <c r="AC30" s="610"/>
      <c r="AD30" s="2548" t="str">
        <f>IF(TITLE_DATE_PR_CHANGE="",IF(TITLE_DATE_PR="","",TITLE_DATE_PR),TITLE_DATE_PR_CHANGE)</f>
        <v>45471</v>
      </c>
      <c r="AE30" s="2548"/>
      <c r="AF30" s="2548"/>
      <c r="AG30" s="2548"/>
      <c r="AH30" s="2548"/>
      <c r="AI30" s="2548"/>
      <c r="AJ30" s="2548"/>
      <c r="AK30" s="610"/>
      <c r="AL30" s="610"/>
      <c r="AM30" s="564"/>
      <c r="AN30" s="652"/>
      <c r="AO30" s="652"/>
      <c r="AP30" s="652"/>
      <c r="AQ30" s="652"/>
      <c r="AR30" s="652"/>
      <c r="AS30" s="702">
        <v>0</v>
      </c>
    </row>
    <row s="14284" customFormat="1" customHeight="1" ht="18.75" hidden="1">
      <c r="A31" s="1652"/>
      <c r="B31" s="1652"/>
      <c r="C31" s="1652"/>
      <c r="D31" s="1652"/>
      <c r="E31" s="1652"/>
      <c r="F31" s="1652"/>
      <c r="G31" s="1652"/>
      <c r="H31" s="1652"/>
      <c r="I31" s="1652"/>
      <c r="J31" s="1652"/>
      <c r="K31" s="1652"/>
      <c r="L31" s="1653"/>
      <c r="M31" s="1652"/>
      <c r="N31" s="1652"/>
      <c r="O31" s="1652"/>
      <c r="S31" s="2534" t="s">
        <v>426</v>
      </c>
      <c r="T31" s="2534"/>
      <c r="U31" s="1656"/>
      <c r="V31" s="2535" t="str">
        <f>IF(TITLE_NUMBER_PR_CHANGE="",IF(TITLE_NUMBER_PR="","",TITLE_NUMBER_PR),TITLE_NUMBER_PR_CHANGE)</f>
        <v>50/18-01/261</v>
      </c>
      <c r="W31" s="2535"/>
      <c r="X31" s="2535"/>
      <c r="Y31" s="2535"/>
      <c r="Z31" s="2535"/>
      <c r="AA31" s="2535"/>
      <c r="AB31" s="2535"/>
      <c r="AC31" s="610"/>
      <c r="AD31" s="2535" t="str">
        <f>IF(TITLE_NUMBER_PR_CHANGE="",IF(TITLE_NUMBER_PR="","",TITLE_NUMBER_PR),TITLE_NUMBER_PR_CHANGE)</f>
        <v>50/18-01/261</v>
      </c>
      <c r="AE31" s="2535"/>
      <c r="AF31" s="2535"/>
      <c r="AG31" s="2535"/>
      <c r="AH31" s="2535"/>
      <c r="AI31" s="2535"/>
      <c r="AJ31" s="2535"/>
      <c r="AK31" s="610"/>
      <c r="AL31" s="610"/>
      <c r="AM31" s="564"/>
      <c r="AN31" s="652"/>
      <c r="AO31" s="652"/>
      <c r="AP31" s="652"/>
      <c r="AQ31" s="652"/>
      <c r="AR31" s="652"/>
      <c r="AS31" s="702">
        <v>0</v>
      </c>
    </row>
    <row s="14284" customFormat="1" customHeight="1" ht="18.75" hidden="1">
      <c r="A32" s="1652"/>
      <c r="B32" s="1652"/>
      <c r="C32" s="1652"/>
      <c r="D32" s="1652"/>
      <c r="E32" s="1652"/>
      <c r="F32" s="1652"/>
      <c r="G32" s="1652"/>
      <c r="H32" s="1652"/>
      <c r="I32" s="1652"/>
      <c r="J32" s="1652"/>
      <c r="K32" s="1652"/>
      <c r="L32" s="1653"/>
      <c r="M32" s="1652"/>
      <c r="N32" s="1652"/>
      <c r="O32" s="1652"/>
      <c r="S32" s="2534" t="s">
        <v>43</v>
      </c>
      <c r="T32" s="2534"/>
      <c r="U32" s="1656"/>
      <c r="V32" s="2535" t="str">
        <f>IF(TITLE_IST_PUB_CHANGE="",IF(TITLE_IST_PUB="","",TITLE_IST_PUB),TITLE_IST_PUB_CHANGE)</f>
        <v/>
      </c>
      <c r="W32" s="2535"/>
      <c r="X32" s="2535"/>
      <c r="Y32" s="2535"/>
      <c r="Z32" s="2535"/>
      <c r="AA32" s="2535"/>
      <c r="AB32" s="2535"/>
      <c r="AC32" s="610"/>
      <c r="AD32" s="2535" t="str">
        <f>IF(TITLE_IST_PUB_CHANGE="",IF(TITLE_IST_PUB="","",TITLE_IST_PUB),TITLE_IST_PUB_CHANGE)</f>
        <v/>
      </c>
      <c r="AE32" s="2535"/>
      <c r="AF32" s="2535"/>
      <c r="AG32" s="2535"/>
      <c r="AH32" s="2535"/>
      <c r="AI32" s="2535"/>
      <c r="AJ32" s="2535"/>
      <c r="AK32" s="610"/>
      <c r="AL32" s="610"/>
      <c r="AM32" s="564"/>
      <c r="AN32" s="652"/>
      <c r="AO32" s="652"/>
      <c r="AP32" s="652"/>
      <c r="AQ32" s="652"/>
      <c r="AR32" s="652"/>
      <c r="AS32" s="702">
        <v>0</v>
      </c>
    </row>
    <row customHeight="1" ht="14.25">
      <c r="Q33" s="660"/>
      <c r="R33" s="660"/>
      <c r="S33" s="1559"/>
      <c r="T33" s="647"/>
      <c r="U33" s="647"/>
      <c r="V33" s="606"/>
      <c r="W33" s="606"/>
      <c r="X33" s="606"/>
      <c r="Y33" s="606"/>
      <c r="Z33" s="606"/>
      <c r="AA33" s="606"/>
      <c r="AB33" s="606"/>
      <c r="AC33" s="606"/>
      <c r="AD33" s="606"/>
      <c r="AE33" s="606"/>
      <c r="AF33" s="606"/>
      <c r="AG33" s="606"/>
      <c r="AH33" s="606"/>
      <c r="AI33" s="606"/>
      <c r="AJ33" s="606"/>
      <c r="AK33" s="606"/>
      <c r="AL33" s="793"/>
      <c r="AS33" s="1439">
        <v>0</v>
      </c>
    </row>
    <row s="14284" customFormat="1" customHeight="1" ht="18.75">
      <c r="A34" s="1652"/>
      <c r="B34" s="1652"/>
      <c r="C34" s="1652"/>
      <c r="D34" s="1652"/>
      <c r="E34" s="1652"/>
      <c r="F34" s="1652"/>
      <c r="G34" s="1652"/>
      <c r="H34" s="1652"/>
      <c r="I34" s="1652"/>
      <c r="J34" s="1652"/>
      <c r="K34" s="1652"/>
      <c r="L34" s="1653"/>
      <c r="M34" s="1652"/>
      <c r="N34" s="1652"/>
      <c r="O34" s="1652"/>
      <c r="S34" s="2534" t="s">
        <v>427</v>
      </c>
      <c r="T34" s="2534"/>
      <c r="U34" s="1656"/>
      <c r="V34" s="2548" t="str">
        <f>IF(TITLE_DATE_PR_CHANGE="",IF(TITLE_DATE_PR="","",TITLE_DATE_PR),TITLE_DATE_PR_CHANGE)</f>
        <v>45471</v>
      </c>
      <c r="W34" s="2548"/>
      <c r="X34" s="2548"/>
      <c r="Y34" s="2548"/>
      <c r="Z34" s="2548"/>
      <c r="AA34" s="2548"/>
      <c r="AB34" s="2548"/>
      <c r="AC34" s="610"/>
      <c r="AD34" s="2548" t="str">
        <f>IF(TITLE_DATE_PR_CHANGE="",IF(TITLE_DATE_PR="","",TITLE_DATE_PR),TITLE_DATE_PR_CHANGE)</f>
        <v>45471</v>
      </c>
      <c r="AE34" s="2548"/>
      <c r="AF34" s="2548"/>
      <c r="AG34" s="2548"/>
      <c r="AH34" s="2548"/>
      <c r="AI34" s="2548"/>
      <c r="AJ34" s="2548"/>
      <c r="AK34" s="610"/>
      <c r="AL34" s="610"/>
      <c r="AM34" s="564"/>
      <c r="AN34" s="652"/>
      <c r="AO34" s="652"/>
      <c r="AP34" s="652"/>
      <c r="AQ34" s="652"/>
      <c r="AR34" s="652"/>
      <c r="AS34" s="702">
        <v>0</v>
      </c>
    </row>
    <row s="14284" customFormat="1" customHeight="1" ht="18.75">
      <c r="A35" s="1652"/>
      <c r="B35" s="1652"/>
      <c r="C35" s="1652"/>
      <c r="D35" s="1652"/>
      <c r="E35" s="1652"/>
      <c r="F35" s="1652"/>
      <c r="G35" s="1652"/>
      <c r="H35" s="1652"/>
      <c r="I35" s="1652"/>
      <c r="J35" s="1652"/>
      <c r="K35" s="1652"/>
      <c r="L35" s="1653"/>
      <c r="M35" s="1652"/>
      <c r="N35" s="1652"/>
      <c r="O35" s="1652"/>
      <c r="S35" s="2534" t="s">
        <v>428</v>
      </c>
      <c r="T35" s="2534"/>
      <c r="U35" s="1656"/>
      <c r="V35" s="2535" t="str">
        <f>IF(TITLE_NUMBER_PR_CHANGE="",IF(TITLE_NUMBER_PR="","",TITLE_NUMBER_PR),TITLE_NUMBER_PR_CHANGE)</f>
        <v>50/18-01/261</v>
      </c>
      <c r="W35" s="2535"/>
      <c r="X35" s="2535"/>
      <c r="Y35" s="2535"/>
      <c r="Z35" s="2535"/>
      <c r="AA35" s="2535"/>
      <c r="AB35" s="2535"/>
      <c r="AC35" s="610"/>
      <c r="AD35" s="2535" t="str">
        <f>IF(TITLE_NUMBER_PR_CHANGE="",IF(TITLE_NUMBER_PR="","",TITLE_NUMBER_PR),TITLE_NUMBER_PR_CHANGE)</f>
        <v>50/18-01/261</v>
      </c>
      <c r="AE35" s="2535"/>
      <c r="AF35" s="2535"/>
      <c r="AG35" s="2535"/>
      <c r="AH35" s="2535"/>
      <c r="AI35" s="2535"/>
      <c r="AJ35" s="2535"/>
      <c r="AK35" s="610"/>
      <c r="AL35" s="610"/>
      <c r="AM35" s="564"/>
      <c r="AN35" s="652"/>
      <c r="AO35" s="652"/>
      <c r="AP35" s="652"/>
      <c r="AQ35" s="652"/>
      <c r="AR35" s="652"/>
      <c r="AS35" s="702">
        <v>0</v>
      </c>
    </row>
    <row s="14284" customFormat="1" customHeight="1" ht="0">
      <c r="A36" s="1652"/>
      <c r="B36" s="1652"/>
      <c r="C36" s="1652"/>
      <c r="D36" s="1652"/>
      <c r="E36" s="1652"/>
      <c r="F36" s="1652"/>
      <c r="G36" s="1652"/>
      <c r="H36" s="1652"/>
      <c r="I36" s="1652"/>
      <c r="J36" s="1652"/>
      <c r="K36" s="1652"/>
      <c r="L36" s="1653"/>
      <c r="M36" s="1652"/>
      <c r="N36" s="1652"/>
      <c r="O36" s="1652"/>
      <c r="S36" s="607"/>
      <c r="T36" s="607"/>
      <c r="U36" s="1624"/>
      <c r="V36" s="610"/>
      <c r="W36" s="610"/>
      <c r="X36" s="610"/>
      <c r="Y36" s="610"/>
      <c r="Z36" s="610"/>
      <c r="AA36" s="610"/>
      <c r="AB36" s="610"/>
      <c r="AC36" s="562" t="s">
        <v>429</v>
      </c>
      <c r="AD36" s="610"/>
      <c r="AE36" s="610"/>
      <c r="AF36" s="610"/>
      <c r="AG36" s="610"/>
      <c r="AH36" s="610"/>
      <c r="AI36" s="610"/>
      <c r="AJ36" s="610"/>
      <c r="AK36" s="562" t="s">
        <v>429</v>
      </c>
      <c r="AN36" s="652"/>
      <c r="AO36" s="652"/>
      <c r="AP36" s="652"/>
      <c r="AQ36" s="652"/>
      <c r="AR36" s="652"/>
      <c r="AS36" s="702">
        <v>0</v>
      </c>
    </row>
    <row customHeight="1" ht="14.699999999999998">
      <c r="Q37" s="660"/>
      <c r="R37" s="660"/>
      <c r="S37" s="1559"/>
      <c r="T37" s="647"/>
      <c r="U37" s="1528"/>
      <c r="V37" s="2536"/>
      <c r="W37" s="2536"/>
      <c r="X37" s="2536"/>
      <c r="Y37" s="2536"/>
      <c r="Z37" s="2536"/>
      <c r="AA37" s="2536"/>
      <c r="AB37" s="2536"/>
      <c r="AC37" s="2536"/>
      <c r="AD37" s="2536"/>
      <c r="AE37" s="2536"/>
      <c r="AF37" s="2536"/>
      <c r="AG37" s="2536"/>
      <c r="AH37" s="2536"/>
      <c r="AI37" s="2536"/>
      <c r="AJ37" s="2536"/>
      <c r="AK37" s="2536"/>
      <c r="AS37" s="1439">
        <v>14</v>
      </c>
    </row>
    <row customHeight="1" ht="14.699999999999998">
      <c r="Q38" s="660"/>
      <c r="R38" s="660"/>
      <c r="S38" s="2411" t="s">
        <v>305</v>
      </c>
      <c r="T38" s="2411"/>
      <c r="U38" s="2411"/>
      <c r="V38" s="2411"/>
      <c r="W38" s="2411"/>
      <c r="X38" s="2411"/>
      <c r="Y38" s="2411"/>
      <c r="Z38" s="2411"/>
      <c r="AA38" s="2411"/>
      <c r="AB38" s="2411"/>
      <c r="AC38" s="2411"/>
      <c r="AD38" s="2411"/>
      <c r="AE38" s="2411"/>
      <c r="AF38" s="2411"/>
      <c r="AG38" s="2411"/>
      <c r="AH38" s="2411"/>
      <c r="AI38" s="2411"/>
      <c r="AJ38" s="2411"/>
      <c r="AK38" s="2411"/>
      <c r="AL38" s="2411"/>
      <c r="AM38" s="2411" t="s">
        <v>306</v>
      </c>
      <c r="AS38" s="1439">
        <v>14</v>
      </c>
    </row>
    <row customHeight="1" ht="14.699999999999998">
      <c r="Q39" s="660"/>
      <c r="R39" s="660"/>
      <c r="S39" s="2557" t="s">
        <v>89</v>
      </c>
      <c r="T39" s="2493" t="s">
        <v>430</v>
      </c>
      <c r="U39" s="585"/>
      <c r="V39" s="2558" t="s">
        <v>431</v>
      </c>
      <c r="W39" s="2559"/>
      <c r="X39" s="2559"/>
      <c r="Y39" s="2559"/>
      <c r="Z39" s="2559"/>
      <c r="AA39" s="2559"/>
      <c r="AB39" s="2560"/>
      <c r="AC39" s="2561" t="s">
        <v>432</v>
      </c>
      <c r="AD39" s="2558" t="s">
        <v>431</v>
      </c>
      <c r="AE39" s="2559"/>
      <c r="AF39" s="2559"/>
      <c r="AG39" s="2559"/>
      <c r="AH39" s="2559"/>
      <c r="AI39" s="2559"/>
      <c r="AJ39" s="2560"/>
      <c r="AK39" s="2561" t="s">
        <v>433</v>
      </c>
      <c r="AL39" s="2564" t="s">
        <v>434</v>
      </c>
      <c r="AM39" s="2411"/>
      <c r="AS39" s="1439">
        <v>14</v>
      </c>
    </row>
    <row customHeight="1" ht="35.699999999999996">
      <c r="Q40" s="660"/>
      <c r="R40" s="660"/>
      <c r="S40" s="2557"/>
      <c r="T40" s="2493"/>
      <c r="U40" s="1315"/>
      <c r="V40" s="2544" t="s">
        <v>435</v>
      </c>
      <c r="W40" s="2567" t="s">
        <v>436</v>
      </c>
      <c r="X40" s="2546" t="s">
        <v>437</v>
      </c>
      <c r="Y40" s="2547"/>
      <c r="Z40" s="2546" t="s">
        <v>450</v>
      </c>
      <c r="AA40" s="2553"/>
      <c r="AB40" s="2547"/>
      <c r="AC40" s="2562"/>
      <c r="AD40" s="2544" t="s">
        <v>435</v>
      </c>
      <c r="AE40" s="2567" t="s">
        <v>436</v>
      </c>
      <c r="AF40" s="2546" t="s">
        <v>437</v>
      </c>
      <c r="AG40" s="2547"/>
      <c r="AH40" s="2546" t="s">
        <v>438</v>
      </c>
      <c r="AI40" s="2553"/>
      <c r="AJ40" s="2547"/>
      <c r="AK40" s="2562"/>
      <c r="AL40" s="2565"/>
      <c r="AM40" s="2411"/>
      <c r="AS40" s="1439">
        <v>34</v>
      </c>
    </row>
    <row customHeight="1" ht="35.699999999999996">
      <c r="A41" s="1654"/>
      <c r="B41" s="1654" t="s">
        <v>136</v>
      </c>
      <c r="C41" s="1654" t="s">
        <v>137</v>
      </c>
      <c r="D41" s="1654" t="s">
        <v>138</v>
      </c>
      <c r="E41" s="1648" t="s">
        <v>439</v>
      </c>
      <c r="F41" s="1648" t="s">
        <v>440</v>
      </c>
      <c r="G41" s="1648" t="s">
        <v>441</v>
      </c>
      <c r="H41" s="1648" t="s">
        <v>442</v>
      </c>
      <c r="I41" s="1648" t="s">
        <v>443</v>
      </c>
      <c r="J41" s="1648" t="s">
        <v>444</v>
      </c>
      <c r="K41" s="1648" t="s">
        <v>445</v>
      </c>
      <c r="L41" s="1648" t="s">
        <v>420</v>
      </c>
      <c r="Q41" s="660"/>
      <c r="R41" s="660"/>
      <c r="S41" s="2557"/>
      <c r="T41" s="2493"/>
      <c r="U41" s="586"/>
      <c r="V41" s="2545"/>
      <c r="W41" s="2568"/>
      <c r="X41" s="1506" t="s">
        <v>446</v>
      </c>
      <c r="Y41" s="1506" t="s">
        <v>447</v>
      </c>
      <c r="Z41" s="1622" t="s">
        <v>448</v>
      </c>
      <c r="AA41" s="2554" t="s">
        <v>449</v>
      </c>
      <c r="AB41" s="2555"/>
      <c r="AC41" s="2563"/>
      <c r="AD41" s="2545"/>
      <c r="AE41" s="2568"/>
      <c r="AF41" s="1506" t="s">
        <v>446</v>
      </c>
      <c r="AG41" s="1506" t="s">
        <v>447</v>
      </c>
      <c r="AH41" s="1622" t="s">
        <v>448</v>
      </c>
      <c r="AI41" s="2554" t="s">
        <v>449</v>
      </c>
      <c r="AJ41" s="2555"/>
      <c r="AK41" s="2563"/>
      <c r="AL41" s="2566"/>
      <c r="AM41" s="2411"/>
      <c r="AS41" s="1439">
        <v>34</v>
      </c>
    </row>
    <row s="14730" customFormat="1" customHeight="1" ht="11.25" hidden="1">
      <c r="A42" s="1654"/>
      <c r="B42" s="1654"/>
      <c r="C42" s="1654"/>
      <c r="D42" s="1654"/>
      <c r="E42" s="1654"/>
      <c r="F42" s="1654"/>
      <c r="G42" s="1654"/>
      <c r="H42" s="1654"/>
      <c r="I42" s="1654"/>
      <c r="J42" s="1654"/>
      <c r="K42" s="1654"/>
      <c r="L42" s="1648"/>
      <c r="M42" s="1646"/>
      <c r="N42" s="1646"/>
      <c r="O42" s="1646"/>
      <c r="P42" s="1530"/>
      <c r="Q42" s="1531"/>
      <c r="R42" s="1538">
        <v>1</v>
      </c>
      <c r="S42" s="1561" t="s">
        <v>110</v>
      </c>
      <c r="T42" s="1539" t="s">
        <v>111</v>
      </c>
      <c r="U42" s="1529" t="str">
        <f>OFFSET(U42,0,-1)</f>
        <v>2</v>
      </c>
      <c r="V42" s="1619">
        <f>OFFSET(V42,0,-1)+1</f>
        <v>3</v>
      </c>
      <c r="W42" s="1619"/>
      <c r="X42" s="1619">
        <f>OFFSET(X42,0,-1)+1</f>
        <v>1</v>
      </c>
      <c r="Y42" s="1619">
        <f>OFFSET(Y42,0,-1)+1</f>
        <v>2</v>
      </c>
      <c r="Z42" s="1619">
        <f>OFFSET(Z42,0,-1)+1</f>
        <v>3</v>
      </c>
      <c r="AA42" s="2556">
        <f>OFFSET(AA42,0,-1)+1</f>
        <v>4</v>
      </c>
      <c r="AB42" s="2556"/>
      <c r="AC42" s="1619">
        <f>OFFSET(AC42,0,-2)+1</f>
        <v>5</v>
      </c>
      <c r="AD42" s="1619">
        <f>OFFSET(AD42,0,-1)+1</f>
        <v>6</v>
      </c>
      <c r="AE42" s="1619"/>
      <c r="AF42" s="1619">
        <f>OFFSET(AF42,0,-1)+1</f>
        <v>1</v>
      </c>
      <c r="AG42" s="1619">
        <f>OFFSET(AG42,0,-1)+1</f>
        <v>2</v>
      </c>
      <c r="AH42" s="1619">
        <f>OFFSET(AH42,0,-1)+1</f>
        <v>3</v>
      </c>
      <c r="AI42" s="2556">
        <f>OFFSET(AI42,0,-1)+1</f>
        <v>4</v>
      </c>
      <c r="AJ42" s="2556"/>
      <c r="AK42" s="1619">
        <f>OFFSET(AK42,0,-2)+1</f>
        <v>5</v>
      </c>
      <c r="AL42" s="1529">
        <f>OFFSET(AL42,0,-1)</f>
        <v>5</v>
      </c>
      <c r="AM42" s="1619">
        <f>OFFSET(AM42,0,-1)+1</f>
        <v>6</v>
      </c>
      <c r="AN42" s="795"/>
      <c r="AO42" s="795"/>
      <c r="AP42" s="795"/>
      <c r="AQ42" s="795"/>
      <c r="AR42" s="795"/>
      <c r="AS42" s="780">
        <v>0</v>
      </c>
    </row>
    <row customHeight="1" ht="22.049999999999997">
      <c r="A43" s="1647" t="s">
        <v>165</v>
      </c>
      <c r="B43" s="1647"/>
      <c r="C43" s="1647"/>
      <c r="D43" s="1647"/>
      <c r="E43" s="2542">
        <v>1</v>
      </c>
      <c r="F43" s="1647"/>
      <c r="G43" s="1647"/>
      <c r="H43" s="1647"/>
      <c r="I43" s="1647"/>
      <c r="J43" s="1647"/>
      <c r="K43" s="1647"/>
      <c r="L43" s="1648"/>
      <c r="M43" s="1649"/>
      <c r="N43" s="1649"/>
      <c r="O43" s="1649"/>
      <c r="P43" s="645"/>
      <c r="Q43" s="644"/>
      <c r="R43" s="639"/>
      <c r="S43" s="1620">
        <f>INDEX(PT_DIFFERENTIATION_NUM_NTAR,MATCH(A43,PT_DIFFERENTIATION_NTAR_ID,0))</f>
        <v>1</v>
      </c>
      <c r="T43" s="582" t="s">
        <v>124</v>
      </c>
      <c r="U43" s="584"/>
      <c r="V43" s="2526"/>
      <c r="W43" s="2527"/>
      <c r="X43" s="2527"/>
      <c r="Y43" s="2527"/>
      <c r="Z43" s="2527"/>
      <c r="AA43" s="2527"/>
      <c r="AB43" s="2527"/>
      <c r="AC43" s="2528"/>
      <c r="AD43" s="2526" t="str">
        <f>INDEX(PT_DIFFERENTIATION_NTAR,MATCH(A43,PT_DIFFERENTIATION_NTAR_ID,0))</f>
        <v>Тариф на тепловую энергию</v>
      </c>
      <c r="AE43" s="2527"/>
      <c r="AF43" s="2527"/>
      <c r="AG43" s="2527"/>
      <c r="AH43" s="2527"/>
      <c r="AI43" s="2527"/>
      <c r="AJ43" s="2527"/>
      <c r="AK43" s="2527"/>
      <c r="AL43" s="2528"/>
      <c r="AM43" s="1542"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784"/>
      <c r="AP43" s="784" t="str">
        <f>IF(T43="","",T43)</f>
        <v>Наименование тарифа</v>
      </c>
      <c r="AQ43" s="784"/>
      <c r="AR43" s="784"/>
      <c r="AS43" s="1439">
        <v>21</v>
      </c>
    </row>
    <row customHeight="1" ht="22.049999999999997">
      <c r="A44" s="1647" t="s">
        <v>165</v>
      </c>
      <c r="B44" s="1647" t="s">
        <v>166</v>
      </c>
      <c r="C44" s="1647"/>
      <c r="D44" s="1647"/>
      <c r="E44" s="2543"/>
      <c r="F44" s="2542">
        <v>1</v>
      </c>
      <c r="G44" s="1647"/>
      <c r="H44" s="1647"/>
      <c r="I44" s="1647"/>
      <c r="J44" s="1647"/>
      <c r="K44" s="1647"/>
      <c r="L44" s="1648"/>
      <c r="M44" s="1649"/>
      <c r="N44" s="1649"/>
      <c r="O44" s="1649"/>
      <c r="P44" s="1616"/>
      <c r="Q44" s="636"/>
      <c r="R44" s="637"/>
      <c r="S44" s="1620" t="str">
        <f>INDEX(PT_DIFFERENTIATION_NUM_TER,MATCH(B44,PT_DIFFERENTIATION_TER_ID,0))</f>
        <v>1.1</v>
      </c>
      <c r="T44" s="592" t="s">
        <v>402</v>
      </c>
      <c r="U44" s="584"/>
      <c r="V44" s="2526"/>
      <c r="W44" s="2527"/>
      <c r="X44" s="2527"/>
      <c r="Y44" s="2527"/>
      <c r="Z44" s="2527"/>
      <c r="AA44" s="2527"/>
      <c r="AB44" s="2527"/>
      <c r="AC44" s="2528"/>
      <c r="AD44" s="2526" t="str">
        <f>INDEX(PT_DIFFERENTIATION_TER,MATCH(B44,PT_DIFFERENTIATION_TER_ID,0))</f>
        <v>Территория 1</v>
      </c>
      <c r="AE44" s="2527"/>
      <c r="AF44" s="2527"/>
      <c r="AG44" s="2527"/>
      <c r="AH44" s="2527"/>
      <c r="AI44" s="2527"/>
      <c r="AJ44" s="2527"/>
      <c r="AK44" s="2527"/>
      <c r="AL44" s="2528"/>
      <c r="AM44" s="1542" t="s">
        <v>403</v>
      </c>
      <c r="AO44" s="784"/>
      <c r="AP44" s="784" t="str">
        <f>IF(T44="","",T44)</f>
        <v>Территория действия тарифа</v>
      </c>
      <c r="AQ44" s="784"/>
      <c r="AR44" s="784"/>
      <c r="AS44" s="1439">
        <v>21</v>
      </c>
    </row>
    <row customHeight="1" ht="24">
      <c r="A45" s="1647" t="s">
        <v>165</v>
      </c>
      <c r="B45" s="1647" t="s">
        <v>166</v>
      </c>
      <c r="C45" s="1647" t="s">
        <v>167</v>
      </c>
      <c r="D45" s="1647"/>
      <c r="E45" s="2543"/>
      <c r="F45" s="2543"/>
      <c r="G45" s="2542">
        <v>1</v>
      </c>
      <c r="H45" s="1647"/>
      <c r="I45" s="1647"/>
      <c r="J45" s="1647"/>
      <c r="K45" s="1647"/>
      <c r="L45" s="1648"/>
      <c r="M45" s="1649"/>
      <c r="N45" s="1649"/>
      <c r="O45" s="1649"/>
      <c r="P45" s="638"/>
      <c r="Q45" s="636"/>
      <c r="R45" s="637"/>
      <c r="S45" s="1620" t="str">
        <f>INDEX(PT_DIFFERENTIATION_NUM_CS,MATCH(C45,PT_DIFFERENTIATION_CS_ID,0))</f>
        <v>1.1.1</v>
      </c>
      <c r="T45" s="593" t="s">
        <v>404</v>
      </c>
      <c r="U45" s="584"/>
      <c r="V45" s="2526"/>
      <c r="W45" s="2527"/>
      <c r="X45" s="2527"/>
      <c r="Y45" s="2527"/>
      <c r="Z45" s="2527"/>
      <c r="AA45" s="2527"/>
      <c r="AB45" s="2527"/>
      <c r="AC45" s="2528"/>
      <c r="AD45" s="2526" t="str">
        <f>INDEX(PT_DIFFERENTIATION_CS,MATCH(C45,PT_DIFFERENTIATION_CS_ID,0))</f>
        <v>без дифференциации</v>
      </c>
      <c r="AE45" s="2527"/>
      <c r="AF45" s="2527"/>
      <c r="AG45" s="2527"/>
      <c r="AH45" s="2527"/>
      <c r="AI45" s="2527"/>
      <c r="AJ45" s="2527"/>
      <c r="AK45" s="2527"/>
      <c r="AL45" s="2528"/>
      <c r="AM45" s="1542" t="s">
        <v>405</v>
      </c>
      <c r="AO45" s="784"/>
      <c r="AP45" s="784" t="str">
        <f>IF(T45="","",T45)</f>
        <v>Наименование системы теплоснабжения </v>
      </c>
      <c r="AQ45" s="784"/>
      <c r="AR45" s="784"/>
      <c r="AS45" s="1439">
        <v>23</v>
      </c>
    </row>
    <row customHeight="1" ht="22.049999999999997">
      <c r="A46" s="1647" t="s">
        <v>165</v>
      </c>
      <c r="B46" s="1647" t="s">
        <v>166</v>
      </c>
      <c r="C46" s="1647" t="s">
        <v>167</v>
      </c>
      <c r="D46" s="1647" t="s">
        <v>168</v>
      </c>
      <c r="E46" s="2543"/>
      <c r="F46" s="2543"/>
      <c r="G46" s="2543"/>
      <c r="H46" s="2542">
        <v>1</v>
      </c>
      <c r="I46" s="1647"/>
      <c r="J46" s="1647"/>
      <c r="K46" s="1647"/>
      <c r="L46" s="1648"/>
      <c r="M46" s="1649"/>
      <c r="N46" s="1649"/>
      <c r="O46" s="1649"/>
      <c r="P46" s="638"/>
      <c r="Q46" s="636"/>
      <c r="R46" s="637"/>
      <c r="S46" s="1620" t="str">
        <f>INDEX(PT_DIFFERENTIATION_NUM_IST_TE,MATCH(D46,PT_DIFFERENTIATION_IST_TE_ID,0))</f>
        <v>1.1.1.1</v>
      </c>
      <c r="T46" s="594" t="s">
        <v>406</v>
      </c>
      <c r="U46" s="584"/>
      <c r="V46" s="2526"/>
      <c r="W46" s="2527"/>
      <c r="X46" s="2527"/>
      <c r="Y46" s="2527"/>
      <c r="Z46" s="2527"/>
      <c r="AA46" s="2527"/>
      <c r="AB46" s="2527"/>
      <c r="AC46" s="2528"/>
      <c r="AD46" s="2526" t="str">
        <f>INDEX(PT_DIFFERENTIATION_IST_TE,MATCH(D46,PT_DIFFERENTIATION_IST_TE_ID,0))</f>
        <v>без дифференциации</v>
      </c>
      <c r="AE46" s="2527"/>
      <c r="AF46" s="2527"/>
      <c r="AG46" s="2527"/>
      <c r="AH46" s="2527"/>
      <c r="AI46" s="2527"/>
      <c r="AJ46" s="2527"/>
      <c r="AK46" s="2527"/>
      <c r="AL46" s="2528"/>
      <c r="AM46" s="1542" t="s">
        <v>407</v>
      </c>
      <c r="AO46" s="784"/>
      <c r="AP46" s="784" t="str">
        <f>IF(T46="","",T46)</f>
        <v>Источник тепловой энергии  </v>
      </c>
      <c r="AQ46" s="784"/>
      <c r="AR46" s="784"/>
      <c r="AS46" s="1439">
        <v>21</v>
      </c>
    </row>
    <row customHeight="1" ht="49.5">
      <c r="A47" s="1647" t="s">
        <v>165</v>
      </c>
      <c r="B47" s="1647" t="s">
        <v>166</v>
      </c>
      <c r="C47" s="1647" t="s">
        <v>167</v>
      </c>
      <c r="D47" s="1647" t="s">
        <v>168</v>
      </c>
      <c r="E47" s="2543"/>
      <c r="F47" s="2543"/>
      <c r="G47" s="2543"/>
      <c r="H47" s="2543"/>
      <c r="I47" s="2540" t="str">
        <f>S46&amp;".1"</f>
        <v>1.1.1.1.1</v>
      </c>
      <c r="J47" s="1647"/>
      <c r="K47" s="1647"/>
      <c r="L47" s="1648" t="s">
        <v>408</v>
      </c>
      <c r="P47" s="2541">
        <v>1</v>
      </c>
      <c r="Q47" s="1615"/>
      <c r="R47" s="640"/>
      <c r="S47" s="1620" t="str">
        <f>$I47</f>
        <v>1.1.1.1.1</v>
      </c>
      <c r="T47" s="569" t="s">
        <v>409</v>
      </c>
      <c r="U47" s="584"/>
      <c r="V47" s="2529"/>
      <c r="W47" s="2530"/>
      <c r="X47" s="2530"/>
      <c r="Y47" s="2530"/>
      <c r="Z47" s="2530"/>
      <c r="AA47" s="2530"/>
      <c r="AB47" s="2530"/>
      <c r="AC47" s="2531"/>
      <c r="AD47" s="2529" t="s">
        <v>451</v>
      </c>
      <c r="AE47" s="2530"/>
      <c r="AF47" s="2530"/>
      <c r="AG47" s="2530"/>
      <c r="AH47" s="2530"/>
      <c r="AI47" s="2530"/>
      <c r="AJ47" s="2530"/>
      <c r="AK47" s="2530"/>
      <c r="AL47" s="2531"/>
      <c r="AM47" s="1542" t="s">
        <v>410</v>
      </c>
      <c r="AO47" s="784"/>
      <c r="AP47" s="784" t="str">
        <f>IF(T47="","",T47)</f>
        <v>Схема подключения теплопотребляющей установки к коллектору источника тепловой энергии</v>
      </c>
      <c r="AQ47" s="784"/>
      <c r="AR47" s="784"/>
      <c r="AS47" s="1439">
        <v>47</v>
      </c>
    </row>
    <row customHeight="1" ht="22.049999999999997">
      <c r="A48" s="1647" t="s">
        <v>165</v>
      </c>
      <c r="B48" s="1647" t="s">
        <v>166</v>
      </c>
      <c r="C48" s="1647" t="s">
        <v>167</v>
      </c>
      <c r="D48" s="1647" t="s">
        <v>168</v>
      </c>
      <c r="E48" s="2543"/>
      <c r="F48" s="2543"/>
      <c r="G48" s="2543"/>
      <c r="H48" s="2543"/>
      <c r="I48" s="2570"/>
      <c r="J48" s="2540" t="str">
        <f>I47&amp;".1"</f>
        <v>1.1.1.1.1.1</v>
      </c>
      <c r="K48" s="1647"/>
      <c r="L48" s="1648" t="s">
        <v>411</v>
      </c>
      <c r="P48" s="2541"/>
      <c r="Q48" s="2541">
        <v>1</v>
      </c>
      <c r="R48" s="641"/>
      <c r="S48" s="1620" t="str">
        <f>$J48</f>
        <v>1.1.1.1.1.1</v>
      </c>
      <c r="T48" s="570" t="s">
        <v>412</v>
      </c>
      <c r="U48" s="584"/>
      <c r="V48" s="2529"/>
      <c r="W48" s="2530"/>
      <c r="X48" s="2530"/>
      <c r="Y48" s="2530"/>
      <c r="Z48" s="2530"/>
      <c r="AA48" s="2530"/>
      <c r="AB48" s="2530"/>
      <c r="AC48" s="2531"/>
      <c r="AD48" s="2529" t="s">
        <v>452</v>
      </c>
      <c r="AE48" s="2530"/>
      <c r="AF48" s="2530"/>
      <c r="AG48" s="2530"/>
      <c r="AH48" s="2530"/>
      <c r="AI48" s="2530"/>
      <c r="AJ48" s="2530"/>
      <c r="AK48" s="2530"/>
      <c r="AL48" s="2531"/>
      <c r="AM48" s="1542" t="s">
        <v>413</v>
      </c>
      <c r="AO48" s="784"/>
      <c r="AP48" s="784" t="str">
        <f>IF(T48="","",T48)</f>
        <v>Группа потребителей</v>
      </c>
      <c r="AQ48" s="784"/>
      <c r="AR48" s="784"/>
      <c r="AS48" s="1439">
        <v>21</v>
      </c>
    </row>
    <row customHeight="1" ht="22.049999999999997">
      <c r="A49" s="1647" t="s">
        <v>165</v>
      </c>
      <c r="B49" s="1647" t="s">
        <v>166</v>
      </c>
      <c r="C49" s="1647" t="s">
        <v>167</v>
      </c>
      <c r="D49" s="1647" t="s">
        <v>168</v>
      </c>
      <c r="E49" s="2543"/>
      <c r="F49" s="2543"/>
      <c r="G49" s="2543"/>
      <c r="H49" s="2543"/>
      <c r="I49" s="2570"/>
      <c r="J49" s="2570"/>
      <c r="K49" s="2540" t="str">
        <f>J48&amp;".1"</f>
        <v>1.1.1.1.1.1.1</v>
      </c>
      <c r="L49" s="1648" t="s">
        <v>414</v>
      </c>
      <c r="P49" s="2541"/>
      <c r="Q49" s="2541"/>
      <c r="R49" s="641">
        <v>1</v>
      </c>
      <c r="S49" s="1620" t="str">
        <f>$K49</f>
        <v>1.1.1.1.1.1.1</v>
      </c>
      <c r="T49" s="1631" t="s">
        <v>453</v>
      </c>
      <c r="U49" s="584"/>
      <c r="V49" s="1035"/>
      <c r="W49" s="609"/>
      <c r="X49" s="1035"/>
      <c r="Y49" s="1541"/>
      <c r="Z49" s="2549"/>
      <c r="AA49" s="2391" t="s">
        <v>67</v>
      </c>
      <c r="AB49" s="2549"/>
      <c r="AC49" s="2391" t="s">
        <v>67</v>
      </c>
      <c r="AD49" s="1035">
        <v>5529.84</v>
      </c>
      <c r="AE49" s="609"/>
      <c r="AF49" s="1035"/>
      <c r="AG49" s="1541"/>
      <c r="AH49" s="3883">
        <v>45658</v>
      </c>
      <c r="AI49" s="2391" t="s">
        <v>67</v>
      </c>
      <c r="AJ49" s="3884">
        <v>46022</v>
      </c>
      <c r="AK49" s="2391" t="s">
        <v>67</v>
      </c>
      <c r="AL49" s="1632"/>
      <c r="AM49" s="2537" t="s">
        <v>415</v>
      </c>
      <c r="AN49" s="795">
        <f>STRCHECKDATE(V50:AL50)</f>
      </c>
      <c r="AO49" s="784"/>
      <c r="AP49" s="784" t="str">
        <f>IF(T49="","",T49)</f>
        <v>вода</v>
      </c>
      <c r="AQ49" s="784"/>
      <c r="AR49" s="784"/>
      <c r="AS49" s="1439">
        <v>21</v>
      </c>
    </row>
    <row customHeight="1" ht="1.05">
      <c r="A50" s="1647" t="s">
        <v>165</v>
      </c>
      <c r="B50" s="1647" t="s">
        <v>166</v>
      </c>
      <c r="C50" s="1647" t="s">
        <v>167</v>
      </c>
      <c r="D50" s="1647" t="s">
        <v>168</v>
      </c>
      <c r="E50" s="2543"/>
      <c r="F50" s="2543"/>
      <c r="G50" s="2543"/>
      <c r="H50" s="2543"/>
      <c r="I50" s="2570"/>
      <c r="J50" s="2570"/>
      <c r="K50" s="2540"/>
      <c r="L50" s="1648"/>
      <c r="P50" s="2541"/>
      <c r="Q50" s="2541"/>
      <c r="R50" s="641"/>
      <c r="S50" s="1626"/>
      <c r="T50" s="584"/>
      <c r="U50" s="584"/>
      <c r="V50" s="609"/>
      <c r="W50" s="609"/>
      <c r="X50" s="609"/>
      <c r="Y50" s="612" t="str">
        <f>Z49&amp;"-"&amp;AB49</f>
        <v>-</v>
      </c>
      <c r="Z50" s="2550"/>
      <c r="AA50" s="2391"/>
      <c r="AB50" s="2550"/>
      <c r="AC50" s="2391"/>
      <c r="AD50" s="609"/>
      <c r="AE50" s="609"/>
      <c r="AF50" s="609"/>
      <c r="AG50" s="612" t="str">
        <f>AH49&amp;"-"&amp;AJ49</f>
        <v>45658-46022</v>
      </c>
      <c r="AH50" s="2550"/>
      <c r="AI50" s="2391"/>
      <c r="AJ50" s="2572"/>
      <c r="AK50" s="2391"/>
      <c r="AL50" s="1633"/>
      <c r="AM50" s="2538"/>
      <c r="AO50" s="784"/>
      <c r="AP50" s="784" t="str">
        <f>IF(T50="","",T50)</f>
        <v/>
      </c>
      <c r="AQ50" s="784"/>
      <c r="AR50" s="784"/>
      <c r="AS50" s="1439">
        <v>1</v>
      </c>
    </row>
    <row customHeight="1" ht="11.549999999999999">
      <c r="A51" s="1647" t="s">
        <v>165</v>
      </c>
      <c r="B51" s="1647" t="s">
        <v>166</v>
      </c>
      <c r="C51" s="1647" t="s">
        <v>167</v>
      </c>
      <c r="D51" s="1647" t="s">
        <v>168</v>
      </c>
      <c r="E51" s="2543"/>
      <c r="F51" s="2543"/>
      <c r="G51" s="2543"/>
      <c r="H51" s="2543"/>
      <c r="I51" s="2570"/>
      <c r="J51" s="2540"/>
      <c r="K51" s="1647"/>
      <c r="L51" s="1648"/>
      <c r="P51" s="2541"/>
      <c r="Q51" s="2541"/>
      <c r="R51" s="640"/>
      <c r="S51" s="1562"/>
      <c r="T51" s="572" t="s">
        <v>416</v>
      </c>
      <c r="U51" s="651"/>
      <c r="V51" s="651"/>
      <c r="W51" s="651"/>
      <c r="X51" s="651"/>
      <c r="Y51" s="651"/>
      <c r="Z51" s="651"/>
      <c r="AA51" s="651"/>
      <c r="AB51" s="651"/>
      <c r="AC51" s="651"/>
      <c r="AD51" s="651"/>
      <c r="AE51" s="651"/>
      <c r="AF51" s="651"/>
      <c r="AG51" s="651"/>
      <c r="AH51" s="651"/>
      <c r="AI51" s="651"/>
      <c r="AJ51" s="651"/>
      <c r="AK51" s="651"/>
      <c r="AL51" s="608"/>
      <c r="AM51" s="2539"/>
      <c r="AO51" s="784"/>
      <c r="AP51" s="784" t="str">
        <f>IF(T51="","",T51)</f>
        <v>Добавить вид теплоносителя (параметры теплоносителя)</v>
      </c>
      <c r="AQ51" s="784"/>
      <c r="AR51" s="784"/>
      <c r="AS51" s="1439">
        <v>11</v>
      </c>
    </row>
    <row s="14988" customFormat="1" customHeight="1" ht="21">
      <c r="A52" s="3886"/>
      <c r="B52" s="3886"/>
      <c r="C52" s="3886"/>
      <c r="D52" s="3886"/>
      <c r="E52" s="3887"/>
      <c r="F52" s="3887"/>
      <c r="G52" s="3887"/>
      <c r="H52" s="3887"/>
      <c r="I52" s="3888"/>
      <c r="J52" s="3889" t="str">
        <f>I47&amp;".2"</f>
        <v>1.1.1.1.1.2</v>
      </c>
      <c r="K52" s="3886"/>
      <c r="L52" s="3890" t="s">
        <v>411</v>
      </c>
      <c r="M52" s="3891"/>
      <c r="N52" s="3891"/>
      <c r="O52" s="3892"/>
      <c r="P52" s="3893"/>
      <c r="Q52" s="3894" t="s">
        <v>454</v>
      </c>
      <c r="R52" s="3895"/>
      <c r="S52" s="3896" t="str">
        <f>$J52</f>
        <v>1.1.1.1.1.2</v>
      </c>
      <c r="T52" s="3897" t="s">
        <v>412</v>
      </c>
      <c r="U52" s="3898"/>
      <c r="V52" s="3899"/>
      <c r="W52" s="3900"/>
      <c r="X52" s="3900"/>
      <c r="Y52" s="3900"/>
      <c r="Z52" s="3900"/>
      <c r="AA52" s="3900"/>
      <c r="AB52" s="3900"/>
      <c r="AC52" s="3901"/>
      <c r="AD52" s="3899" t="s">
        <v>455</v>
      </c>
      <c r="AE52" s="3900"/>
      <c r="AF52" s="3900"/>
      <c r="AG52" s="3900"/>
      <c r="AH52" s="3900"/>
      <c r="AI52" s="3900"/>
      <c r="AJ52" s="3900"/>
      <c r="AK52" s="3900"/>
      <c r="AL52" s="3901"/>
      <c r="AM52" s="3902" t="s">
        <v>413</v>
      </c>
      <c r="AN52" s="3903"/>
      <c r="AO52" s="3904"/>
      <c r="AP52" s="3904" t="str">
        <f>IF(T52="","",T52)</f>
        <v>Группа потребителей</v>
      </c>
      <c r="AQ52" s="3904"/>
      <c r="AR52" s="3904"/>
      <c r="AS52" s="3905">
        <v>0</v>
      </c>
    </row>
    <row s="15009" customFormat="1" customHeight="1" ht="21">
      <c r="A53" s="3886"/>
      <c r="B53" s="3886"/>
      <c r="C53" s="3886"/>
      <c r="D53" s="3886"/>
      <c r="E53" s="3887"/>
      <c r="F53" s="3887"/>
      <c r="G53" s="3887"/>
      <c r="H53" s="3887"/>
      <c r="I53" s="3888"/>
      <c r="J53" s="3888" t="str">
        <f>I47&amp;".1"</f>
        <v>1.1.1.1.1.1</v>
      </c>
      <c r="K53" s="3889" t="str">
        <f>J52&amp;".1"</f>
        <v>1.1.1.1.1.2.1</v>
      </c>
      <c r="L53" s="3890" t="s">
        <v>414</v>
      </c>
      <c r="M53" s="3891"/>
      <c r="N53" s="3891"/>
      <c r="O53" s="3891"/>
      <c r="P53" s="3893"/>
      <c r="Q53" s="3893"/>
      <c r="R53" s="3895">
        <v>1</v>
      </c>
      <c r="S53" s="3896" t="str">
        <f>$K53</f>
        <v>1.1.1.1.1.2.1</v>
      </c>
      <c r="T53" s="3907" t="s">
        <v>453</v>
      </c>
      <c r="U53" s="3898"/>
      <c r="V53" s="3908"/>
      <c r="W53" s="3909"/>
      <c r="X53" s="3908"/>
      <c r="Y53" s="3910"/>
      <c r="Z53" s="3883"/>
      <c r="AA53" s="3338" t="s">
        <v>67</v>
      </c>
      <c r="AB53" s="3883"/>
      <c r="AC53" s="3338" t="s">
        <v>67</v>
      </c>
      <c r="AD53" s="3908">
        <v>5529.84</v>
      </c>
      <c r="AE53" s="3909"/>
      <c r="AF53" s="3908"/>
      <c r="AG53" s="3910"/>
      <c r="AH53" s="3883">
        <v>45658</v>
      </c>
      <c r="AI53" s="3338" t="s">
        <v>67</v>
      </c>
      <c r="AJ53" s="3883">
        <v>46022</v>
      </c>
      <c r="AK53" s="3338" t="s">
        <v>67</v>
      </c>
      <c r="AL53" s="3909"/>
      <c r="AM53" s="3911" t="s">
        <v>415</v>
      </c>
      <c r="AN53" s="3903">
        <f>STRCHECKDATE(V54:AL54)</f>
      </c>
      <c r="AO53" s="3904"/>
      <c r="AP53" s="3904" t="str">
        <f>IF(T53="","",T53)</f>
        <v>вода</v>
      </c>
      <c r="AQ53" s="3904"/>
      <c r="AR53" s="3904"/>
      <c r="AS53" s="3905">
        <v>0</v>
      </c>
    </row>
    <row s="15015" customFormat="1" customHeight="1" ht="0.75">
      <c r="A54" s="3886"/>
      <c r="B54" s="3886"/>
      <c r="C54" s="3886"/>
      <c r="D54" s="3886"/>
      <c r="E54" s="3887"/>
      <c r="F54" s="3887"/>
      <c r="G54" s="3887"/>
      <c r="H54" s="3887"/>
      <c r="I54" s="3888"/>
      <c r="J54" s="3888" t="str">
        <f>I47&amp;".1"</f>
        <v>1.1.1.1.1.1</v>
      </c>
      <c r="K54" s="3889"/>
      <c r="L54" s="3890"/>
      <c r="M54" s="3891"/>
      <c r="N54" s="3891"/>
      <c r="O54" s="3891"/>
      <c r="P54" s="3893"/>
      <c r="Q54" s="3893"/>
      <c r="R54" s="3895"/>
      <c r="S54" s="3913"/>
      <c r="T54" s="3898"/>
      <c r="U54" s="3898"/>
      <c r="V54" s="3909"/>
      <c r="W54" s="3909"/>
      <c r="X54" s="3909"/>
      <c r="Y54" s="3914" t="str">
        <f>Z53&amp;"-"&amp;AB53</f>
        <v>-</v>
      </c>
      <c r="Z54" s="3915"/>
      <c r="AA54" s="3338"/>
      <c r="AB54" s="3915"/>
      <c r="AC54" s="3338"/>
      <c r="AD54" s="3909"/>
      <c r="AE54" s="3909"/>
      <c r="AF54" s="3909"/>
      <c r="AG54" s="3914" t="str">
        <f>AH53&amp;"-"&amp;AJ53</f>
        <v>45658-46022</v>
      </c>
      <c r="AH54" s="3915"/>
      <c r="AI54" s="3338"/>
      <c r="AJ54" s="3915"/>
      <c r="AK54" s="3338"/>
      <c r="AL54" s="3909"/>
      <c r="AM54" s="3916"/>
      <c r="AN54" s="3903"/>
      <c r="AO54" s="3904"/>
      <c r="AP54" s="3904" t="str">
        <f>IF(T54="","",T54)</f>
        <v/>
      </c>
      <c r="AQ54" s="3904"/>
      <c r="AR54" s="3904"/>
      <c r="AS54" s="3905">
        <v>0</v>
      </c>
    </row>
    <row s="15020" customFormat="1" customHeight="1" ht="15">
      <c r="A55" s="3886"/>
      <c r="B55" s="3886"/>
      <c r="C55" s="3886"/>
      <c r="D55" s="3886"/>
      <c r="E55" s="3887"/>
      <c r="F55" s="3887"/>
      <c r="G55" s="3887"/>
      <c r="H55" s="3887"/>
      <c r="I55" s="3888"/>
      <c r="J55" s="3889" t="str">
        <f>I47&amp;".1"</f>
        <v>1.1.1.1.1.1</v>
      </c>
      <c r="K55" s="3886"/>
      <c r="L55" s="3890"/>
      <c r="M55" s="3891"/>
      <c r="N55" s="3891"/>
      <c r="O55" s="3892"/>
      <c r="P55" s="3893"/>
      <c r="Q55" s="3893"/>
      <c r="R55" s="3918"/>
      <c r="S55" s="3919"/>
      <c r="T55" s="3920" t="s">
        <v>416</v>
      </c>
      <c r="U55" s="3921"/>
      <c r="V55" s="3922"/>
      <c r="W55" s="3923"/>
      <c r="X55" s="3924"/>
      <c r="Y55" s="3925"/>
      <c r="Z55" s="3926"/>
      <c r="AA55" s="3927"/>
      <c r="AB55" s="3928"/>
      <c r="AC55" s="3929"/>
      <c r="AD55" s="3930"/>
      <c r="AE55" s="3931"/>
      <c r="AF55" s="3932"/>
      <c r="AG55" s="3933"/>
      <c r="AH55" s="3934"/>
      <c r="AI55" s="3935"/>
      <c r="AJ55" s="3936"/>
      <c r="AK55" s="3937"/>
      <c r="AL55" s="3938"/>
      <c r="AM55" s="3939"/>
      <c r="AN55" s="3903"/>
      <c r="AO55" s="3904"/>
      <c r="AP55" s="3904" t="str">
        <f>IF(T55="","",T55)</f>
        <v>Добавить вид теплоносителя (параметры теплоносителя)</v>
      </c>
      <c r="AQ55" s="3904"/>
      <c r="AR55" s="3904"/>
      <c r="AS55" s="3905">
        <v>0</v>
      </c>
    </row>
    <row s="15043" customFormat="1" customHeight="1" ht="21">
      <c r="A56" s="3886"/>
      <c r="B56" s="3886"/>
      <c r="C56" s="3886"/>
      <c r="D56" s="3886"/>
      <c r="E56" s="3887"/>
      <c r="F56" s="3887"/>
      <c r="G56" s="3887"/>
      <c r="H56" s="3887"/>
      <c r="I56" s="3888"/>
      <c r="J56" s="3889" t="str">
        <f>I47&amp;".3"</f>
        <v>1.1.1.1.1.3</v>
      </c>
      <c r="K56" s="3886"/>
      <c r="L56" s="3890" t="s">
        <v>411</v>
      </c>
      <c r="M56" s="3891"/>
      <c r="N56" s="3891"/>
      <c r="O56" s="3892"/>
      <c r="P56" s="3893"/>
      <c r="Q56" s="3894" t="s">
        <v>454</v>
      </c>
      <c r="R56" s="3895"/>
      <c r="S56" s="3896" t="str">
        <f>$J56</f>
        <v>1.1.1.1.1.3</v>
      </c>
      <c r="T56" s="3897" t="s">
        <v>412</v>
      </c>
      <c r="U56" s="3898"/>
      <c r="V56" s="3899"/>
      <c r="W56" s="3900"/>
      <c r="X56" s="3900"/>
      <c r="Y56" s="3900"/>
      <c r="Z56" s="3900"/>
      <c r="AA56" s="3900"/>
      <c r="AB56" s="3900"/>
      <c r="AC56" s="3901"/>
      <c r="AD56" s="3899" t="s">
        <v>456</v>
      </c>
      <c r="AE56" s="3900"/>
      <c r="AF56" s="3900"/>
      <c r="AG56" s="3900"/>
      <c r="AH56" s="3900"/>
      <c r="AI56" s="3900"/>
      <c r="AJ56" s="3900"/>
      <c r="AK56" s="3900"/>
      <c r="AL56" s="3901"/>
      <c r="AM56" s="3902" t="s">
        <v>413</v>
      </c>
      <c r="AN56" s="3903"/>
      <c r="AO56" s="3904"/>
      <c r="AP56" s="3904" t="str">
        <f>IF(T56="","",T56)</f>
        <v>Группа потребителей</v>
      </c>
      <c r="AQ56" s="3904"/>
      <c r="AR56" s="3904"/>
      <c r="AS56" s="3905">
        <v>0</v>
      </c>
    </row>
    <row s="15044" customFormat="1" customHeight="1" ht="21">
      <c r="A57" s="3886"/>
      <c r="B57" s="3886"/>
      <c r="C57" s="3886"/>
      <c r="D57" s="3886"/>
      <c r="E57" s="3887"/>
      <c r="F57" s="3887"/>
      <c r="G57" s="3887"/>
      <c r="H57" s="3887"/>
      <c r="I57" s="3888"/>
      <c r="J57" s="3888" t="str">
        <f>I47&amp;".2"</f>
        <v>1.1.1.1.1.2</v>
      </c>
      <c r="K57" s="3889" t="str">
        <f>J56&amp;".1"</f>
        <v>1.1.1.1.1.3.1</v>
      </c>
      <c r="L57" s="3890" t="s">
        <v>414</v>
      </c>
      <c r="M57" s="3891"/>
      <c r="N57" s="3891"/>
      <c r="O57" s="3891"/>
      <c r="P57" s="3893"/>
      <c r="Q57" s="3893"/>
      <c r="R57" s="3895">
        <v>1</v>
      </c>
      <c r="S57" s="3896" t="str">
        <f>$K57</f>
        <v>1.1.1.1.1.3.1</v>
      </c>
      <c r="T57" s="3907" t="s">
        <v>453</v>
      </c>
      <c r="U57" s="3898"/>
      <c r="V57" s="3908"/>
      <c r="W57" s="3909"/>
      <c r="X57" s="3908"/>
      <c r="Y57" s="3910"/>
      <c r="Z57" s="3883"/>
      <c r="AA57" s="3338" t="s">
        <v>67</v>
      </c>
      <c r="AB57" s="3883"/>
      <c r="AC57" s="3338" t="s">
        <v>67</v>
      </c>
      <c r="AD57" s="3908">
        <v>5529.84</v>
      </c>
      <c r="AE57" s="3909"/>
      <c r="AF57" s="3908"/>
      <c r="AG57" s="3910"/>
      <c r="AH57" s="3883">
        <v>45658</v>
      </c>
      <c r="AI57" s="3338" t="s">
        <v>67</v>
      </c>
      <c r="AJ57" s="3883">
        <v>46022</v>
      </c>
      <c r="AK57" s="3338" t="s">
        <v>67</v>
      </c>
      <c r="AL57" s="3909"/>
      <c r="AM57" s="3911" t="s">
        <v>415</v>
      </c>
      <c r="AN57" s="3903">
        <f>STRCHECKDATE(V58:AL58)</f>
      </c>
      <c r="AO57" s="3904"/>
      <c r="AP57" s="3904" t="str">
        <f>IF(T57="","",T57)</f>
        <v>вода</v>
      </c>
      <c r="AQ57" s="3904"/>
      <c r="AR57" s="3904"/>
      <c r="AS57" s="3905">
        <v>0</v>
      </c>
    </row>
    <row s="15045" customFormat="1" customHeight="1" ht="0.75">
      <c r="A58" s="3886"/>
      <c r="B58" s="3886"/>
      <c r="C58" s="3886"/>
      <c r="D58" s="3886"/>
      <c r="E58" s="3887"/>
      <c r="F58" s="3887"/>
      <c r="G58" s="3887"/>
      <c r="H58" s="3887"/>
      <c r="I58" s="3888"/>
      <c r="J58" s="3888" t="str">
        <f>I47&amp;".2"</f>
        <v>1.1.1.1.1.2</v>
      </c>
      <c r="K58" s="3889"/>
      <c r="L58" s="3890"/>
      <c r="M58" s="3891"/>
      <c r="N58" s="3891"/>
      <c r="O58" s="3891"/>
      <c r="P58" s="3893"/>
      <c r="Q58" s="3893"/>
      <c r="R58" s="3895"/>
      <c r="S58" s="3913"/>
      <c r="T58" s="3898"/>
      <c r="U58" s="3898"/>
      <c r="V58" s="3909"/>
      <c r="W58" s="3909"/>
      <c r="X58" s="3909"/>
      <c r="Y58" s="3914" t="str">
        <f>Z57&amp;"-"&amp;AB57</f>
        <v>-</v>
      </c>
      <c r="Z58" s="3915"/>
      <c r="AA58" s="3338"/>
      <c r="AB58" s="3915"/>
      <c r="AC58" s="3338"/>
      <c r="AD58" s="3909"/>
      <c r="AE58" s="3909"/>
      <c r="AF58" s="3909"/>
      <c r="AG58" s="3914" t="str">
        <f>AH57&amp;"-"&amp;AJ57</f>
        <v>45658-46022</v>
      </c>
      <c r="AH58" s="3915"/>
      <c r="AI58" s="3338"/>
      <c r="AJ58" s="3915"/>
      <c r="AK58" s="3338"/>
      <c r="AL58" s="3909"/>
      <c r="AM58" s="3916"/>
      <c r="AN58" s="3903"/>
      <c r="AO58" s="3904"/>
      <c r="AP58" s="3904" t="str">
        <f>IF(T58="","",T58)</f>
        <v/>
      </c>
      <c r="AQ58" s="3904"/>
      <c r="AR58" s="3904"/>
      <c r="AS58" s="3905">
        <v>0</v>
      </c>
    </row>
    <row s="15046" customFormat="1" customHeight="1" ht="15">
      <c r="A59" s="3886"/>
      <c r="B59" s="3886"/>
      <c r="C59" s="3886"/>
      <c r="D59" s="3886"/>
      <c r="E59" s="3887"/>
      <c r="F59" s="3887"/>
      <c r="G59" s="3887"/>
      <c r="H59" s="3887"/>
      <c r="I59" s="3888"/>
      <c r="J59" s="3889" t="str">
        <f>I47&amp;".2"</f>
        <v>1.1.1.1.1.2</v>
      </c>
      <c r="K59" s="3886"/>
      <c r="L59" s="3890"/>
      <c r="M59" s="3891"/>
      <c r="N59" s="3891"/>
      <c r="O59" s="3892"/>
      <c r="P59" s="3893"/>
      <c r="Q59" s="3893"/>
      <c r="R59" s="3918"/>
      <c r="S59" s="3944"/>
      <c r="T59" s="3945" t="s">
        <v>416</v>
      </c>
      <c r="U59" s="3946"/>
      <c r="V59" s="3947"/>
      <c r="W59" s="3948"/>
      <c r="X59" s="3949"/>
      <c r="Y59" s="3950"/>
      <c r="Z59" s="3951"/>
      <c r="AA59" s="3952"/>
      <c r="AB59" s="3953"/>
      <c r="AC59" s="3954"/>
      <c r="AD59" s="3955"/>
      <c r="AE59" s="3956"/>
      <c r="AF59" s="3957"/>
      <c r="AG59" s="3958"/>
      <c r="AH59" s="3959"/>
      <c r="AI59" s="3960"/>
      <c r="AJ59" s="3961"/>
      <c r="AK59" s="3962"/>
      <c r="AL59" s="3963"/>
      <c r="AM59" s="3939"/>
      <c r="AN59" s="3903"/>
      <c r="AO59" s="3904"/>
      <c r="AP59" s="3904" t="str">
        <f>IF(T59="","",T59)</f>
        <v>Добавить вид теплоносителя (параметры теплоносителя)</v>
      </c>
      <c r="AQ59" s="3904"/>
      <c r="AR59" s="3904"/>
      <c r="AS59" s="3905">
        <v>0</v>
      </c>
    </row>
    <row s="15067" customFormat="1" customHeight="1" ht="21">
      <c r="A60" s="3886"/>
      <c r="B60" s="3886"/>
      <c r="C60" s="3886"/>
      <c r="D60" s="3886"/>
      <c r="E60" s="3887"/>
      <c r="F60" s="3887"/>
      <c r="G60" s="3887"/>
      <c r="H60" s="3887"/>
      <c r="I60" s="3888"/>
      <c r="J60" s="3889" t="str">
        <f>I47&amp;".4"</f>
        <v>1.1.1.1.1.4</v>
      </c>
      <c r="K60" s="3886"/>
      <c r="L60" s="3890" t="s">
        <v>411</v>
      </c>
      <c r="M60" s="3891"/>
      <c r="N60" s="3891"/>
      <c r="O60" s="3892"/>
      <c r="P60" s="3893"/>
      <c r="Q60" s="3894" t="s">
        <v>454</v>
      </c>
      <c r="R60" s="3895"/>
      <c r="S60" s="3896" t="str">
        <f>$J60</f>
        <v>1.1.1.1.1.4</v>
      </c>
      <c r="T60" s="3897" t="s">
        <v>412</v>
      </c>
      <c r="U60" s="3898"/>
      <c r="V60" s="3899"/>
      <c r="W60" s="3900"/>
      <c r="X60" s="3900"/>
      <c r="Y60" s="3900"/>
      <c r="Z60" s="3900"/>
      <c r="AA60" s="3900"/>
      <c r="AB60" s="3900"/>
      <c r="AC60" s="3901"/>
      <c r="AD60" s="3899" t="s">
        <v>457</v>
      </c>
      <c r="AE60" s="3900"/>
      <c r="AF60" s="3900"/>
      <c r="AG60" s="3900"/>
      <c r="AH60" s="3900"/>
      <c r="AI60" s="3900"/>
      <c r="AJ60" s="3900"/>
      <c r="AK60" s="3900"/>
      <c r="AL60" s="3901"/>
      <c r="AM60" s="3902" t="s">
        <v>413</v>
      </c>
      <c r="AN60" s="3903"/>
      <c r="AO60" s="3904"/>
      <c r="AP60" s="3904" t="str">
        <f>IF(T60="","",T60)</f>
        <v>Группа потребителей</v>
      </c>
      <c r="AQ60" s="3904"/>
      <c r="AR60" s="3904"/>
      <c r="AS60" s="3905">
        <v>0</v>
      </c>
    </row>
    <row s="15068" customFormat="1" customHeight="1" ht="21">
      <c r="A61" s="3886"/>
      <c r="B61" s="3886"/>
      <c r="C61" s="3886"/>
      <c r="D61" s="3886"/>
      <c r="E61" s="3887"/>
      <c r="F61" s="3887"/>
      <c r="G61" s="3887"/>
      <c r="H61" s="3887"/>
      <c r="I61" s="3888"/>
      <c r="J61" s="3888" t="str">
        <f>I47&amp;".3"</f>
        <v>1.1.1.1.1.3</v>
      </c>
      <c r="K61" s="3889" t="str">
        <f>J60&amp;".1"</f>
        <v>1.1.1.1.1.4.1</v>
      </c>
      <c r="L61" s="3890" t="s">
        <v>414</v>
      </c>
      <c r="M61" s="3891"/>
      <c r="N61" s="3891"/>
      <c r="O61" s="3891"/>
      <c r="P61" s="3893"/>
      <c r="Q61" s="3893"/>
      <c r="R61" s="3895">
        <v>1</v>
      </c>
      <c r="S61" s="3896" t="str">
        <f>$K61</f>
        <v>1.1.1.1.1.4.1</v>
      </c>
      <c r="T61" s="3907" t="s">
        <v>453</v>
      </c>
      <c r="U61" s="3898"/>
      <c r="V61" s="3908"/>
      <c r="W61" s="3909"/>
      <c r="X61" s="3908"/>
      <c r="Y61" s="3910"/>
      <c r="Z61" s="3883"/>
      <c r="AA61" s="3338" t="s">
        <v>67</v>
      </c>
      <c r="AB61" s="3883"/>
      <c r="AC61" s="3338" t="s">
        <v>67</v>
      </c>
      <c r="AD61" s="3908">
        <v>6635.81</v>
      </c>
      <c r="AE61" s="3909"/>
      <c r="AF61" s="3908"/>
      <c r="AG61" s="3910"/>
      <c r="AH61" s="3883">
        <v>45658</v>
      </c>
      <c r="AI61" s="3338" t="s">
        <v>67</v>
      </c>
      <c r="AJ61" s="3883">
        <v>46022</v>
      </c>
      <c r="AK61" s="3338" t="s">
        <v>67</v>
      </c>
      <c r="AL61" s="3909"/>
      <c r="AM61" s="3911" t="s">
        <v>415</v>
      </c>
      <c r="AN61" s="3903">
        <f>STRCHECKDATE(V62:AL62)</f>
      </c>
      <c r="AO61" s="3904"/>
      <c r="AP61" s="3904" t="str">
        <f>IF(T61="","",T61)</f>
        <v>вода</v>
      </c>
      <c r="AQ61" s="3904"/>
      <c r="AR61" s="3904"/>
      <c r="AS61" s="3905">
        <v>0</v>
      </c>
    </row>
    <row s="15069" customFormat="1" customHeight="1" ht="0.75">
      <c r="A62" s="3886"/>
      <c r="B62" s="3886"/>
      <c r="C62" s="3886"/>
      <c r="D62" s="3886"/>
      <c r="E62" s="3887"/>
      <c r="F62" s="3887"/>
      <c r="G62" s="3887"/>
      <c r="H62" s="3887"/>
      <c r="I62" s="3888"/>
      <c r="J62" s="3888" t="str">
        <f>I47&amp;".3"</f>
        <v>1.1.1.1.1.3</v>
      </c>
      <c r="K62" s="3889"/>
      <c r="L62" s="3890"/>
      <c r="M62" s="3891"/>
      <c r="N62" s="3891"/>
      <c r="O62" s="3891"/>
      <c r="P62" s="3893"/>
      <c r="Q62" s="3893"/>
      <c r="R62" s="3895"/>
      <c r="S62" s="3913"/>
      <c r="T62" s="3898"/>
      <c r="U62" s="3898"/>
      <c r="V62" s="3909"/>
      <c r="W62" s="3909"/>
      <c r="X62" s="3909"/>
      <c r="Y62" s="3914" t="str">
        <f>Z61&amp;"-"&amp;AB61</f>
        <v>-</v>
      </c>
      <c r="Z62" s="3915"/>
      <c r="AA62" s="3338"/>
      <c r="AB62" s="3915"/>
      <c r="AC62" s="3338"/>
      <c r="AD62" s="3909"/>
      <c r="AE62" s="3909"/>
      <c r="AF62" s="3909"/>
      <c r="AG62" s="3914" t="str">
        <f>AH61&amp;"-"&amp;AJ61</f>
        <v>45658-46022</v>
      </c>
      <c r="AH62" s="3915"/>
      <c r="AI62" s="3338"/>
      <c r="AJ62" s="3915"/>
      <c r="AK62" s="3338"/>
      <c r="AL62" s="3909"/>
      <c r="AM62" s="3916"/>
      <c r="AN62" s="3903"/>
      <c r="AO62" s="3904"/>
      <c r="AP62" s="3904" t="str">
        <f>IF(T62="","",T62)</f>
        <v/>
      </c>
      <c r="AQ62" s="3904"/>
      <c r="AR62" s="3904"/>
      <c r="AS62" s="3905">
        <v>0</v>
      </c>
    </row>
    <row s="15070" customFormat="1" customHeight="1" ht="15">
      <c r="A63" s="3886"/>
      <c r="B63" s="3886"/>
      <c r="C63" s="3886"/>
      <c r="D63" s="3886"/>
      <c r="E63" s="3887"/>
      <c r="F63" s="3887"/>
      <c r="G63" s="3887"/>
      <c r="H63" s="3887"/>
      <c r="I63" s="3888"/>
      <c r="J63" s="3889" t="str">
        <f>I47&amp;".3"</f>
        <v>1.1.1.1.1.3</v>
      </c>
      <c r="K63" s="3886"/>
      <c r="L63" s="3890"/>
      <c r="M63" s="3891"/>
      <c r="N63" s="3891"/>
      <c r="O63" s="3892"/>
      <c r="P63" s="3893"/>
      <c r="Q63" s="3893"/>
      <c r="R63" s="3918"/>
      <c r="S63" s="3968"/>
      <c r="T63" s="3969" t="s">
        <v>416</v>
      </c>
      <c r="U63" s="3970"/>
      <c r="V63" s="3971"/>
      <c r="W63" s="3972"/>
      <c r="X63" s="3973"/>
      <c r="Y63" s="3974"/>
      <c r="Z63" s="3975"/>
      <c r="AA63" s="3976"/>
      <c r="AB63" s="3977"/>
      <c r="AC63" s="3978"/>
      <c r="AD63" s="3979"/>
      <c r="AE63" s="3980"/>
      <c r="AF63" s="3981"/>
      <c r="AG63" s="3982"/>
      <c r="AH63" s="3983"/>
      <c r="AI63" s="3984"/>
      <c r="AJ63" s="3985"/>
      <c r="AK63" s="3986"/>
      <c r="AL63" s="3987"/>
      <c r="AM63" s="3939"/>
      <c r="AN63" s="3903"/>
      <c r="AO63" s="3904"/>
      <c r="AP63" s="3904" t="str">
        <f>IF(T63="","",T63)</f>
        <v>Добавить вид теплоносителя (параметры теплоносителя)</v>
      </c>
      <c r="AQ63" s="3904"/>
      <c r="AR63" s="3904"/>
      <c r="AS63" s="3905">
        <v>0</v>
      </c>
    </row>
    <row customHeight="1" ht="11.549999999999999">
      <c r="A64" s="1647" t="s">
        <v>165</v>
      </c>
      <c r="B64" s="1647" t="s">
        <v>166</v>
      </c>
      <c r="C64" s="1647" t="s">
        <v>167</v>
      </c>
      <c r="D64" s="1647" t="s">
        <v>168</v>
      </c>
      <c r="E64" s="2543"/>
      <c r="F64" s="2543"/>
      <c r="G64" s="2543"/>
      <c r="H64" s="2543"/>
      <c r="I64" s="2540"/>
      <c r="J64" s="1647"/>
      <c r="K64" s="1647"/>
      <c r="L64" s="1648"/>
      <c r="P64" s="2541"/>
      <c r="Q64" s="1615"/>
      <c r="R64" s="640"/>
      <c r="S64" s="1562"/>
      <c r="T64" s="571" t="s">
        <v>417</v>
      </c>
      <c r="U64" s="651"/>
      <c r="V64" s="651"/>
      <c r="W64" s="651"/>
      <c r="X64" s="651"/>
      <c r="Y64" s="651"/>
      <c r="Z64" s="651"/>
      <c r="AA64" s="651"/>
      <c r="AB64" s="651"/>
      <c r="AC64" s="650"/>
      <c r="AD64" s="651"/>
      <c r="AE64" s="651"/>
      <c r="AF64" s="651"/>
      <c r="AG64" s="651"/>
      <c r="AH64" s="651"/>
      <c r="AI64" s="651"/>
      <c r="AJ64" s="651"/>
      <c r="AK64" s="650"/>
      <c r="AL64" s="651"/>
      <c r="AM64" s="587"/>
      <c r="AO64" s="784"/>
      <c r="AP64" s="784" t="str">
        <f>IF(T64="","",T64)</f>
        <v>Добавить группу потребителей</v>
      </c>
      <c r="AQ64" s="784"/>
      <c r="AR64" s="784"/>
      <c r="AS64" s="1439">
        <v>11</v>
      </c>
    </row>
    <row customHeight="1" ht="14.699999999999998">
      <c r="A65" s="1647" t="s">
        <v>165</v>
      </c>
      <c r="B65" s="1647" t="s">
        <v>166</v>
      </c>
      <c r="C65" s="1647" t="s">
        <v>167</v>
      </c>
      <c r="D65" s="1647" t="s">
        <v>168</v>
      </c>
      <c r="E65" s="2543"/>
      <c r="F65" s="2543"/>
      <c r="G65" s="2543"/>
      <c r="H65" s="2542"/>
      <c r="I65" s="1647"/>
      <c r="J65" s="1647"/>
      <c r="K65" s="1647"/>
      <c r="L65" s="1648"/>
      <c r="M65" s="1649"/>
      <c r="N65" s="1649"/>
      <c r="O65" s="821"/>
      <c r="P65" s="644"/>
      <c r="Q65" s="659"/>
      <c r="R65" s="639"/>
      <c r="S65" s="1562"/>
      <c r="T65" s="649" t="s">
        <v>418</v>
      </c>
      <c r="U65" s="651"/>
      <c r="V65" s="651"/>
      <c r="W65" s="651"/>
      <c r="X65" s="651"/>
      <c r="Y65" s="651"/>
      <c r="Z65" s="651"/>
      <c r="AA65" s="651"/>
      <c r="AB65" s="651"/>
      <c r="AC65" s="650"/>
      <c r="AD65" s="651"/>
      <c r="AE65" s="651"/>
      <c r="AF65" s="651"/>
      <c r="AG65" s="651"/>
      <c r="AH65" s="651"/>
      <c r="AI65" s="651"/>
      <c r="AJ65" s="651"/>
      <c r="AK65" s="650"/>
      <c r="AL65" s="651"/>
      <c r="AM65" s="587"/>
      <c r="AO65" s="784"/>
      <c r="AP65" s="784" t="str">
        <f>IF(T65="","",T65)</f>
        <v>Добавить схему подключения</v>
      </c>
      <c r="AQ65" s="784"/>
      <c r="AR65" s="784"/>
      <c r="AS65" s="1439">
        <v>14</v>
      </c>
    </row>
    <row s="14158" customFormat="1" customHeight="1" ht="1.05">
      <c r="A66" s="1627" t="s">
        <v>165</v>
      </c>
      <c r="B66" s="1627" t="s">
        <v>166</v>
      </c>
      <c r="C66" s="1627" t="s">
        <v>167</v>
      </c>
      <c r="D66" s="1598"/>
      <c r="E66" s="2543"/>
      <c r="F66" s="2543"/>
      <c r="G66" s="2542"/>
      <c r="H66" s="1598"/>
      <c r="I66" s="1598"/>
      <c r="J66" s="1598"/>
      <c r="K66" s="1598"/>
      <c r="L66" s="1623"/>
      <c r="M66" s="1599"/>
      <c r="N66" s="1599"/>
      <c r="P66" s="1600"/>
      <c r="Q66" s="1601"/>
      <c r="R66" s="1600"/>
      <c r="S66" s="1606"/>
      <c r="T66" s="1609" t="s">
        <v>169</v>
      </c>
      <c r="U66" s="1608"/>
      <c r="V66" s="1608"/>
      <c r="W66" s="1608"/>
      <c r="X66" s="1608"/>
      <c r="Y66" s="1608"/>
      <c r="Z66" s="1608"/>
      <c r="AA66" s="1608"/>
      <c r="AB66" s="1608"/>
      <c r="AC66" s="1608"/>
      <c r="AD66" s="1608"/>
      <c r="AE66" s="1608"/>
      <c r="AF66" s="1608"/>
      <c r="AG66" s="1608"/>
      <c r="AH66" s="1608"/>
      <c r="AI66" s="1608"/>
      <c r="AJ66" s="1608"/>
      <c r="AK66" s="1608"/>
      <c r="AL66" s="1608"/>
      <c r="AM66" s="1608"/>
      <c r="AO66" s="1073"/>
      <c r="AP66" s="1073" t="str">
        <f>IF(T66="","",T66)</f>
        <v>Добавить источник для дифференциации</v>
      </c>
      <c r="AQ66" s="1073"/>
      <c r="AR66" s="1073"/>
      <c r="AS66" s="802">
        <v>1</v>
      </c>
    </row>
    <row s="14158" customFormat="1" customHeight="1" ht="1.05">
      <c r="A67" s="1627" t="s">
        <v>165</v>
      </c>
      <c r="B67" s="1627" t="s">
        <v>166</v>
      </c>
      <c r="C67" s="1598"/>
      <c r="D67" s="1598"/>
      <c r="E67" s="2543"/>
      <c r="F67" s="2542"/>
      <c r="G67" s="1598"/>
      <c r="H67" s="1598"/>
      <c r="I67" s="1598"/>
      <c r="J67" s="1598"/>
      <c r="K67" s="1598"/>
      <c r="L67" s="1623"/>
      <c r="M67" s="1605"/>
      <c r="N67" s="1605"/>
      <c r="P67" s="1600"/>
      <c r="Q67" s="1601"/>
      <c r="R67" s="1600"/>
      <c r="S67" s="1606"/>
      <c r="T67" s="1609" t="s">
        <v>170</v>
      </c>
      <c r="U67" s="1608"/>
      <c r="V67" s="1608"/>
      <c r="W67" s="1608"/>
      <c r="X67" s="1608"/>
      <c r="Y67" s="1608"/>
      <c r="Z67" s="1608"/>
      <c r="AA67" s="1608"/>
      <c r="AB67" s="1608"/>
      <c r="AC67" s="1608"/>
      <c r="AD67" s="1608"/>
      <c r="AE67" s="1608"/>
      <c r="AF67" s="1608"/>
      <c r="AG67" s="1608"/>
      <c r="AH67" s="1608"/>
      <c r="AI67" s="1608"/>
      <c r="AJ67" s="1608"/>
      <c r="AK67" s="1608"/>
      <c r="AL67" s="1608"/>
      <c r="AM67" s="1608"/>
      <c r="AO67" s="1073"/>
      <c r="AP67" s="1073" t="str">
        <f>IF(T67="","",T67)</f>
        <v>Добавить централизованную систему для дифференциации</v>
      </c>
      <c r="AQ67" s="1073"/>
      <c r="AR67" s="1073"/>
      <c r="AS67" s="802">
        <v>1</v>
      </c>
    </row>
    <row s="14158" customFormat="1" customHeight="1" ht="1.05">
      <c r="A68" s="1627" t="s">
        <v>165</v>
      </c>
      <c r="B68" s="1627"/>
      <c r="C68" s="1627"/>
      <c r="D68" s="1627"/>
      <c r="E68" s="2542"/>
      <c r="F68" s="1627"/>
      <c r="G68" s="1627"/>
      <c r="H68" s="1627"/>
      <c r="I68" s="1627"/>
      <c r="J68" s="1627"/>
      <c r="K68" s="1627"/>
      <c r="L68" s="1630"/>
      <c r="M68" s="1605"/>
      <c r="N68" s="1605"/>
      <c r="O68" s="802"/>
      <c r="P68" s="664"/>
      <c r="Q68" s="1628"/>
      <c r="R68" s="664"/>
      <c r="S68" s="1606"/>
      <c r="T68" s="1609" t="s">
        <v>171</v>
      </c>
      <c r="U68" s="1608"/>
      <c r="V68" s="1608"/>
      <c r="W68" s="1608"/>
      <c r="X68" s="1608"/>
      <c r="Y68" s="1608"/>
      <c r="Z68" s="1608"/>
      <c r="AA68" s="1608"/>
      <c r="AB68" s="1608"/>
      <c r="AC68" s="1608"/>
      <c r="AD68" s="1608"/>
      <c r="AE68" s="1608"/>
      <c r="AF68" s="1608"/>
      <c r="AG68" s="1608"/>
      <c r="AH68" s="1608"/>
      <c r="AI68" s="1608"/>
      <c r="AJ68" s="1608"/>
      <c r="AK68" s="1608"/>
      <c r="AL68" s="1608"/>
      <c r="AM68" s="1608"/>
      <c r="AO68" s="784"/>
      <c r="AP68" s="784" t="str">
        <f>IF(T68="","",T68)</f>
        <v>Добавить территорию для дифференциации</v>
      </c>
      <c r="AQ68" s="784"/>
      <c r="AR68" s="784"/>
      <c r="AS68" s="795">
        <v>1</v>
      </c>
    </row>
    <row s="14158" customFormat="1" customHeight="1" ht="1.05">
      <c r="A69" s="1598"/>
      <c r="B69" s="1598"/>
      <c r="C69" s="1598"/>
      <c r="D69" s="1598"/>
      <c r="E69" s="1627"/>
      <c r="F69" s="1598"/>
      <c r="G69" s="1598"/>
      <c r="H69" s="1598"/>
      <c r="I69" s="1598"/>
      <c r="J69" s="1598"/>
      <c r="K69" s="1598"/>
      <c r="L69" s="1623"/>
      <c r="M69" s="1605"/>
      <c r="N69" s="1605"/>
      <c r="P69" s="1600"/>
      <c r="Q69" s="1601"/>
      <c r="R69" s="1600"/>
      <c r="S69" s="1606"/>
      <c r="T69" s="1609" t="s">
        <v>172</v>
      </c>
      <c r="U69" s="1608"/>
      <c r="V69" s="1608"/>
      <c r="W69" s="1608"/>
      <c r="X69" s="1608"/>
      <c r="Y69" s="1608"/>
      <c r="Z69" s="1608"/>
      <c r="AA69" s="1608"/>
      <c r="AB69" s="1608"/>
      <c r="AC69" s="1608"/>
      <c r="AD69" s="1608"/>
      <c r="AE69" s="1608"/>
      <c r="AF69" s="1608"/>
      <c r="AG69" s="1608"/>
      <c r="AH69" s="1608"/>
      <c r="AI69" s="1608"/>
      <c r="AJ69" s="1608"/>
      <c r="AK69" s="1608"/>
      <c r="AL69" s="1608"/>
      <c r="AM69" s="1608"/>
      <c r="AO69" s="1073"/>
      <c r="AP69" s="1073" t="str">
        <f>IF(T69="","",T69)</f>
        <v>Добавить наименование тарифа</v>
      </c>
      <c r="AQ69" s="1073"/>
      <c r="AR69" s="1073"/>
      <c r="AS69" s="802">
        <v>1</v>
      </c>
    </row>
    <row customHeight="1" ht="11.549999999999999">
      <c r="M70" s="1444"/>
      <c r="N70" s="1444"/>
      <c r="O70" s="821"/>
      <c r="P70" s="1439"/>
      <c r="Q70" s="1439"/>
      <c r="R70" s="1439"/>
      <c r="S70" s="1439"/>
      <c r="AN70" s="1439"/>
      <c r="AO70" s="1439"/>
      <c r="AP70" s="1439"/>
      <c r="AQ70" s="1439"/>
      <c r="AR70" s="1439"/>
      <c r="AS70" s="1439">
        <v>11</v>
      </c>
    </row>
    <row customHeight="1" ht="28.5">
      <c r="O71" s="821"/>
      <c r="S71" s="1537"/>
      <c r="T71" s="2569"/>
      <c r="U71" s="2569"/>
      <c r="V71" s="2569"/>
      <c r="W71" s="2569"/>
      <c r="X71" s="2569"/>
      <c r="Y71" s="2569"/>
      <c r="Z71" s="2569"/>
      <c r="AA71" s="2569"/>
      <c r="AB71" s="2569"/>
      <c r="AC71" s="2569"/>
      <c r="AD71" s="2569"/>
      <c r="AE71" s="2569"/>
      <c r="AF71" s="2569"/>
      <c r="AG71" s="2569"/>
      <c r="AH71" s="2569"/>
      <c r="AI71" s="2569"/>
      <c r="AJ71" s="2569"/>
      <c r="AK71" s="2569"/>
      <c r="AL71" s="2569"/>
      <c r="AM71" s="2569"/>
      <c r="AS71" s="1439">
        <v>27</v>
      </c>
    </row>
    <row customHeight="1" ht="65.25">
      <c r="O72" s="821"/>
      <c r="T72" s="2569"/>
      <c r="U72" s="2569"/>
      <c r="V72" s="2569"/>
      <c r="W72" s="2569"/>
      <c r="X72" s="2569"/>
      <c r="Y72" s="2569"/>
      <c r="Z72" s="2569"/>
      <c r="AA72" s="2569"/>
      <c r="AB72" s="2569"/>
      <c r="AC72" s="2569"/>
      <c r="AD72" s="2569"/>
      <c r="AE72" s="2569"/>
      <c r="AF72" s="2569"/>
      <c r="AG72" s="2569"/>
      <c r="AH72" s="2569"/>
      <c r="AI72" s="2569"/>
      <c r="AJ72" s="2569"/>
      <c r="AK72" s="2569"/>
      <c r="AL72" s="2569"/>
      <c r="AM72" s="2569"/>
      <c r="AS72" s="1439">
        <v>62</v>
      </c>
    </row>
    <row customHeight="1" ht="14.699999999999998">
      <c r="O73" s="821"/>
      <c r="AS73" s="1439">
        <v>14</v>
      </c>
    </row>
    <row customHeight="1" ht="18.75">
      <c r="O74" s="821"/>
      <c r="S74" s="1537"/>
      <c r="T74" s="2569"/>
      <c r="U74" s="2569"/>
      <c r="V74" s="2569"/>
      <c r="W74" s="2569"/>
      <c r="X74" s="2569"/>
      <c r="Y74" s="2569"/>
      <c r="Z74" s="2569"/>
      <c r="AA74" s="2569"/>
      <c r="AB74" s="2569"/>
      <c r="AC74" s="2569"/>
      <c r="AD74" s="2569"/>
      <c r="AE74" s="2569"/>
      <c r="AF74" s="2569"/>
      <c r="AG74" s="2569"/>
      <c r="AH74" s="2569"/>
      <c r="AI74" s="2569"/>
      <c r="AJ74" s="2569"/>
      <c r="AK74" s="2569"/>
      <c r="AL74" s="2569"/>
      <c r="AM74" s="2569"/>
      <c r="AS74" s="1439">
        <v>18</v>
      </c>
    </row>
    <row customHeight="1" ht="18.75">
      <c r="O75" s="821"/>
      <c r="T75" s="2569"/>
      <c r="U75" s="2569"/>
      <c r="V75" s="2569"/>
      <c r="W75" s="2569"/>
      <c r="X75" s="2569"/>
      <c r="Y75" s="2569"/>
      <c r="Z75" s="2569"/>
      <c r="AA75" s="2569"/>
      <c r="AB75" s="2569"/>
      <c r="AC75" s="2569"/>
      <c r="AD75" s="2569"/>
      <c r="AE75" s="2569"/>
      <c r="AF75" s="2569"/>
      <c r="AG75" s="2569"/>
      <c r="AH75" s="2569"/>
      <c r="AI75" s="2569"/>
      <c r="AJ75" s="2569"/>
      <c r="AK75" s="2569"/>
      <c r="AL75" s="2569"/>
      <c r="AM75" s="2569"/>
      <c r="AS75" s="1439">
        <v>18</v>
      </c>
    </row>
    <row customHeight="1" ht="29.25">
      <c r="O76" s="821"/>
      <c r="S76" s="1537"/>
      <c r="T76" s="2569"/>
      <c r="U76" s="2569"/>
      <c r="V76" s="2569"/>
      <c r="W76" s="2569"/>
      <c r="X76" s="2569"/>
      <c r="Y76" s="2569"/>
      <c r="Z76" s="2569"/>
      <c r="AA76" s="2569"/>
      <c r="AB76" s="2569"/>
      <c r="AC76" s="2569"/>
      <c r="AD76" s="2569"/>
      <c r="AE76" s="2569"/>
      <c r="AF76" s="2569"/>
      <c r="AG76" s="2569"/>
      <c r="AH76" s="2569"/>
      <c r="AI76" s="2569"/>
      <c r="AJ76" s="2569"/>
      <c r="AK76" s="2569"/>
      <c r="AL76" s="2569"/>
      <c r="AM76" s="2569"/>
      <c r="AS76" s="1439">
        <v>28</v>
      </c>
    </row>
    <row customHeight="1" ht="22.5" hidden="1">
      <c r="A77" s="1444" t="s">
        <v>83</v>
      </c>
      <c r="B77" s="1444">
        <v>0</v>
      </c>
      <c r="C77" s="1444">
        <v>0</v>
      </c>
      <c r="D77" s="1444">
        <v>0</v>
      </c>
      <c r="E77" s="1444">
        <v>0</v>
      </c>
      <c r="F77" s="1444">
        <v>0</v>
      </c>
      <c r="G77" s="1444">
        <v>0</v>
      </c>
      <c r="H77" s="1444">
        <v>0</v>
      </c>
      <c r="I77" s="1444">
        <v>0</v>
      </c>
      <c r="J77" s="1444">
        <v>0</v>
      </c>
      <c r="K77" s="1444">
        <v>0</v>
      </c>
      <c r="L77" s="1613">
        <v>0</v>
      </c>
      <c r="M77" s="1646">
        <v>0</v>
      </c>
      <c r="N77" s="1646">
        <v>0</v>
      </c>
      <c r="O77" s="1646">
        <v>0</v>
      </c>
      <c r="P77" s="1612">
        <v>3</v>
      </c>
      <c r="Q77" s="628">
        <v>3</v>
      </c>
      <c r="R77" s="628">
        <v>3</v>
      </c>
      <c r="S77" s="865">
        <v>12</v>
      </c>
      <c r="T77" s="1439">
        <v>31</v>
      </c>
      <c r="U77" s="1439">
        <v>0</v>
      </c>
      <c r="V77" s="1439">
        <v>0</v>
      </c>
      <c r="W77" s="1439">
        <v>0</v>
      </c>
      <c r="X77" s="1439">
        <v>0</v>
      </c>
      <c r="Y77" s="1439">
        <v>0</v>
      </c>
      <c r="Z77" s="1439">
        <v>0</v>
      </c>
      <c r="AA77" s="1439">
        <v>0</v>
      </c>
      <c r="AB77" s="1439">
        <v>0</v>
      </c>
      <c r="AC77" s="1439">
        <v>0</v>
      </c>
      <c r="AD77" s="1439">
        <v>24</v>
      </c>
      <c r="AE77" s="1439">
        <v>0</v>
      </c>
      <c r="AF77" s="1439">
        <v>24</v>
      </c>
      <c r="AG77" s="1439">
        <v>24</v>
      </c>
      <c r="AH77" s="1439">
        <v>11</v>
      </c>
      <c r="AI77" s="1439">
        <v>3</v>
      </c>
      <c r="AJ77" s="1439">
        <v>11</v>
      </c>
      <c r="AK77" s="1439">
        <v>0</v>
      </c>
      <c r="AL77" s="1439">
        <v>4</v>
      </c>
      <c r="AM77" s="1439">
        <v>115</v>
      </c>
      <c r="AN77" s="795">
        <v>10</v>
      </c>
      <c r="AO77" s="795">
        <v>10</v>
      </c>
      <c r="AP77" s="795">
        <v>10</v>
      </c>
      <c r="AQ77" s="795">
        <v>10</v>
      </c>
      <c r="AR77" s="795">
        <v>10</v>
      </c>
      <c r="AS77" s="1439">
        <v>23</v>
      </c>
    </row>
  </sheetData>
  <sheetProtection formatColumns="0" formatRows="0" autoFilter="0" sort="0" insertRows="0" insertColumns="1" deleteRows="0" deleteColumns="0"/>
  <mergeCells count="154">
    <mergeCell ref="T75:AM75"/>
    <mergeCell ref="T76:AM76"/>
    <mergeCell ref="T74:AM74"/>
    <mergeCell ref="AM49:AM51"/>
    <mergeCell ref="T71:AM71"/>
    <mergeCell ref="T72:AM72"/>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68"/>
    <mergeCell ref="V43:AC43"/>
    <mergeCell ref="AD43:AL43"/>
    <mergeCell ref="F44:F67"/>
    <mergeCell ref="V44:AC44"/>
    <mergeCell ref="AD44:AL44"/>
    <mergeCell ref="G45:G66"/>
    <mergeCell ref="V45:AC45"/>
    <mergeCell ref="AD45:AL45"/>
    <mergeCell ref="H46:H65"/>
    <mergeCell ref="V46:AC46"/>
    <mergeCell ref="AD46:AL46"/>
    <mergeCell ref="I47:I64"/>
    <mergeCell ref="P47:P64"/>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AM8:AM10"/>
    <mergeCell ref="AH17:AH18"/>
    <mergeCell ref="AI17:AI18"/>
    <mergeCell ref="AJ17:AJ18"/>
    <mergeCell ref="AK17:AK18"/>
    <mergeCell ref="AH8:AH9"/>
    <mergeCell ref="AI8:AI9"/>
    <mergeCell ref="AJ8:AJ9"/>
    <mergeCell ref="AK8:AK9"/>
    <mergeCell ref="V7:AC7"/>
    <mergeCell ref="AD7:AL7"/>
    <mergeCell ref="V2:AC2"/>
    <mergeCell ref="AD2:AL2"/>
    <mergeCell ref="V3:AC3"/>
    <mergeCell ref="AD3:AL3"/>
    <mergeCell ref="V4:AC4"/>
    <mergeCell ref="AD4:AL4"/>
    <mergeCell ref="V5:AC5"/>
    <mergeCell ref="AD5:AL5"/>
    <mergeCell ref="V6:AC6"/>
    <mergeCell ref="AD6:AL6"/>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 ref="AM53:AM55"/>
    <mergeCell ref="AH53:AH54"/>
    <mergeCell ref="AI53:AI54"/>
    <mergeCell ref="AJ53:AJ54"/>
    <mergeCell ref="AK53:AK54"/>
    <mergeCell ref="V52:AC52"/>
    <mergeCell ref="AD52:AL52"/>
    <mergeCell ref="J52:J55"/>
    <mergeCell ref="Q52:Q55"/>
    <mergeCell ref="K53:K54"/>
    <mergeCell ref="Z53:Z54"/>
    <mergeCell ref="AA53:AA54"/>
    <mergeCell ref="AB53:AB54"/>
    <mergeCell ref="AC53:AC54"/>
    <mergeCell ref="AM57:AM59"/>
    <mergeCell ref="AH57:AH58"/>
    <mergeCell ref="AI57:AI58"/>
    <mergeCell ref="AJ57:AJ58"/>
    <mergeCell ref="AK57:AK58"/>
    <mergeCell ref="V56:AC56"/>
    <mergeCell ref="AD56:AL56"/>
    <mergeCell ref="J56:J59"/>
    <mergeCell ref="Q56:Q59"/>
    <mergeCell ref="K57:K58"/>
    <mergeCell ref="Z57:Z58"/>
    <mergeCell ref="AA57:AA58"/>
    <mergeCell ref="AB57:AB58"/>
    <mergeCell ref="AC57:AC58"/>
    <mergeCell ref="AM61:AM63"/>
    <mergeCell ref="AH61:AH62"/>
    <mergeCell ref="AI61:AI62"/>
    <mergeCell ref="AJ61:AJ62"/>
    <mergeCell ref="AK61:AK62"/>
    <mergeCell ref="V60:AC60"/>
    <mergeCell ref="AD60:AL60"/>
    <mergeCell ref="J60:J63"/>
    <mergeCell ref="Q60:Q63"/>
    <mergeCell ref="K61:K62"/>
    <mergeCell ref="Z61:Z62"/>
    <mergeCell ref="AA61:AA62"/>
    <mergeCell ref="AB61:AB62"/>
    <mergeCell ref="AC61:AC62"/>
  </mergeCells>
  <dataValidations count="8">
    <dataValidation allowBlank="1" promptTitle="checkPeriodRange" sqref="Y65598 Y131134 Y196670 Y262206 Y327742 Y393278 Y458814 Y524350 Y589886 Y655422 Y720958 Y786494 Y852030 Y917566 Y983102 Y9 AG65598 AG131134 AG196670 AG262206 AG327742 AG393278 AG458814 AG524350 AG589886 AG655422 AG720958 AG786494 AG852030 AG917566 AG983102 AG9 AG50 AG18 Y50 Y54 AG54 Y58 AG58 Y62 AG62"/>
    <dataValidation allowBlank="1" showInputMessage="1" showErrorMessage="1" prompt="Для выбора выполните двойной щелчок левой клавиши мыши по соответствующей ячейке." sqref="AA65597 AA131133 AA196669 AA262205 AA327741 AA393277 AA458813 AA524349 AA589885 AA655421 AA720957 AA786493 AA852029 AA917565 AA983101 AC131133 AC458813 AC196669 AC262205 AC327741 AC393277 AC524349 AC589885 AC655421 AC720957 AC786493 AC852029 AC917565 AC983101 AC65597 AI65597 AI131133 AI196669 AI262205 AI327741 AI393277 AI458813 AI524349 AI589885 AI655421 AI720957 AI786493 AI852029 AI917565 AI983101 AK327741 AK393277 AK49 AK524349 AK8 AK589885 AK655421 AK17 AK720957 AK786493 AK852029 AK917565 AK983101 AK65597 AK131133 AI49 AK458813 AI8 AC8 AA8 AI17 AK196669 AA49 AC49 AK262205 AA53 AC53 AI53 AK53 AA57 AC57 AI57 AK57 AA61 AC61 AI61 AK61"/>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97 Z131133 Z196669 Z262205 Z327741 Z393277 Z458813 Z524349 Z589885 Z655421 Z720957 Z786493 Z852029 Z917565 Z983101 AB65597 AB131133 AB196669 AB262205 AB327741 AB393277 AB458813 AB524349 AB589885 AB655421 AB720957 AB786493 AB852029 AB917565 AB983101 Z8 AH65597 AH131133 AH196669 AH262205 AH327741 AH393277 AH458813 AH524349 AH589885 AH655421 AH720957 AH786493 AH852029 AH917565 AH983101 AJ65597 AJ131133 AJ196669 AJ262205 AJ327741 AJ393277 AJ458813 AJ524349 AJ589885 AJ655421 AJ720957 AJ786493 AJ852029 AJ917565 AJ983101 AJ49 AH49 AH8 AJ8 AB8 AH17 AJ17 Z49 AB49 Z53 AB53 AH53 AJ53 Z57 AB57 AH57 AJ57 Z61 AB61 AH61 AJ61"/>
    <dataValidation type="list" allowBlank="1" showInputMessage="1" showErrorMessage="1" errorTitle="Ошибка" error="Выберите значение из списка" sqref="T65597 T131133 T196669 T262205 T327741 T393277 T458813 T524349 T589885 T655421 T720957 T786493 T852029 T917565 T983101">
      <formula1>kind_of_heat_transfer</formula1>
    </dataValidation>
    <dataValidation type="textLength" operator="lessThanOrEqual" allowBlank="1" showInputMessage="1" showErrorMessage="1" errorTitle="Ошибка" error="Допускается ввод не более 900 символов!" sqref="AM65591:AM65598 AM131127:AM131134 AM196663:AM196670 AM262199:AM262206 AM327735:AM327742 AM393271:AM393278 AM458807:AM458814 AM524343:AM524350 AM589879:AM589886 AM655415:AM655422 AM720951:AM720958 AM786487:AM786494 AM852023:AM852030 AM917559:AM917566 AM983095:AM983102">
      <formula1>900</formula1>
    </dataValidation>
    <dataValidation type="list" allowBlank="1" showInputMessage="1" showErrorMessage="1" errorTitle="Ошибка" error="Выберите значение из списка" sqref="V983099:W983099 V65595:W65595 V131131:W131131 V196667:W196667 V262203:W262203 V327739:W327739 V393275:W393275 V458811:W458811 V524347:W524347 V589883:W589883 V655419:W655419 V720955:W720955 V786491:W786491 V852027:W852027 V917563:W917563 AD983099:AE983099 AD65595:AE65595 AD131131:AE131131 AD196667:AE196667 AD262203:AE262203 AD327739:AE327739 AD393275:AE393275 AD458811:AE458811 AD524347:AE524347 AD589883:AE589883 AD655419:AE655419 AD720955:AE720955 AD786491:AE786491 AD852027:AE852027 AD917563:AE917563">
      <formula1>kind_of_scheme_in</formula1>
    </dataValidation>
    <dataValidation allowBlank="1" sqref="S131135:AM131141 S196671:AM196677 S262207:AM262213 S327743:AM327749 S393279:AM393285 S458815:AM458821 S524351:AM524357 S589887:AM589893 S655423:AM655429 S720959:AM720965 S786495:AM786501 S852031:AM852037 S917567:AM917573 S983103:AM983109 S65599:AM65605"/>
    <dataValidation type="list" allowBlank="1" showInputMessage="1" errorTitle="Ошибка" error="Выберите значение из списка" prompt="Выберите значение из списка" sqref="V983100:AL983100 V65596:AL65596 V131132:AL131132 V196668:AL196668 V262204:AL262204 V327740:AL327740 V393276:AL393276 V458812:AL458812 V524348:AL524348 V589884:AL589884 V655420:AL655420 V720956:AL720956 V786492:AL786492 V852028:AL852028 V917564:AL917564">
      <formula1>kind_of_cons</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E153498-C0D8-11EE-B558-E1570851132E}"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4077" width="10.57421875" hidden="1"/>
    <col min="2" max="2" style="14077" width="11.00390625" hidden="1" customWidth="1"/>
    <col min="3" max="3" style="14077" width="10.57421875" hidden="1"/>
    <col min="4" max="4" style="14077" width="11.8515625" hidden="1" customWidth="1"/>
    <col min="5" max="5" style="14077" width="10.00390625" hidden="1" customWidth="1"/>
    <col min="6" max="6" style="14077" width="8.7109375" hidden="1" customWidth="1"/>
    <col min="7" max="7" style="14077" width="7.57421875" hidden="1" customWidth="1"/>
    <col min="8" max="8" style="14077" width="11.421875" hidden="1" customWidth="1"/>
    <col min="9" max="9" style="14077" width="12.00390625" hidden="1" customWidth="1"/>
    <col min="10" max="10" style="14077" width="9.8515625" hidden="1" customWidth="1"/>
    <col min="11" max="11" style="14077" width="11.421875" hidden="1" customWidth="1"/>
    <col min="12" max="12" style="14155" width="19.140625" hidden="1" customWidth="1"/>
    <col min="13" max="14" style="14976" width="12.28125" hidden="1" customWidth="1"/>
    <col min="15" max="15" style="14976" width="23.421875" hidden="1" customWidth="1"/>
    <col min="16" max="16" style="14976" width="3.00390625" customWidth="1"/>
    <col min="17" max="18" style="14977" width="3.00390625" customWidth="1"/>
    <col min="19" max="19" style="14978" width="12.00390625" customWidth="1"/>
    <col min="20" max="20" style="14077" width="31.00390625" customWidth="1"/>
    <col min="21" max="21" style="14077" width="0.140625" customWidth="1"/>
    <col min="22" max="22" style="14077" width="24.7109375" hidden="1" customWidth="1"/>
    <col min="23" max="23" style="14077" width="0.140625" hidden="1" customWidth="1"/>
    <col min="24" max="25" style="14077" width="24.7109375" hidden="1" customWidth="1"/>
    <col min="26" max="26" style="14077" width="11.7109375" hidden="1" customWidth="1"/>
    <col min="27" max="27" style="14077" width="3.7109375" hidden="1" customWidth="1"/>
    <col min="28" max="28" style="14077" width="11.7109375" hidden="1" customWidth="1"/>
    <col min="29" max="29" style="14077" width="8.57421875" hidden="1" customWidth="1"/>
    <col min="30" max="30" style="14077" width="24.7109375" customWidth="1"/>
    <col min="31" max="31" style="14077" width="0.140625" customWidth="1"/>
    <col min="32" max="33" style="14077" width="24.00390625" customWidth="1"/>
    <col min="34" max="34" style="14077" width="11.00390625" customWidth="1"/>
    <col min="35" max="35" style="14077" width="3.7109375" customWidth="1"/>
    <col min="36" max="36" style="14077" width="11.00390625" customWidth="1"/>
    <col min="37" max="37" style="14077" width="8.57421875" hidden="1" customWidth="1"/>
    <col min="38" max="38" style="14077" width="4.00390625" customWidth="1"/>
    <col min="39" max="39" style="14077" width="115.00390625" customWidth="1"/>
    <col min="40" max="44" style="14158" width="10.00390625" customWidth="1"/>
    <col min="45" max="45" style="14077" width="10.57421875" hidden="1"/>
  </cols>
  <sheetData>
    <row customHeight="1" ht="22.5" hidden="1">
      <c r="AS1" s="1915" t="s">
        <v>14</v>
      </c>
    </row>
    <row customHeight="1" ht="21" hidden="1">
      <c r="A2" s="1551"/>
      <c r="B2" s="1551"/>
      <c r="C2" s="1551"/>
      <c r="D2" s="1551"/>
      <c r="E2" s="2573">
        <v>1</v>
      </c>
      <c r="F2" s="1551"/>
      <c r="G2" s="1551"/>
      <c r="H2" s="1551"/>
      <c r="I2" s="1551"/>
      <c r="J2" s="1551"/>
      <c r="K2" s="1551"/>
      <c r="L2" s="1594"/>
      <c r="M2" s="1894"/>
      <c r="N2" s="1894"/>
      <c r="O2" s="1894"/>
      <c r="P2" s="1874"/>
      <c r="Q2" s="644"/>
      <c r="R2" s="639"/>
      <c r="S2" s="2242">
        <f>INDEX(PT_DIFFERENTIATION_NUM_NTAR,MATCH(A2,PT_DIFFERENTIATION_NTAR_ID,0))</f>
      </c>
      <c r="T2" s="1809" t="s">
        <v>124</v>
      </c>
      <c r="U2" s="584"/>
      <c r="V2" s="2526"/>
      <c r="W2" s="2527"/>
      <c r="X2" s="2527"/>
      <c r="Y2" s="2527"/>
      <c r="Z2" s="2527"/>
      <c r="AA2" s="2527"/>
      <c r="AB2" s="2527"/>
      <c r="AC2" s="2528"/>
      <c r="AD2" s="2526">
        <f>INDEX(PT_DIFFERENTIATION_NTAR,MATCH(A2,PT_DIFFERENTIATION_NTAR_ID,0))</f>
      </c>
      <c r="AE2" s="2527"/>
      <c r="AF2" s="2527"/>
      <c r="AG2" s="2527"/>
      <c r="AH2" s="2527"/>
      <c r="AI2" s="2527"/>
      <c r="AJ2" s="2527"/>
      <c r="AK2" s="2527"/>
      <c r="AL2" s="2528"/>
      <c r="AM2" s="1542" t="s">
        <v>401</v>
      </c>
      <c r="AO2" s="1908"/>
      <c r="AP2" s="1908" t="str">
        <f>IF(T2="","",T2)</f>
        <v>Наименование тарифа</v>
      </c>
      <c r="AQ2" s="1908"/>
      <c r="AR2" s="1908"/>
      <c r="AS2" s="1915">
        <v>0</v>
      </c>
    </row>
    <row customHeight="1" ht="21" hidden="1">
      <c r="A3" s="1551"/>
      <c r="B3" s="1551"/>
      <c r="C3" s="1551"/>
      <c r="D3" s="1551"/>
      <c r="E3" s="2574"/>
      <c r="F3" s="2573">
        <v>1</v>
      </c>
      <c r="G3" s="1551"/>
      <c r="H3" s="1551"/>
      <c r="I3" s="1551"/>
      <c r="J3" s="1551"/>
      <c r="K3" s="1551"/>
      <c r="L3" s="1594"/>
      <c r="M3" s="1894"/>
      <c r="N3" s="1894"/>
      <c r="O3" s="1894"/>
      <c r="P3" s="2224"/>
      <c r="Q3" s="636"/>
      <c r="R3" s="637"/>
      <c r="S3" s="2242">
        <f>INDEX(PT_DIFFERENTIATION_NUM_TER,MATCH(B3,PT_DIFFERENTIATION_TER_ID,0))</f>
      </c>
      <c r="T3" s="1806" t="s">
        <v>402</v>
      </c>
      <c r="U3" s="584"/>
      <c r="V3" s="2526"/>
      <c r="W3" s="2527"/>
      <c r="X3" s="2527"/>
      <c r="Y3" s="2527"/>
      <c r="Z3" s="2527"/>
      <c r="AA3" s="2527"/>
      <c r="AB3" s="2527"/>
      <c r="AC3" s="2528"/>
      <c r="AD3" s="2526">
        <f>INDEX(PT_DIFFERENTIATION_TER,MATCH(B3,PT_DIFFERENTIATION_TER_ID,0))</f>
      </c>
      <c r="AE3" s="2527"/>
      <c r="AF3" s="2527"/>
      <c r="AG3" s="2527"/>
      <c r="AH3" s="2527"/>
      <c r="AI3" s="2527"/>
      <c r="AJ3" s="2527"/>
      <c r="AK3" s="2527"/>
      <c r="AL3" s="2528"/>
      <c r="AM3" s="1542" t="s">
        <v>403</v>
      </c>
      <c r="AO3" s="1908"/>
      <c r="AP3" s="1908" t="str">
        <f>IF(T3="","",T3)</f>
        <v>Территория действия тарифа</v>
      </c>
      <c r="AQ3" s="1908"/>
      <c r="AR3" s="1908"/>
      <c r="AS3" s="1915">
        <v>0</v>
      </c>
    </row>
    <row customHeight="1" ht="23.25" hidden="1">
      <c r="A4" s="1551"/>
      <c r="B4" s="1551"/>
      <c r="C4" s="1551"/>
      <c r="D4" s="1551"/>
      <c r="E4" s="2574"/>
      <c r="F4" s="2574"/>
      <c r="G4" s="2573">
        <v>1</v>
      </c>
      <c r="H4" s="1551"/>
      <c r="I4" s="1551"/>
      <c r="J4" s="1551"/>
      <c r="K4" s="1551"/>
      <c r="L4" s="1594"/>
      <c r="M4" s="1894"/>
      <c r="N4" s="1894"/>
      <c r="O4" s="1894"/>
      <c r="P4" s="638"/>
      <c r="Q4" s="636"/>
      <c r="R4" s="637"/>
      <c r="S4" s="2242">
        <f>INDEX(PT_DIFFERENTIATION_NUM_CS,MATCH(C4,PT_DIFFERENTIATION_CS_ID,0))</f>
      </c>
      <c r="T4" s="593" t="s">
        <v>404</v>
      </c>
      <c r="U4" s="584"/>
      <c r="V4" s="2526"/>
      <c r="W4" s="2527"/>
      <c r="X4" s="2527"/>
      <c r="Y4" s="2527"/>
      <c r="Z4" s="2527"/>
      <c r="AA4" s="2527"/>
      <c r="AB4" s="2527"/>
      <c r="AC4" s="2528"/>
      <c r="AD4" s="2526">
        <f>INDEX(PT_DIFFERENTIATION_CS,MATCH(C4,PT_DIFFERENTIATION_CS_ID,0))</f>
      </c>
      <c r="AE4" s="2527"/>
      <c r="AF4" s="2527"/>
      <c r="AG4" s="2527"/>
      <c r="AH4" s="2527"/>
      <c r="AI4" s="2527"/>
      <c r="AJ4" s="2527"/>
      <c r="AK4" s="2527"/>
      <c r="AL4" s="2528"/>
      <c r="AM4" s="1542" t="s">
        <v>405</v>
      </c>
      <c r="AO4" s="1908"/>
      <c r="AP4" s="1908" t="str">
        <f>IF(T4="","",T4)</f>
        <v>Наименование системы теплоснабжения </v>
      </c>
      <c r="AQ4" s="1908"/>
      <c r="AR4" s="1908"/>
      <c r="AS4" s="1915">
        <v>0</v>
      </c>
    </row>
    <row customHeight="1" ht="21" hidden="1">
      <c r="A5" s="1551"/>
      <c r="B5" s="1551"/>
      <c r="C5" s="1551"/>
      <c r="D5" s="1551"/>
      <c r="E5" s="2574"/>
      <c r="F5" s="2574"/>
      <c r="G5" s="2574"/>
      <c r="H5" s="2573">
        <v>1</v>
      </c>
      <c r="I5" s="1551"/>
      <c r="J5" s="1551"/>
      <c r="K5" s="1551"/>
      <c r="L5" s="1594"/>
      <c r="M5" s="1894"/>
      <c r="N5" s="1894"/>
      <c r="O5" s="1894"/>
      <c r="P5" s="638"/>
      <c r="Q5" s="636"/>
      <c r="R5" s="637"/>
      <c r="S5" s="2242">
        <f>INDEX(PT_DIFFERENTIATION_NUM_IST_TE,MATCH(D5,PT_DIFFERENTIATION_IST_TE_ID,0))</f>
      </c>
      <c r="T5" s="594" t="s">
        <v>406</v>
      </c>
      <c r="U5" s="584"/>
      <c r="V5" s="2526"/>
      <c r="W5" s="2527"/>
      <c r="X5" s="2527"/>
      <c r="Y5" s="2527"/>
      <c r="Z5" s="2527"/>
      <c r="AA5" s="2527"/>
      <c r="AB5" s="2527"/>
      <c r="AC5" s="2528"/>
      <c r="AD5" s="2526">
        <f>INDEX(PT_DIFFERENTIATION_IST_TE,MATCH(D5,PT_DIFFERENTIATION_IST_TE_ID,0))</f>
      </c>
      <c r="AE5" s="2527"/>
      <c r="AF5" s="2527"/>
      <c r="AG5" s="2527"/>
      <c r="AH5" s="2527"/>
      <c r="AI5" s="2527"/>
      <c r="AJ5" s="2527"/>
      <c r="AK5" s="2527"/>
      <c r="AL5" s="2528"/>
      <c r="AM5" s="1542" t="s">
        <v>407</v>
      </c>
      <c r="AO5" s="1908"/>
      <c r="AP5" s="1908" t="str">
        <f>IF(T5="","",T5)</f>
        <v>Источник тепловой энергии  </v>
      </c>
      <c r="AQ5" s="1908"/>
      <c r="AR5" s="1908"/>
      <c r="AS5" s="1915">
        <v>0</v>
      </c>
    </row>
    <row customHeight="1" ht="47.25" hidden="1">
      <c r="A6" s="1551"/>
      <c r="B6" s="1551"/>
      <c r="C6" s="1551"/>
      <c r="D6" s="1551"/>
      <c r="E6" s="2574"/>
      <c r="F6" s="2574"/>
      <c r="G6" s="2574"/>
      <c r="H6" s="2574"/>
      <c r="I6" s="2411">
        <f>S5&amp;".1"</f>
      </c>
      <c r="J6" s="1551"/>
      <c r="K6" s="1551"/>
      <c r="L6" s="1594" t="s">
        <v>408</v>
      </c>
      <c r="M6" s="1919"/>
      <c r="P6" s="2541">
        <v>1</v>
      </c>
      <c r="Q6" s="2238"/>
      <c r="R6" s="640"/>
      <c r="S6" s="2242">
        <f>$I6</f>
      </c>
      <c r="T6" s="569" t="s">
        <v>409</v>
      </c>
      <c r="U6" s="584"/>
      <c r="V6" s="2529"/>
      <c r="W6" s="2530"/>
      <c r="X6" s="2530"/>
      <c r="Y6" s="2530"/>
      <c r="Z6" s="2530"/>
      <c r="AA6" s="2530"/>
      <c r="AB6" s="2530"/>
      <c r="AC6" s="2531"/>
      <c r="AD6" s="2529"/>
      <c r="AE6" s="2530"/>
      <c r="AF6" s="2530"/>
      <c r="AG6" s="2530"/>
      <c r="AH6" s="2530"/>
      <c r="AI6" s="2530"/>
      <c r="AJ6" s="2530"/>
      <c r="AK6" s="2530"/>
      <c r="AL6" s="2531"/>
      <c r="AM6" s="1542" t="s">
        <v>410</v>
      </c>
      <c r="AO6" s="1908"/>
      <c r="AP6" s="1908" t="str">
        <f>IF(T6="","",T6)</f>
        <v>Схема подключения теплопотребляющей установки к коллектору источника тепловой энергии</v>
      </c>
      <c r="AQ6" s="1908"/>
      <c r="AR6" s="1908"/>
      <c r="AS6" s="1915">
        <v>0</v>
      </c>
    </row>
    <row customHeight="1" ht="21" hidden="1">
      <c r="A7" s="1551"/>
      <c r="B7" s="1551"/>
      <c r="C7" s="1551"/>
      <c r="D7" s="1551"/>
      <c r="E7" s="2574"/>
      <c r="F7" s="2574"/>
      <c r="G7" s="2574"/>
      <c r="H7" s="2574"/>
      <c r="I7" s="2385"/>
      <c r="J7" s="2411">
        <f>I6&amp;".1"</f>
      </c>
      <c r="K7" s="1551"/>
      <c r="L7" s="1594" t="s">
        <v>411</v>
      </c>
      <c r="M7" s="1919"/>
      <c r="N7" s="1915"/>
      <c r="P7" s="2541"/>
      <c r="Q7" s="2541">
        <v>1</v>
      </c>
      <c r="R7" s="641"/>
      <c r="S7" s="2242">
        <f>$J7</f>
      </c>
      <c r="T7" s="570" t="s">
        <v>412</v>
      </c>
      <c r="U7" s="584"/>
      <c r="V7" s="2529"/>
      <c r="W7" s="2530"/>
      <c r="X7" s="2530"/>
      <c r="Y7" s="2530"/>
      <c r="Z7" s="2530"/>
      <c r="AA7" s="2530"/>
      <c r="AB7" s="2530"/>
      <c r="AC7" s="2531"/>
      <c r="AD7" s="2529"/>
      <c r="AE7" s="2530"/>
      <c r="AF7" s="2530"/>
      <c r="AG7" s="2530"/>
      <c r="AH7" s="2530"/>
      <c r="AI7" s="2530"/>
      <c r="AJ7" s="2530"/>
      <c r="AK7" s="2530"/>
      <c r="AL7" s="2531"/>
      <c r="AM7" s="1542" t="s">
        <v>413</v>
      </c>
      <c r="AO7" s="1908"/>
      <c r="AP7" s="1908" t="str">
        <f>IF(T7="","",T7)</f>
        <v>Группа потребителей</v>
      </c>
      <c r="AQ7" s="1908"/>
      <c r="AR7" s="1908"/>
      <c r="AS7" s="1915">
        <v>0</v>
      </c>
    </row>
    <row customHeight="1" ht="21" hidden="1">
      <c r="A8" s="1551"/>
      <c r="B8" s="1551"/>
      <c r="C8" s="1551"/>
      <c r="D8" s="1551"/>
      <c r="E8" s="2574"/>
      <c r="F8" s="2574"/>
      <c r="G8" s="2574"/>
      <c r="H8" s="2574"/>
      <c r="I8" s="2385"/>
      <c r="J8" s="2385"/>
      <c r="K8" s="2411">
        <f>J7&amp;".1"</f>
      </c>
      <c r="L8" s="1594" t="s">
        <v>414</v>
      </c>
      <c r="M8" s="1919"/>
      <c r="N8" s="1915"/>
      <c r="O8" s="1915"/>
      <c r="P8" s="2541"/>
      <c r="Q8" s="2541"/>
      <c r="R8" s="641">
        <v>1</v>
      </c>
      <c r="S8" s="2242">
        <f>$K8</f>
      </c>
      <c r="T8" s="1631"/>
      <c r="U8" s="584"/>
      <c r="V8" s="1035"/>
      <c r="W8" s="609"/>
      <c r="X8" s="1035"/>
      <c r="Y8" s="1541"/>
      <c r="Z8" s="2549"/>
      <c r="AA8" s="2391" t="s">
        <v>67</v>
      </c>
      <c r="AB8" s="2549"/>
      <c r="AC8" s="2391" t="s">
        <v>67</v>
      </c>
      <c r="AD8" s="1035"/>
      <c r="AE8" s="609"/>
      <c r="AF8" s="1035"/>
      <c r="AG8" s="1541"/>
      <c r="AH8" s="2549"/>
      <c r="AI8" s="2391" t="s">
        <v>67</v>
      </c>
      <c r="AJ8" s="2549"/>
      <c r="AK8" s="2391" t="s">
        <v>67</v>
      </c>
      <c r="AL8" s="609"/>
      <c r="AM8" s="2537" t="s">
        <v>415</v>
      </c>
      <c r="AN8" s="1920">
        <f>STRCHECKDATE(V9:AL9)</f>
      </c>
      <c r="AO8" s="1908"/>
      <c r="AP8" s="1908" t="str">
        <f>IF(T8="","",T8)</f>
        <v/>
      </c>
      <c r="AQ8" s="1908"/>
      <c r="AR8" s="1908"/>
      <c r="AS8" s="1915">
        <v>0</v>
      </c>
    </row>
    <row customHeight="1" ht="0.75" hidden="1">
      <c r="A9" s="1551"/>
      <c r="B9" s="1551"/>
      <c r="C9" s="1551"/>
      <c r="D9" s="1551"/>
      <c r="E9" s="2574"/>
      <c r="F9" s="2574"/>
      <c r="G9" s="2574"/>
      <c r="H9" s="2574"/>
      <c r="I9" s="2385"/>
      <c r="J9" s="2385"/>
      <c r="K9" s="2411"/>
      <c r="L9" s="1594"/>
      <c r="M9" s="1919"/>
      <c r="N9" s="1915"/>
      <c r="O9" s="1915"/>
      <c r="P9" s="2541"/>
      <c r="Q9" s="2541"/>
      <c r="R9" s="641"/>
      <c r="S9" s="2251"/>
      <c r="T9" s="584"/>
      <c r="U9" s="584"/>
      <c r="V9" s="609"/>
      <c r="W9" s="609"/>
      <c r="X9" s="609"/>
      <c r="Y9" s="612" t="str">
        <f>Z8&amp;"-"&amp;AB8</f>
        <v>-</v>
      </c>
      <c r="Z9" s="2550"/>
      <c r="AA9" s="2391"/>
      <c r="AB9" s="2550"/>
      <c r="AC9" s="2391"/>
      <c r="AD9" s="609"/>
      <c r="AE9" s="609"/>
      <c r="AF9" s="609"/>
      <c r="AG9" s="612" t="str">
        <f>AH8&amp;"-"&amp;AJ8</f>
        <v>-</v>
      </c>
      <c r="AH9" s="2550"/>
      <c r="AI9" s="2391"/>
      <c r="AJ9" s="2550"/>
      <c r="AK9" s="2391"/>
      <c r="AL9" s="609"/>
      <c r="AM9" s="2538"/>
      <c r="AO9" s="1908"/>
      <c r="AP9" s="1908" t="str">
        <f>IF(T9="","",T9)</f>
        <v/>
      </c>
      <c r="AQ9" s="1908"/>
      <c r="AR9" s="1908"/>
      <c r="AS9" s="1915">
        <v>0</v>
      </c>
    </row>
    <row customHeight="1" ht="15" hidden="1">
      <c r="A10" s="1551"/>
      <c r="B10" s="1551"/>
      <c r="C10" s="1551"/>
      <c r="D10" s="1551"/>
      <c r="E10" s="2574"/>
      <c r="F10" s="2574"/>
      <c r="G10" s="2574"/>
      <c r="H10" s="2574"/>
      <c r="I10" s="2385"/>
      <c r="J10" s="2411"/>
      <c r="K10" s="1551"/>
      <c r="L10" s="1594"/>
      <c r="M10" s="1919"/>
      <c r="N10" s="1915"/>
      <c r="P10" s="2541"/>
      <c r="Q10" s="2541"/>
      <c r="R10" s="640"/>
      <c r="S10" s="1562"/>
      <c r="T10" s="572" t="s">
        <v>416</v>
      </c>
      <c r="U10" s="884"/>
      <c r="V10" s="884"/>
      <c r="W10" s="884"/>
      <c r="X10" s="884"/>
      <c r="Y10" s="884"/>
      <c r="Z10" s="884"/>
      <c r="AA10" s="884"/>
      <c r="AB10" s="884"/>
      <c r="AC10" s="884"/>
      <c r="AD10" s="884"/>
      <c r="AE10" s="884"/>
      <c r="AF10" s="884"/>
      <c r="AG10" s="884"/>
      <c r="AH10" s="884"/>
      <c r="AI10" s="884"/>
      <c r="AJ10" s="884"/>
      <c r="AK10" s="884"/>
      <c r="AL10" s="608"/>
      <c r="AM10" s="2539"/>
      <c r="AO10" s="1908"/>
      <c r="AP10" s="1908" t="str">
        <f>IF(T10="","",T10)</f>
        <v>Добавить вид теплоносителя (параметры теплоносителя)</v>
      </c>
      <c r="AQ10" s="1908"/>
      <c r="AR10" s="1908"/>
      <c r="AS10" s="1915">
        <v>0</v>
      </c>
    </row>
    <row customHeight="1" ht="15" hidden="1">
      <c r="A11" s="1551"/>
      <c r="B11" s="1551"/>
      <c r="C11" s="1551"/>
      <c r="D11" s="1551"/>
      <c r="E11" s="2574"/>
      <c r="F11" s="2574"/>
      <c r="G11" s="2574"/>
      <c r="H11" s="2574"/>
      <c r="I11" s="2411"/>
      <c r="J11" s="1551"/>
      <c r="K11" s="1551"/>
      <c r="L11" s="1594"/>
      <c r="M11" s="1919"/>
      <c r="P11" s="2541"/>
      <c r="Q11" s="2238"/>
      <c r="R11" s="640"/>
      <c r="S11" s="1562"/>
      <c r="T11" s="571" t="s">
        <v>417</v>
      </c>
      <c r="U11" s="884"/>
      <c r="V11" s="884"/>
      <c r="W11" s="884"/>
      <c r="X11" s="884"/>
      <c r="Y11" s="884"/>
      <c r="Z11" s="884"/>
      <c r="AA11" s="884"/>
      <c r="AB11" s="884"/>
      <c r="AC11" s="650"/>
      <c r="AD11" s="884"/>
      <c r="AE11" s="884"/>
      <c r="AF11" s="884"/>
      <c r="AG11" s="884"/>
      <c r="AH11" s="884"/>
      <c r="AI11" s="884"/>
      <c r="AJ11" s="884"/>
      <c r="AK11" s="650"/>
      <c r="AL11" s="884"/>
      <c r="AM11" s="587"/>
      <c r="AO11" s="1908"/>
      <c r="AP11" s="1908" t="str">
        <f>IF(T11="","",T11)</f>
        <v>Добавить группу потребителей</v>
      </c>
      <c r="AQ11" s="1908"/>
      <c r="AR11" s="1908"/>
      <c r="AS11" s="1915">
        <v>0</v>
      </c>
    </row>
    <row customHeight="1" ht="14.25" hidden="1">
      <c r="A12" s="1551"/>
      <c r="B12" s="1551"/>
      <c r="C12" s="1551"/>
      <c r="D12" s="1551"/>
      <c r="E12" s="2574"/>
      <c r="F12" s="2574"/>
      <c r="G12" s="2574"/>
      <c r="H12" s="2573"/>
      <c r="I12" s="1551"/>
      <c r="J12" s="1551"/>
      <c r="K12" s="1551"/>
      <c r="L12" s="1594"/>
      <c r="M12" s="1894"/>
      <c r="N12" s="1894"/>
      <c r="O12" s="1919"/>
      <c r="P12" s="644"/>
      <c r="Q12" s="659"/>
      <c r="R12" s="639"/>
      <c r="S12" s="1562"/>
      <c r="T12" s="649" t="s">
        <v>418</v>
      </c>
      <c r="U12" s="884"/>
      <c r="V12" s="884"/>
      <c r="W12" s="884"/>
      <c r="X12" s="884"/>
      <c r="Y12" s="884"/>
      <c r="Z12" s="884"/>
      <c r="AA12" s="884"/>
      <c r="AB12" s="884"/>
      <c r="AC12" s="650"/>
      <c r="AD12" s="884"/>
      <c r="AE12" s="884"/>
      <c r="AF12" s="884"/>
      <c r="AG12" s="884"/>
      <c r="AH12" s="884"/>
      <c r="AI12" s="884"/>
      <c r="AJ12" s="884"/>
      <c r="AK12" s="650"/>
      <c r="AL12" s="884"/>
      <c r="AM12" s="587"/>
      <c r="AO12" s="1908"/>
      <c r="AP12" s="1908" t="str">
        <f>IF(T12="","",T12)</f>
        <v>Добавить схему подключения</v>
      </c>
      <c r="AQ12" s="1908"/>
      <c r="AR12" s="1908"/>
      <c r="AS12" s="1915">
        <v>0</v>
      </c>
    </row>
    <row s="14158" customFormat="1" customHeight="1" ht="0.75" hidden="1">
      <c r="A13" s="1658"/>
      <c r="B13" s="1658"/>
      <c r="C13" s="1658"/>
      <c r="D13" s="1658"/>
      <c r="E13" s="2574"/>
      <c r="F13" s="2574"/>
      <c r="G13" s="2573"/>
      <c r="H13" s="1658"/>
      <c r="I13" s="1658"/>
      <c r="J13" s="1658"/>
      <c r="K13" s="1658"/>
      <c r="L13" s="1661"/>
      <c r="M13" s="1662"/>
      <c r="N13" s="1662"/>
      <c r="O13" s="635"/>
      <c r="P13" s="1600"/>
      <c r="Q13" s="1601"/>
      <c r="R13" s="1600"/>
      <c r="S13" s="1602"/>
      <c r="T13" s="1603" t="s">
        <v>169</v>
      </c>
      <c r="U13" s="1604"/>
      <c r="V13" s="1604"/>
      <c r="W13" s="1604"/>
      <c r="X13" s="1604"/>
      <c r="Y13" s="1604"/>
      <c r="Z13" s="1604"/>
      <c r="AA13" s="1604"/>
      <c r="AB13" s="1604"/>
      <c r="AC13" s="1604"/>
      <c r="AD13" s="1604"/>
      <c r="AE13" s="1604"/>
      <c r="AF13" s="1604"/>
      <c r="AG13" s="1604"/>
      <c r="AH13" s="1604"/>
      <c r="AI13" s="1604"/>
      <c r="AJ13" s="1604"/>
      <c r="AK13" s="1604"/>
      <c r="AL13" s="1604"/>
      <c r="AM13" s="1604"/>
      <c r="AO13" s="1535"/>
      <c r="AP13" s="1535" t="str">
        <f>IF(T13="","",T13)</f>
        <v>Добавить источник для дифференциации</v>
      </c>
      <c r="AQ13" s="1535"/>
      <c r="AR13" s="1535"/>
      <c r="AS13" s="1926">
        <v>0</v>
      </c>
    </row>
    <row s="14158" customFormat="1" customHeight="1" ht="0.75" hidden="1">
      <c r="A14" s="1658"/>
      <c r="B14" s="1658"/>
      <c r="C14" s="1658"/>
      <c r="D14" s="1658"/>
      <c r="E14" s="2574"/>
      <c r="F14" s="2573"/>
      <c r="G14" s="1658"/>
      <c r="H14" s="1658"/>
      <c r="I14" s="1658"/>
      <c r="J14" s="1658"/>
      <c r="K14" s="1658"/>
      <c r="L14" s="1661"/>
      <c r="M14" s="1663"/>
      <c r="N14" s="1663"/>
      <c r="O14" s="635"/>
      <c r="P14" s="1600"/>
      <c r="Q14" s="1601"/>
      <c r="R14" s="1600"/>
      <c r="S14" s="1606"/>
      <c r="T14" s="1607" t="s">
        <v>170</v>
      </c>
      <c r="U14" s="1608"/>
      <c r="V14" s="1608"/>
      <c r="W14" s="1608"/>
      <c r="X14" s="1608"/>
      <c r="Y14" s="1608"/>
      <c r="Z14" s="1608"/>
      <c r="AA14" s="1608"/>
      <c r="AB14" s="1608"/>
      <c r="AC14" s="1608"/>
      <c r="AD14" s="1608"/>
      <c r="AE14" s="1608"/>
      <c r="AF14" s="1608"/>
      <c r="AG14" s="1608"/>
      <c r="AH14" s="1608"/>
      <c r="AI14" s="1608"/>
      <c r="AJ14" s="1608"/>
      <c r="AK14" s="1608"/>
      <c r="AL14" s="1608"/>
      <c r="AM14" s="1608"/>
      <c r="AO14" s="1535"/>
      <c r="AP14" s="1535" t="str">
        <f>IF(T14="","",T14)</f>
        <v>Добавить централизованную систему для дифференциации</v>
      </c>
      <c r="AQ14" s="1535"/>
      <c r="AR14" s="1535"/>
      <c r="AS14" s="1926">
        <v>0</v>
      </c>
    </row>
    <row s="14158" customFormat="1" customHeight="1" ht="0.75" hidden="1">
      <c r="A15" s="1658"/>
      <c r="B15" s="1658"/>
      <c r="C15" s="1658"/>
      <c r="D15" s="1658"/>
      <c r="E15" s="2573"/>
      <c r="F15" s="1658"/>
      <c r="G15" s="1658"/>
      <c r="H15" s="1658"/>
      <c r="I15" s="1658"/>
      <c r="J15" s="1658"/>
      <c r="K15" s="1658"/>
      <c r="L15" s="1661"/>
      <c r="M15" s="1663"/>
      <c r="N15" s="1663"/>
      <c r="O15" s="635"/>
      <c r="P15" s="1600"/>
      <c r="Q15" s="1601"/>
      <c r="R15" s="1600"/>
      <c r="S15" s="1606"/>
      <c r="T15" s="1609" t="s">
        <v>171</v>
      </c>
      <c r="U15" s="1608"/>
      <c r="V15" s="1608"/>
      <c r="W15" s="1608"/>
      <c r="X15" s="1608"/>
      <c r="Y15" s="1608"/>
      <c r="Z15" s="1608"/>
      <c r="AA15" s="1608"/>
      <c r="AB15" s="1608"/>
      <c r="AC15" s="1608"/>
      <c r="AD15" s="1608"/>
      <c r="AE15" s="1608"/>
      <c r="AF15" s="1608"/>
      <c r="AG15" s="1608"/>
      <c r="AH15" s="1608"/>
      <c r="AI15" s="1608"/>
      <c r="AJ15" s="1608"/>
      <c r="AK15" s="1608"/>
      <c r="AL15" s="1608"/>
      <c r="AM15" s="1608"/>
      <c r="AO15" s="1535"/>
      <c r="AP15" s="1535" t="str">
        <f>IF(T15="","",T15)</f>
        <v>Добавить территорию для дифференциации</v>
      </c>
      <c r="AQ15" s="1535"/>
      <c r="AR15" s="1535"/>
      <c r="AS15" s="1926">
        <v>0</v>
      </c>
    </row>
    <row customHeight="1" ht="14.25" hidden="1">
      <c r="AS16" s="1915">
        <v>0</v>
      </c>
    </row>
    <row customHeight="1" ht="14.25" hidden="1">
      <c r="AD17" s="1644"/>
      <c r="AE17" s="1644"/>
      <c r="AF17" s="1644"/>
      <c r="AG17" s="1645"/>
      <c r="AH17" s="2551"/>
      <c r="AI17" s="2552" t="s">
        <v>67</v>
      </c>
      <c r="AJ17" s="2551"/>
      <c r="AK17" s="2552" t="s">
        <v>67</v>
      </c>
      <c r="AS17" s="1915">
        <v>0</v>
      </c>
    </row>
    <row customHeight="1" ht="14.25" hidden="1">
      <c r="AD18" s="1644"/>
      <c r="AE18" s="1644"/>
      <c r="AF18" s="1644"/>
      <c r="AG18" s="612" t="str">
        <f>AH17&amp;"-"&amp;AJ17</f>
        <v>-</v>
      </c>
      <c r="AH18" s="2552"/>
      <c r="AI18" s="2552"/>
      <c r="AJ18" s="2552"/>
      <c r="AK18" s="2552"/>
      <c r="AS18" s="1915">
        <v>0</v>
      </c>
    </row>
    <row customHeight="1" ht="14.25" hidden="1">
      <c r="AS19" s="1915">
        <v>0</v>
      </c>
    </row>
    <row s="14157" customFormat="1" customHeight="1" ht="14.25" hidden="1">
      <c r="A20" s="1915"/>
      <c r="B20" s="1915"/>
      <c r="C20" s="1915"/>
      <c r="D20" s="1915"/>
      <c r="E20" s="1915"/>
      <c r="F20" s="1915"/>
      <c r="G20" s="1915"/>
      <c r="H20" s="1915"/>
      <c r="I20" s="1915"/>
      <c r="J20" s="1915"/>
      <c r="K20" s="1915"/>
      <c r="L20" s="2223"/>
      <c r="M20" s="2249"/>
      <c r="N20" s="2249"/>
      <c r="O20" s="1629" t="s">
        <v>419</v>
      </c>
      <c r="P20" s="1646"/>
      <c r="Q20" s="1655"/>
      <c r="R20" s="1655"/>
      <c r="S20" s="1013"/>
      <c r="Z20" s="1651"/>
      <c r="AB20" s="1651"/>
      <c r="AH20" s="1651"/>
      <c r="AJ20" s="1651"/>
      <c r="AN20" s="1920"/>
      <c r="AO20" s="1920"/>
      <c r="AP20" s="1920"/>
      <c r="AQ20" s="1920"/>
      <c r="AR20" s="1920"/>
      <c r="AS20" s="1650">
        <v>0</v>
      </c>
    </row>
    <row s="14157" customFormat="1" customHeight="1" ht="14.25" hidden="1">
      <c r="A21" s="1915"/>
      <c r="B21" s="1915"/>
      <c r="C21" s="1915"/>
      <c r="D21" s="1915"/>
      <c r="E21" s="1915"/>
      <c r="F21" s="1915"/>
      <c r="G21" s="1915"/>
      <c r="H21" s="1915"/>
      <c r="I21" s="1915"/>
      <c r="J21" s="1915"/>
      <c r="K21" s="1915"/>
      <c r="L21" s="2223"/>
      <c r="M21" s="2249"/>
      <c r="N21" s="2249"/>
      <c r="O21" s="2249"/>
      <c r="P21" s="1646"/>
      <c r="Q21" s="1655"/>
      <c r="R21" s="1655"/>
      <c r="S21" s="1013"/>
      <c r="AN21" s="1920"/>
      <c r="AO21" s="1920"/>
      <c r="AP21" s="1920"/>
      <c r="AQ21" s="1920"/>
      <c r="AR21" s="1920"/>
      <c r="AS21" s="1650">
        <v>0</v>
      </c>
    </row>
    <row s="14157" customFormat="1" customHeight="1" ht="14.25" hidden="1">
      <c r="A22" s="1915"/>
      <c r="B22" s="1915"/>
      <c r="C22" s="1915"/>
      <c r="D22" s="1915"/>
      <c r="E22" s="1915"/>
      <c r="F22" s="1915"/>
      <c r="G22" s="1915"/>
      <c r="H22" s="1915"/>
      <c r="I22" s="1915"/>
      <c r="J22" s="1915"/>
      <c r="K22" s="1915"/>
      <c r="L22" s="2223"/>
      <c r="M22" s="2249"/>
      <c r="N22" s="2249"/>
      <c r="O22" s="1594" t="s">
        <v>420</v>
      </c>
      <c r="P22" s="1646"/>
      <c r="Q22" s="1655"/>
      <c r="R22" s="1655"/>
      <c r="S22" s="1013"/>
      <c r="T22" s="1650" t="s">
        <v>421</v>
      </c>
      <c r="AA22" s="879" t="s">
        <v>422</v>
      </c>
      <c r="AC22" s="879" t="s">
        <v>423</v>
      </c>
      <c r="AD22" s="1650" t="s">
        <v>421</v>
      </c>
      <c r="AI22" s="879" t="s">
        <v>424</v>
      </c>
      <c r="AK22" s="879" t="s">
        <v>423</v>
      </c>
      <c r="AN22" s="1920"/>
      <c r="AO22" s="1920"/>
      <c r="AP22" s="1920"/>
      <c r="AQ22" s="1920"/>
      <c r="AR22" s="1920"/>
      <c r="AS22" s="1650">
        <v>0</v>
      </c>
    </row>
    <row customHeight="1" ht="14.25" hidden="1">
      <c r="O23" s="1594"/>
      <c r="AS23" s="1915">
        <v>0</v>
      </c>
    </row>
    <row customHeight="1" ht="14.25" hidden="1">
      <c r="O24" s="1594"/>
      <c r="AS24" s="1915">
        <v>0</v>
      </c>
    </row>
    <row customHeight="1" ht="14.699999999999998">
      <c r="Q25" s="660"/>
      <c r="R25" s="660"/>
      <c r="S25" s="1559"/>
      <c r="T25" s="741"/>
      <c r="U25" s="741"/>
      <c r="V25" s="1919"/>
      <c r="W25" s="1919"/>
      <c r="X25" s="1919"/>
      <c r="Y25" s="1919"/>
      <c r="Z25" s="1919"/>
      <c r="AA25" s="1919"/>
      <c r="AB25" s="1919"/>
      <c r="AC25" s="1919"/>
      <c r="AD25" s="1919"/>
      <c r="AE25" s="1919"/>
      <c r="AF25" s="1919"/>
      <c r="AG25" s="1919"/>
      <c r="AH25" s="1919"/>
      <c r="AI25" s="1919"/>
      <c r="AJ25" s="1919"/>
      <c r="AK25" s="1919"/>
      <c r="AS25" s="1915">
        <v>14</v>
      </c>
    </row>
    <row customHeight="1" ht="14.699999999999998">
      <c r="Q26" s="660"/>
      <c r="R26" s="660"/>
      <c r="S26" s="2532"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532"/>
      <c r="U26" s="2532"/>
      <c r="V26" s="2532"/>
      <c r="W26" s="2532"/>
      <c r="X26" s="2532"/>
      <c r="Y26" s="2532"/>
      <c r="Z26" s="2532"/>
      <c r="AA26" s="2532"/>
      <c r="AB26" s="2532"/>
      <c r="AC26" s="2532"/>
      <c r="AD26" s="2532"/>
      <c r="AE26" s="2532"/>
      <c r="AF26" s="2532"/>
      <c r="AG26" s="2532"/>
      <c r="AH26" s="2532"/>
      <c r="AI26" s="2532"/>
      <c r="AJ26" s="2532"/>
      <c r="AK26" s="1527"/>
      <c r="AS26" s="1915">
        <v>14</v>
      </c>
    </row>
    <row customHeight="1" ht="14.699999999999998">
      <c r="Q27" s="660"/>
      <c r="R27" s="660"/>
      <c r="S27" s="2533" t="str">
        <f>IF(org=0,"Не определено",org)</f>
        <v>МУП г. Азова "Теплоэнерго"</v>
      </c>
      <c r="T27" s="2533"/>
      <c r="U27" s="2533"/>
      <c r="V27" s="2533"/>
      <c r="W27" s="2533"/>
      <c r="X27" s="2533"/>
      <c r="Y27" s="2533"/>
      <c r="Z27" s="2533"/>
      <c r="AA27" s="2533"/>
      <c r="AB27" s="2533"/>
      <c r="AC27" s="2533"/>
      <c r="AD27" s="2533"/>
      <c r="AE27" s="2533"/>
      <c r="AF27" s="2533"/>
      <c r="AG27" s="2533"/>
      <c r="AH27" s="2533"/>
      <c r="AI27" s="2533"/>
      <c r="AJ27" s="2533"/>
      <c r="AK27" s="1527"/>
      <c r="AS27" s="1915">
        <v>14</v>
      </c>
    </row>
    <row customHeight="1" ht="14.25" hidden="1">
      <c r="Q28" s="660"/>
      <c r="R28" s="660"/>
      <c r="S28" s="1559"/>
      <c r="T28" s="741"/>
      <c r="U28" s="741"/>
      <c r="V28" s="606"/>
      <c r="W28" s="606"/>
      <c r="X28" s="606"/>
      <c r="Y28" s="606"/>
      <c r="Z28" s="606"/>
      <c r="AA28" s="606"/>
      <c r="AB28" s="606"/>
      <c r="AC28" s="606"/>
      <c r="AD28" s="606"/>
      <c r="AE28" s="606"/>
      <c r="AF28" s="606"/>
      <c r="AG28" s="606"/>
      <c r="AH28" s="606"/>
      <c r="AI28" s="606"/>
      <c r="AJ28" s="606"/>
      <c r="AK28" s="606"/>
      <c r="AL28" s="1919"/>
      <c r="AS28" s="1915">
        <v>0</v>
      </c>
    </row>
    <row s="14284" customFormat="1" customHeight="1" ht="25.5" hidden="1">
      <c r="A29" s="1532"/>
      <c r="B29" s="1532"/>
      <c r="C29" s="1532"/>
      <c r="D29" s="1532"/>
      <c r="E29" s="1532"/>
      <c r="F29" s="1532"/>
      <c r="G29" s="1532"/>
      <c r="H29" s="1532"/>
      <c r="I29" s="1532"/>
      <c r="J29" s="1532"/>
      <c r="K29" s="1532"/>
      <c r="L29" s="1664"/>
      <c r="M29" s="1532"/>
      <c r="N29" s="1532"/>
      <c r="O29" s="1532"/>
      <c r="S29" s="2534" t="s">
        <v>42</v>
      </c>
      <c r="T29" s="2534"/>
      <c r="U29" s="1656"/>
      <c r="V29" s="2535" t="str">
        <f>IF(TITLE_NAME_OR_PR_CHANGE="",IF(TITLE_NAME_OR_PR="","",TITLE_NAME_OR_PR),TITLE_NAME_OR_PR_CHANGE)</f>
        <v/>
      </c>
      <c r="W29" s="2535"/>
      <c r="X29" s="2535"/>
      <c r="Y29" s="2535"/>
      <c r="Z29" s="2535"/>
      <c r="AA29" s="2535"/>
      <c r="AB29" s="2535"/>
      <c r="AC29" s="1919"/>
      <c r="AD29" s="2535" t="str">
        <f>IF(TITLE_NAME_OR_PR_CHANGE="",IF(TITLE_NAME_OR_PR="","",TITLE_NAME_OR_PR),TITLE_NAME_OR_PR_CHANGE)</f>
        <v/>
      </c>
      <c r="AE29" s="2535"/>
      <c r="AF29" s="2535"/>
      <c r="AG29" s="2535"/>
      <c r="AH29" s="2535"/>
      <c r="AI29" s="2535"/>
      <c r="AJ29" s="2535"/>
      <c r="AK29" s="1919"/>
      <c r="AL29" s="1919"/>
      <c r="AM29" s="564"/>
      <c r="AN29" s="652"/>
      <c r="AO29" s="652"/>
      <c r="AP29" s="652"/>
      <c r="AQ29" s="652"/>
      <c r="AR29" s="652"/>
      <c r="AS29" s="702">
        <v>0</v>
      </c>
    </row>
    <row s="14284" customFormat="1" customHeight="1" ht="18.75" hidden="1">
      <c r="A30" s="1532"/>
      <c r="B30" s="1532"/>
      <c r="C30" s="1532"/>
      <c r="D30" s="1532"/>
      <c r="E30" s="1532"/>
      <c r="F30" s="1532"/>
      <c r="G30" s="1532"/>
      <c r="H30" s="1532"/>
      <c r="I30" s="1532"/>
      <c r="J30" s="1532"/>
      <c r="K30" s="1532"/>
      <c r="L30" s="1664"/>
      <c r="M30" s="1532"/>
      <c r="N30" s="1532"/>
      <c r="O30" s="1532"/>
      <c r="S30" s="2534" t="s">
        <v>425</v>
      </c>
      <c r="T30" s="2534"/>
      <c r="U30" s="1656"/>
      <c r="V30" s="2548" t="str">
        <f>IF(TITLE_DATE_PR_CHANGE="",IF(TITLE_DATE_PR="","",TITLE_DATE_PR),TITLE_DATE_PR_CHANGE)</f>
        <v>45471</v>
      </c>
      <c r="W30" s="2548"/>
      <c r="X30" s="2548"/>
      <c r="Y30" s="2548"/>
      <c r="Z30" s="2548"/>
      <c r="AA30" s="2548"/>
      <c r="AB30" s="2548"/>
      <c r="AC30" s="1919"/>
      <c r="AD30" s="2548" t="str">
        <f>IF(TITLE_DATE_PR_CHANGE="",IF(TITLE_DATE_PR="","",TITLE_DATE_PR),TITLE_DATE_PR_CHANGE)</f>
        <v>45471</v>
      </c>
      <c r="AE30" s="2548"/>
      <c r="AF30" s="2548"/>
      <c r="AG30" s="2548"/>
      <c r="AH30" s="2548"/>
      <c r="AI30" s="2548"/>
      <c r="AJ30" s="2548"/>
      <c r="AK30" s="1919"/>
      <c r="AL30" s="1919"/>
      <c r="AM30" s="564"/>
      <c r="AN30" s="652"/>
      <c r="AO30" s="652"/>
      <c r="AP30" s="652"/>
      <c r="AQ30" s="652"/>
      <c r="AR30" s="652"/>
      <c r="AS30" s="702">
        <v>0</v>
      </c>
    </row>
    <row s="14284" customFormat="1" customHeight="1" ht="18.75" hidden="1">
      <c r="A31" s="1532"/>
      <c r="B31" s="1532"/>
      <c r="C31" s="1532"/>
      <c r="D31" s="1532"/>
      <c r="E31" s="1532"/>
      <c r="F31" s="1532"/>
      <c r="G31" s="1532"/>
      <c r="H31" s="1532"/>
      <c r="I31" s="1532"/>
      <c r="J31" s="1532"/>
      <c r="K31" s="1532"/>
      <c r="L31" s="1664"/>
      <c r="M31" s="1532"/>
      <c r="N31" s="1532"/>
      <c r="O31" s="1532"/>
      <c r="S31" s="2534" t="s">
        <v>426</v>
      </c>
      <c r="T31" s="2534"/>
      <c r="U31" s="1656"/>
      <c r="V31" s="2535" t="str">
        <f>IF(TITLE_NUMBER_PR_CHANGE="",IF(TITLE_NUMBER_PR="","",TITLE_NUMBER_PR),TITLE_NUMBER_PR_CHANGE)</f>
        <v>50/18-01/261</v>
      </c>
      <c r="W31" s="2535"/>
      <c r="X31" s="2535"/>
      <c r="Y31" s="2535"/>
      <c r="Z31" s="2535"/>
      <c r="AA31" s="2535"/>
      <c r="AB31" s="2535"/>
      <c r="AC31" s="1919"/>
      <c r="AD31" s="2535" t="str">
        <f>IF(TITLE_NUMBER_PR_CHANGE="",IF(TITLE_NUMBER_PR="","",TITLE_NUMBER_PR),TITLE_NUMBER_PR_CHANGE)</f>
        <v>50/18-01/261</v>
      </c>
      <c r="AE31" s="2535"/>
      <c r="AF31" s="2535"/>
      <c r="AG31" s="2535"/>
      <c r="AH31" s="2535"/>
      <c r="AI31" s="2535"/>
      <c r="AJ31" s="2535"/>
      <c r="AK31" s="1919"/>
      <c r="AL31" s="1919"/>
      <c r="AM31" s="564"/>
      <c r="AN31" s="652"/>
      <c r="AO31" s="652"/>
      <c r="AP31" s="652"/>
      <c r="AQ31" s="652"/>
      <c r="AR31" s="652"/>
      <c r="AS31" s="702">
        <v>0</v>
      </c>
    </row>
    <row s="14284" customFormat="1" customHeight="1" ht="18.75" hidden="1">
      <c r="A32" s="1532"/>
      <c r="B32" s="1532"/>
      <c r="C32" s="1532"/>
      <c r="D32" s="1532"/>
      <c r="E32" s="1532"/>
      <c r="F32" s="1532"/>
      <c r="G32" s="1532"/>
      <c r="H32" s="1532"/>
      <c r="I32" s="1532"/>
      <c r="J32" s="1532"/>
      <c r="K32" s="1532"/>
      <c r="L32" s="1664"/>
      <c r="M32" s="1532"/>
      <c r="N32" s="1532"/>
      <c r="O32" s="1532"/>
      <c r="S32" s="2534" t="s">
        <v>43</v>
      </c>
      <c r="T32" s="2534"/>
      <c r="U32" s="1656"/>
      <c r="V32" s="2535" t="str">
        <f>IF(TITLE_IST_PUB_CHANGE="",IF(TITLE_IST_PUB="","",TITLE_IST_PUB),TITLE_IST_PUB_CHANGE)</f>
        <v/>
      </c>
      <c r="W32" s="2535"/>
      <c r="X32" s="2535"/>
      <c r="Y32" s="2535"/>
      <c r="Z32" s="2535"/>
      <c r="AA32" s="2535"/>
      <c r="AB32" s="2535"/>
      <c r="AC32" s="1919"/>
      <c r="AD32" s="2535" t="str">
        <f>IF(TITLE_IST_PUB_CHANGE="",IF(TITLE_IST_PUB="","",TITLE_IST_PUB),TITLE_IST_PUB_CHANGE)</f>
        <v/>
      </c>
      <c r="AE32" s="2535"/>
      <c r="AF32" s="2535"/>
      <c r="AG32" s="2535"/>
      <c r="AH32" s="2535"/>
      <c r="AI32" s="2535"/>
      <c r="AJ32" s="2535"/>
      <c r="AK32" s="1919"/>
      <c r="AL32" s="1919"/>
      <c r="AM32" s="564"/>
      <c r="AN32" s="652"/>
      <c r="AO32" s="652"/>
      <c r="AP32" s="652"/>
      <c r="AQ32" s="652"/>
      <c r="AR32" s="652"/>
      <c r="AS32" s="702">
        <v>0</v>
      </c>
    </row>
    <row customHeight="1" ht="14.25" hidden="1">
      <c r="Q33" s="660"/>
      <c r="R33" s="660"/>
      <c r="S33" s="1559"/>
      <c r="T33" s="741"/>
      <c r="U33" s="741"/>
      <c r="V33" s="606"/>
      <c r="W33" s="606"/>
      <c r="X33" s="606"/>
      <c r="Y33" s="606"/>
      <c r="Z33" s="606"/>
      <c r="AA33" s="606"/>
      <c r="AB33" s="606"/>
      <c r="AC33" s="606"/>
      <c r="AD33" s="606"/>
      <c r="AE33" s="606"/>
      <c r="AF33" s="606"/>
      <c r="AG33" s="606"/>
      <c r="AH33" s="606"/>
      <c r="AI33" s="606"/>
      <c r="AJ33" s="606"/>
      <c r="AK33" s="606"/>
      <c r="AL33" s="1919"/>
      <c r="AS33" s="1915">
        <v>0</v>
      </c>
    </row>
    <row s="14284" customFormat="1" customHeight="1" ht="18.75" hidden="1">
      <c r="A34" s="1532"/>
      <c r="B34" s="1532"/>
      <c r="C34" s="1532"/>
      <c r="D34" s="1532"/>
      <c r="E34" s="1532"/>
      <c r="F34" s="1532"/>
      <c r="G34" s="1532"/>
      <c r="H34" s="1532"/>
      <c r="I34" s="1532"/>
      <c r="J34" s="1532"/>
      <c r="K34" s="1532"/>
      <c r="L34" s="1664"/>
      <c r="M34" s="1532"/>
      <c r="N34" s="1532"/>
      <c r="O34" s="1532"/>
      <c r="S34" s="2534" t="s">
        <v>427</v>
      </c>
      <c r="T34" s="2534"/>
      <c r="U34" s="1656"/>
      <c r="V34" s="2548" t="str">
        <f>IF(TITLE_DATE_PR_CHANGE="",IF(TITLE_DATE_PR="","",TITLE_DATE_PR),TITLE_DATE_PR_CHANGE)</f>
        <v>45471</v>
      </c>
      <c r="W34" s="2548"/>
      <c r="X34" s="2548"/>
      <c r="Y34" s="2548"/>
      <c r="Z34" s="2548"/>
      <c r="AA34" s="2548"/>
      <c r="AB34" s="2548"/>
      <c r="AC34" s="1919"/>
      <c r="AD34" s="2548" t="str">
        <f>IF(TITLE_DATE_PR_CHANGE="",IF(TITLE_DATE_PR="","",TITLE_DATE_PR),TITLE_DATE_PR_CHANGE)</f>
        <v>45471</v>
      </c>
      <c r="AE34" s="2548"/>
      <c r="AF34" s="2548"/>
      <c r="AG34" s="2548"/>
      <c r="AH34" s="2548"/>
      <c r="AI34" s="2548"/>
      <c r="AJ34" s="2548"/>
      <c r="AK34" s="1919"/>
      <c r="AL34" s="1919"/>
      <c r="AM34" s="564"/>
      <c r="AN34" s="652"/>
      <c r="AO34" s="652"/>
      <c r="AP34" s="652"/>
      <c r="AQ34" s="652"/>
      <c r="AR34" s="652"/>
      <c r="AS34" s="702">
        <v>0</v>
      </c>
    </row>
    <row s="14284" customFormat="1" customHeight="1" ht="18.75" hidden="1">
      <c r="A35" s="1532"/>
      <c r="B35" s="1532"/>
      <c r="C35" s="1532"/>
      <c r="D35" s="1532"/>
      <c r="E35" s="1532"/>
      <c r="F35" s="1532"/>
      <c r="G35" s="1532"/>
      <c r="H35" s="1532"/>
      <c r="I35" s="1532"/>
      <c r="J35" s="1532"/>
      <c r="K35" s="1532"/>
      <c r="L35" s="1664"/>
      <c r="M35" s="1532"/>
      <c r="N35" s="1532"/>
      <c r="O35" s="1532"/>
      <c r="S35" s="2534" t="s">
        <v>428</v>
      </c>
      <c r="T35" s="2534"/>
      <c r="U35" s="1656"/>
      <c r="V35" s="2535" t="str">
        <f>IF(TITLE_NUMBER_PR_CHANGE="",IF(TITLE_NUMBER_PR="","",TITLE_NUMBER_PR),TITLE_NUMBER_PR_CHANGE)</f>
        <v>50/18-01/261</v>
      </c>
      <c r="W35" s="2535"/>
      <c r="X35" s="2535"/>
      <c r="Y35" s="2535"/>
      <c r="Z35" s="2535"/>
      <c r="AA35" s="2535"/>
      <c r="AB35" s="2535"/>
      <c r="AC35" s="1919"/>
      <c r="AD35" s="2535" t="str">
        <f>IF(TITLE_NUMBER_PR_CHANGE="",IF(TITLE_NUMBER_PR="","",TITLE_NUMBER_PR),TITLE_NUMBER_PR_CHANGE)</f>
        <v>50/18-01/261</v>
      </c>
      <c r="AE35" s="2535"/>
      <c r="AF35" s="2535"/>
      <c r="AG35" s="2535"/>
      <c r="AH35" s="2535"/>
      <c r="AI35" s="2535"/>
      <c r="AJ35" s="2535"/>
      <c r="AK35" s="1919"/>
      <c r="AL35" s="1919"/>
      <c r="AM35" s="564"/>
      <c r="AN35" s="652"/>
      <c r="AO35" s="652"/>
      <c r="AP35" s="652"/>
      <c r="AQ35" s="652"/>
      <c r="AR35" s="652"/>
      <c r="AS35" s="702">
        <v>0</v>
      </c>
    </row>
    <row s="14284" customFormat="1" customHeight="1" ht="0">
      <c r="A36" s="1532"/>
      <c r="B36" s="1532"/>
      <c r="C36" s="1532"/>
      <c r="D36" s="1532"/>
      <c r="E36" s="1532"/>
      <c r="F36" s="1532"/>
      <c r="G36" s="1532"/>
      <c r="H36" s="1532"/>
      <c r="I36" s="1532"/>
      <c r="J36" s="1532"/>
      <c r="K36" s="1532"/>
      <c r="L36" s="1664"/>
      <c r="M36" s="1532"/>
      <c r="N36" s="1532"/>
      <c r="O36" s="1532"/>
      <c r="S36" s="1919"/>
      <c r="T36" s="1919"/>
      <c r="U36" s="2254"/>
      <c r="V36" s="1919"/>
      <c r="W36" s="1919"/>
      <c r="X36" s="1919"/>
      <c r="Y36" s="1919"/>
      <c r="Z36" s="1919"/>
      <c r="AA36" s="1919"/>
      <c r="AB36" s="1919"/>
      <c r="AC36" s="1926" t="s">
        <v>429</v>
      </c>
      <c r="AD36" s="1919"/>
      <c r="AE36" s="1919"/>
      <c r="AF36" s="1919"/>
      <c r="AG36" s="1919"/>
      <c r="AH36" s="1919"/>
      <c r="AI36" s="1919"/>
      <c r="AJ36" s="1919"/>
      <c r="AK36" s="1926" t="s">
        <v>429</v>
      </c>
      <c r="AN36" s="652"/>
      <c r="AO36" s="652"/>
      <c r="AP36" s="652"/>
      <c r="AQ36" s="652"/>
      <c r="AR36" s="652"/>
      <c r="AS36" s="702">
        <v>0</v>
      </c>
    </row>
    <row customHeight="1" ht="14.699999999999998">
      <c r="Q37" s="660"/>
      <c r="R37" s="660"/>
      <c r="S37" s="1559"/>
      <c r="T37" s="741"/>
      <c r="U37" s="1528"/>
      <c r="V37" s="2536"/>
      <c r="W37" s="2536"/>
      <c r="X37" s="2536"/>
      <c r="Y37" s="2536"/>
      <c r="Z37" s="2536"/>
      <c r="AA37" s="2536"/>
      <c r="AB37" s="2536"/>
      <c r="AC37" s="2536"/>
      <c r="AD37" s="2536"/>
      <c r="AE37" s="2536"/>
      <c r="AF37" s="2536"/>
      <c r="AG37" s="2536"/>
      <c r="AH37" s="2536"/>
      <c r="AI37" s="2536"/>
      <c r="AJ37" s="2536"/>
      <c r="AK37" s="2536"/>
      <c r="AS37" s="1915">
        <v>14</v>
      </c>
    </row>
    <row customHeight="1" ht="14.699999999999998">
      <c r="Q38" s="660"/>
      <c r="R38" s="660"/>
      <c r="S38" s="2411" t="s">
        <v>305</v>
      </c>
      <c r="T38" s="2411"/>
      <c r="U38" s="2411"/>
      <c r="V38" s="2411"/>
      <c r="W38" s="2411"/>
      <c r="X38" s="2411"/>
      <c r="Y38" s="2411"/>
      <c r="Z38" s="2411"/>
      <c r="AA38" s="2411"/>
      <c r="AB38" s="2411"/>
      <c r="AC38" s="2411"/>
      <c r="AD38" s="2411"/>
      <c r="AE38" s="2411"/>
      <c r="AF38" s="2411"/>
      <c r="AG38" s="2411"/>
      <c r="AH38" s="2411"/>
      <c r="AI38" s="2411"/>
      <c r="AJ38" s="2411"/>
      <c r="AK38" s="2411"/>
      <c r="AL38" s="2411"/>
      <c r="AM38" s="2411" t="s">
        <v>306</v>
      </c>
      <c r="AS38" s="1915">
        <v>14</v>
      </c>
    </row>
    <row customHeight="1" ht="14.699999999999998">
      <c r="Q39" s="660"/>
      <c r="R39" s="660"/>
      <c r="S39" s="2557" t="s">
        <v>89</v>
      </c>
      <c r="T39" s="2493" t="s">
        <v>430</v>
      </c>
      <c r="U39" s="621"/>
      <c r="V39" s="2558" t="s">
        <v>431</v>
      </c>
      <c r="W39" s="2559"/>
      <c r="X39" s="2559"/>
      <c r="Y39" s="2559"/>
      <c r="Z39" s="2559"/>
      <c r="AA39" s="2559"/>
      <c r="AB39" s="2560"/>
      <c r="AC39" s="2561" t="s">
        <v>432</v>
      </c>
      <c r="AD39" s="2558" t="s">
        <v>431</v>
      </c>
      <c r="AE39" s="2559"/>
      <c r="AF39" s="2559"/>
      <c r="AG39" s="2559"/>
      <c r="AH39" s="2559"/>
      <c r="AI39" s="2559"/>
      <c r="AJ39" s="2560"/>
      <c r="AK39" s="2561" t="s">
        <v>433</v>
      </c>
      <c r="AL39" s="2564" t="s">
        <v>434</v>
      </c>
      <c r="AM39" s="2411"/>
      <c r="AS39" s="1915">
        <v>14</v>
      </c>
    </row>
    <row customHeight="1" ht="35.699999999999996">
      <c r="Q40" s="660"/>
      <c r="R40" s="660"/>
      <c r="S40" s="2557"/>
      <c r="T40" s="2493"/>
      <c r="U40" s="1315"/>
      <c r="V40" s="2544" t="s">
        <v>435</v>
      </c>
      <c r="W40" s="2567" t="s">
        <v>436</v>
      </c>
      <c r="X40" s="2546" t="s">
        <v>437</v>
      </c>
      <c r="Y40" s="2547"/>
      <c r="Z40" s="2546" t="s">
        <v>450</v>
      </c>
      <c r="AA40" s="2553"/>
      <c r="AB40" s="2547"/>
      <c r="AC40" s="2562"/>
      <c r="AD40" s="2544" t="s">
        <v>435</v>
      </c>
      <c r="AE40" s="2567" t="s">
        <v>436</v>
      </c>
      <c r="AF40" s="2546" t="s">
        <v>437</v>
      </c>
      <c r="AG40" s="2547"/>
      <c r="AH40" s="2546" t="s">
        <v>438</v>
      </c>
      <c r="AI40" s="2553"/>
      <c r="AJ40" s="2547"/>
      <c r="AK40" s="2562"/>
      <c r="AL40" s="2565"/>
      <c r="AM40" s="2411"/>
      <c r="AS40" s="1915">
        <v>34</v>
      </c>
    </row>
    <row customHeight="1" ht="35.699999999999996">
      <c r="A41" s="1550"/>
      <c r="B41" s="1550" t="s">
        <v>136</v>
      </c>
      <c r="C41" s="1550" t="s">
        <v>137</v>
      </c>
      <c r="D41" s="1550" t="s">
        <v>138</v>
      </c>
      <c r="E41" s="1594" t="s">
        <v>439</v>
      </c>
      <c r="F41" s="1594" t="s">
        <v>440</v>
      </c>
      <c r="G41" s="1594" t="s">
        <v>441</v>
      </c>
      <c r="H41" s="1594" t="s">
        <v>442</v>
      </c>
      <c r="I41" s="1594" t="s">
        <v>443</v>
      </c>
      <c r="J41" s="1594" t="s">
        <v>444</v>
      </c>
      <c r="K41" s="1594" t="s">
        <v>445</v>
      </c>
      <c r="L41" s="1594" t="s">
        <v>420</v>
      </c>
      <c r="Q41" s="660"/>
      <c r="R41" s="660"/>
      <c r="S41" s="2557"/>
      <c r="T41" s="2493"/>
      <c r="U41" s="586"/>
      <c r="V41" s="2545"/>
      <c r="W41" s="2568"/>
      <c r="X41" s="2222" t="s">
        <v>446</v>
      </c>
      <c r="Y41" s="2222" t="s">
        <v>447</v>
      </c>
      <c r="Z41" s="2222" t="s">
        <v>448</v>
      </c>
      <c r="AA41" s="2554" t="s">
        <v>449</v>
      </c>
      <c r="AB41" s="2555"/>
      <c r="AC41" s="2563"/>
      <c r="AD41" s="2545"/>
      <c r="AE41" s="2568"/>
      <c r="AF41" s="2222" t="s">
        <v>446</v>
      </c>
      <c r="AG41" s="2222" t="s">
        <v>447</v>
      </c>
      <c r="AH41" s="2222" t="s">
        <v>448</v>
      </c>
      <c r="AI41" s="2554" t="s">
        <v>449</v>
      </c>
      <c r="AJ41" s="2555"/>
      <c r="AK41" s="2563"/>
      <c r="AL41" s="2566"/>
      <c r="AM41" s="2411"/>
      <c r="AS41" s="1915">
        <v>34</v>
      </c>
    </row>
    <row s="14730" customFormat="1" customHeight="1" ht="11.25" hidden="1">
      <c r="A42" s="1550"/>
      <c r="B42" s="1550"/>
      <c r="C42" s="1550"/>
      <c r="D42" s="1550"/>
      <c r="E42" s="1550"/>
      <c r="F42" s="1550"/>
      <c r="G42" s="1550"/>
      <c r="H42" s="1550"/>
      <c r="I42" s="1550"/>
      <c r="J42" s="1550"/>
      <c r="K42" s="1550"/>
      <c r="L42" s="1594"/>
      <c r="M42" s="2249"/>
      <c r="N42" s="2249"/>
      <c r="O42" s="2249"/>
      <c r="P42" s="1530"/>
      <c r="Q42" s="1531"/>
      <c r="R42" s="1538">
        <v>1</v>
      </c>
      <c r="S42" s="1561" t="s">
        <v>110</v>
      </c>
      <c r="T42" s="1539" t="s">
        <v>111</v>
      </c>
      <c r="U42" s="1529" t="str">
        <f>OFFSET(U42,0,-1)</f>
        <v>2</v>
      </c>
      <c r="V42" s="2240">
        <f>OFFSET(V42,0,-1)+1</f>
        <v>3</v>
      </c>
      <c r="W42" s="2240"/>
      <c r="X42" s="2240">
        <f>OFFSET(X42,0,-1)+1</f>
        <v>1</v>
      </c>
      <c r="Y42" s="2240">
        <f>OFFSET(Y42,0,-1)+1</f>
        <v>2</v>
      </c>
      <c r="Z42" s="2240">
        <f>OFFSET(Z42,0,-1)+1</f>
        <v>3</v>
      </c>
      <c r="AA42" s="2556">
        <f>OFFSET(AA42,0,-1)+1</f>
        <v>4</v>
      </c>
      <c r="AB42" s="2556"/>
      <c r="AC42" s="2240">
        <f>OFFSET(AC42,0,-2)+1</f>
        <v>5</v>
      </c>
      <c r="AD42" s="2240">
        <f>OFFSET(AD42,0,-1)+1</f>
        <v>6</v>
      </c>
      <c r="AE42" s="2240"/>
      <c r="AF42" s="2240">
        <f>OFFSET(AF42,0,-1)+1</f>
        <v>1</v>
      </c>
      <c r="AG42" s="2240">
        <f>OFFSET(AG42,0,-1)+1</f>
        <v>2</v>
      </c>
      <c r="AH42" s="2240">
        <f>OFFSET(AH42,0,-1)+1</f>
        <v>3</v>
      </c>
      <c r="AI42" s="2556">
        <f>OFFSET(AI42,0,-1)+1</f>
        <v>4</v>
      </c>
      <c r="AJ42" s="2556"/>
      <c r="AK42" s="2240">
        <f>OFFSET(AK42,0,-2)+1</f>
        <v>5</v>
      </c>
      <c r="AL42" s="1529">
        <f>OFFSET(AL42,0,-1)</f>
        <v>5</v>
      </c>
      <c r="AM42" s="2240">
        <f>OFFSET(AM42,0,-1)+1</f>
        <v>6</v>
      </c>
      <c r="AN42" s="1920"/>
      <c r="AO42" s="1920"/>
      <c r="AP42" s="1920"/>
      <c r="AQ42" s="1920"/>
      <c r="AR42" s="1920"/>
      <c r="AS42" s="1925">
        <v>0</v>
      </c>
    </row>
    <row customHeight="1" ht="22.049999999999997">
      <c r="A43" s="1551" t="s">
        <v>217</v>
      </c>
      <c r="B43" s="1551"/>
      <c r="C43" s="1551"/>
      <c r="D43" s="1551"/>
      <c r="E43" s="2573">
        <v>1</v>
      </c>
      <c r="F43" s="1551"/>
      <c r="G43" s="1551"/>
      <c r="H43" s="1551"/>
      <c r="I43" s="1551"/>
      <c r="J43" s="1551"/>
      <c r="K43" s="1551"/>
      <c r="L43" s="1594"/>
      <c r="M43" s="1894"/>
      <c r="N43" s="1894"/>
      <c r="O43" s="1894"/>
      <c r="P43" s="1874"/>
      <c r="Q43" s="644"/>
      <c r="R43" s="639"/>
      <c r="S43" s="2242">
        <f>INDEX(PT_DIFFERENTIATION_NUM_NTAR,MATCH(A43,PT_DIFFERENTIATION_NTAR_ID,0))</f>
        <v>0</v>
      </c>
      <c r="T43" s="1809" t="s">
        <v>124</v>
      </c>
      <c r="U43" s="584"/>
      <c r="V43" s="2526"/>
      <c r="W43" s="2527"/>
      <c r="X43" s="2527"/>
      <c r="Y43" s="2527"/>
      <c r="Z43" s="2527"/>
      <c r="AA43" s="2527"/>
      <c r="AB43" s="2527"/>
      <c r="AC43" s="2528"/>
      <c r="AD43" s="2526" t="str">
        <f>INDEX(PT_DIFFERENTIATION_NTAR,MATCH(A43,PT_DIFFERENTIATION_NTAR_ID,0))</f>
        <v/>
      </c>
      <c r="AE43" s="2527"/>
      <c r="AF43" s="2527"/>
      <c r="AG43" s="2527"/>
      <c r="AH43" s="2527"/>
      <c r="AI43" s="2527"/>
      <c r="AJ43" s="2527"/>
      <c r="AK43" s="2527"/>
      <c r="AL43" s="2528"/>
      <c r="AM43" s="1542"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908"/>
      <c r="AP43" s="1908" t="str">
        <f>IF(T43="","",T43)</f>
        <v>Наименование тарифа</v>
      </c>
      <c r="AQ43" s="1908"/>
      <c r="AR43" s="1908"/>
      <c r="AS43" s="1915">
        <v>21</v>
      </c>
    </row>
    <row customHeight="1" ht="22.049999999999997">
      <c r="A44" s="1551" t="s">
        <v>217</v>
      </c>
      <c r="B44" s="1551" t="s">
        <v>218</v>
      </c>
      <c r="C44" s="1551"/>
      <c r="D44" s="1551"/>
      <c r="E44" s="2574"/>
      <c r="F44" s="2573">
        <v>1</v>
      </c>
      <c r="G44" s="1551"/>
      <c r="H44" s="1551"/>
      <c r="I44" s="1551"/>
      <c r="J44" s="1551"/>
      <c r="K44" s="1551"/>
      <c r="L44" s="1594"/>
      <c r="M44" s="1894"/>
      <c r="N44" s="1894"/>
      <c r="O44" s="1894"/>
      <c r="P44" s="2224"/>
      <c r="Q44" s="636"/>
      <c r="R44" s="637"/>
      <c r="S44" s="2242" t="str">
        <f>INDEX(PT_DIFFERENTIATION_NUM_TER,MATCH(B44,PT_DIFFERENTIATION_TER_ID,0))</f>
        <v>.</v>
      </c>
      <c r="T44" s="1806" t="s">
        <v>402</v>
      </c>
      <c r="U44" s="584"/>
      <c r="V44" s="2526"/>
      <c r="W44" s="2527"/>
      <c r="X44" s="2527"/>
      <c r="Y44" s="2527"/>
      <c r="Z44" s="2527"/>
      <c r="AA44" s="2527"/>
      <c r="AB44" s="2527"/>
      <c r="AC44" s="2528"/>
      <c r="AD44" s="2526" t="str">
        <f>INDEX(PT_DIFFERENTIATION_TER,MATCH(B44,PT_DIFFERENTIATION_TER_ID,0))</f>
        <v/>
      </c>
      <c r="AE44" s="2527"/>
      <c r="AF44" s="2527"/>
      <c r="AG44" s="2527"/>
      <c r="AH44" s="2527"/>
      <c r="AI44" s="2527"/>
      <c r="AJ44" s="2527"/>
      <c r="AK44" s="2527"/>
      <c r="AL44" s="2528"/>
      <c r="AM44" s="1542" t="s">
        <v>403</v>
      </c>
      <c r="AO44" s="1908"/>
      <c r="AP44" s="1908" t="str">
        <f>IF(T44="","",T44)</f>
        <v>Территория действия тарифа</v>
      </c>
      <c r="AQ44" s="1908"/>
      <c r="AR44" s="1908"/>
      <c r="AS44" s="1915">
        <v>21</v>
      </c>
    </row>
    <row customHeight="1" ht="24">
      <c r="A45" s="1551" t="s">
        <v>217</v>
      </c>
      <c r="B45" s="1551" t="s">
        <v>218</v>
      </c>
      <c r="C45" s="1551" t="s">
        <v>219</v>
      </c>
      <c r="D45" s="1551"/>
      <c r="E45" s="2574"/>
      <c r="F45" s="2574"/>
      <c r="G45" s="2573">
        <v>1</v>
      </c>
      <c r="H45" s="1551"/>
      <c r="I45" s="1551"/>
      <c r="J45" s="1551"/>
      <c r="K45" s="1551"/>
      <c r="L45" s="1594"/>
      <c r="M45" s="1894"/>
      <c r="N45" s="1894"/>
      <c r="O45" s="1894"/>
      <c r="P45" s="638"/>
      <c r="Q45" s="636"/>
      <c r="R45" s="637"/>
      <c r="S45" s="2242" t="str">
        <f>INDEX(PT_DIFFERENTIATION_NUM_CS,MATCH(C45,PT_DIFFERENTIATION_CS_ID,0))</f>
        <v>..</v>
      </c>
      <c r="T45" s="593" t="s">
        <v>404</v>
      </c>
      <c r="U45" s="584"/>
      <c r="V45" s="2526"/>
      <c r="W45" s="2527"/>
      <c r="X45" s="2527"/>
      <c r="Y45" s="2527"/>
      <c r="Z45" s="2527"/>
      <c r="AA45" s="2527"/>
      <c r="AB45" s="2527"/>
      <c r="AC45" s="2528"/>
      <c r="AD45" s="2526" t="str">
        <f>INDEX(PT_DIFFERENTIATION_CS,MATCH(C45,PT_DIFFERENTIATION_CS_ID,0))</f>
        <v/>
      </c>
      <c r="AE45" s="2527"/>
      <c r="AF45" s="2527"/>
      <c r="AG45" s="2527"/>
      <c r="AH45" s="2527"/>
      <c r="AI45" s="2527"/>
      <c r="AJ45" s="2527"/>
      <c r="AK45" s="2527"/>
      <c r="AL45" s="2528"/>
      <c r="AM45" s="1542" t="s">
        <v>405</v>
      </c>
      <c r="AO45" s="1908"/>
      <c r="AP45" s="1908" t="str">
        <f>IF(T45="","",T45)</f>
        <v>Наименование системы теплоснабжения </v>
      </c>
      <c r="AQ45" s="1908"/>
      <c r="AR45" s="1908"/>
      <c r="AS45" s="1915">
        <v>23</v>
      </c>
    </row>
    <row customHeight="1" ht="22.049999999999997">
      <c r="A46" s="1551" t="s">
        <v>217</v>
      </c>
      <c r="B46" s="1551" t="s">
        <v>218</v>
      </c>
      <c r="C46" s="1551" t="s">
        <v>219</v>
      </c>
      <c r="D46" s="1551" t="s">
        <v>220</v>
      </c>
      <c r="E46" s="2574"/>
      <c r="F46" s="2574"/>
      <c r="G46" s="2574"/>
      <c r="H46" s="2573">
        <v>1</v>
      </c>
      <c r="I46" s="1551"/>
      <c r="J46" s="1551"/>
      <c r="K46" s="1551"/>
      <c r="L46" s="1594"/>
      <c r="M46" s="1894"/>
      <c r="N46" s="1894"/>
      <c r="O46" s="1894"/>
      <c r="P46" s="638"/>
      <c r="Q46" s="636"/>
      <c r="R46" s="637"/>
      <c r="S46" s="2242" t="str">
        <f>INDEX(PT_DIFFERENTIATION_NUM_IST_TE,MATCH(D46,PT_DIFFERENTIATION_IST_TE_ID,0))</f>
        <v>...</v>
      </c>
      <c r="T46" s="594" t="s">
        <v>406</v>
      </c>
      <c r="U46" s="584"/>
      <c r="V46" s="2526"/>
      <c r="W46" s="2527"/>
      <c r="X46" s="2527"/>
      <c r="Y46" s="2527"/>
      <c r="Z46" s="2527"/>
      <c r="AA46" s="2527"/>
      <c r="AB46" s="2527"/>
      <c r="AC46" s="2528"/>
      <c r="AD46" s="2526" t="str">
        <f>INDEX(PT_DIFFERENTIATION_IST_TE,MATCH(D46,PT_DIFFERENTIATION_IST_TE_ID,0))</f>
        <v/>
      </c>
      <c r="AE46" s="2527"/>
      <c r="AF46" s="2527"/>
      <c r="AG46" s="2527"/>
      <c r="AH46" s="2527"/>
      <c r="AI46" s="2527"/>
      <c r="AJ46" s="2527"/>
      <c r="AK46" s="2527"/>
      <c r="AL46" s="2528"/>
      <c r="AM46" s="1542" t="s">
        <v>407</v>
      </c>
      <c r="AO46" s="1908"/>
      <c r="AP46" s="1908" t="str">
        <f>IF(T46="","",T46)</f>
        <v>Источник тепловой энергии  </v>
      </c>
      <c r="AQ46" s="1908"/>
      <c r="AR46" s="1908"/>
      <c r="AS46" s="1915">
        <v>21</v>
      </c>
    </row>
    <row customHeight="1" ht="49.5">
      <c r="A47" s="1551" t="s">
        <v>217</v>
      </c>
      <c r="B47" s="1551" t="s">
        <v>218</v>
      </c>
      <c r="C47" s="1551" t="s">
        <v>219</v>
      </c>
      <c r="D47" s="1551" t="s">
        <v>220</v>
      </c>
      <c r="E47" s="2574"/>
      <c r="F47" s="2574"/>
      <c r="G47" s="2574"/>
      <c r="H47" s="2574"/>
      <c r="I47" s="2411" t="str">
        <f>S46&amp;".1"</f>
        <v>....1</v>
      </c>
      <c r="J47" s="1551"/>
      <c r="K47" s="1551"/>
      <c r="L47" s="1594" t="s">
        <v>408</v>
      </c>
      <c r="P47" s="2541">
        <v>1</v>
      </c>
      <c r="Q47" s="2238"/>
      <c r="R47" s="640"/>
      <c r="S47" s="2242" t="str">
        <f>$I47</f>
        <v>....1</v>
      </c>
      <c r="T47" s="569" t="s">
        <v>409</v>
      </c>
      <c r="U47" s="584"/>
      <c r="V47" s="2529"/>
      <c r="W47" s="2530"/>
      <c r="X47" s="2530"/>
      <c r="Y47" s="2530"/>
      <c r="Z47" s="2530"/>
      <c r="AA47" s="2530"/>
      <c r="AB47" s="2530"/>
      <c r="AC47" s="2531"/>
      <c r="AD47" s="2529"/>
      <c r="AE47" s="2530"/>
      <c r="AF47" s="2530"/>
      <c r="AG47" s="2530"/>
      <c r="AH47" s="2530"/>
      <c r="AI47" s="2530"/>
      <c r="AJ47" s="2530"/>
      <c r="AK47" s="2530"/>
      <c r="AL47" s="2531"/>
      <c r="AM47" s="1542" t="s">
        <v>410</v>
      </c>
      <c r="AO47" s="1908"/>
      <c r="AP47" s="1908" t="str">
        <f>IF(T47="","",T47)</f>
        <v>Схема подключения теплопотребляющей установки к коллектору источника тепловой энергии</v>
      </c>
      <c r="AQ47" s="1908"/>
      <c r="AR47" s="1908"/>
      <c r="AS47" s="1915">
        <v>47</v>
      </c>
    </row>
    <row customHeight="1" ht="22.049999999999997">
      <c r="A48" s="1551" t="s">
        <v>217</v>
      </c>
      <c r="B48" s="1551" t="s">
        <v>218</v>
      </c>
      <c r="C48" s="1551" t="s">
        <v>219</v>
      </c>
      <c r="D48" s="1551" t="s">
        <v>220</v>
      </c>
      <c r="E48" s="2574"/>
      <c r="F48" s="2574"/>
      <c r="G48" s="2574"/>
      <c r="H48" s="2574"/>
      <c r="I48" s="2385"/>
      <c r="J48" s="2411" t="str">
        <f>I47&amp;".1"</f>
        <v>....1.1</v>
      </c>
      <c r="K48" s="1551"/>
      <c r="L48" s="1594" t="s">
        <v>411</v>
      </c>
      <c r="P48" s="2541"/>
      <c r="Q48" s="2541">
        <v>1</v>
      </c>
      <c r="R48" s="641"/>
      <c r="S48" s="2242" t="str">
        <f>$J48</f>
        <v>....1.1</v>
      </c>
      <c r="T48" s="570" t="s">
        <v>412</v>
      </c>
      <c r="U48" s="584"/>
      <c r="V48" s="2529"/>
      <c r="W48" s="2530"/>
      <c r="X48" s="2530"/>
      <c r="Y48" s="2530"/>
      <c r="Z48" s="2530"/>
      <c r="AA48" s="2530"/>
      <c r="AB48" s="2530"/>
      <c r="AC48" s="2531"/>
      <c r="AD48" s="2529"/>
      <c r="AE48" s="2530"/>
      <c r="AF48" s="2530"/>
      <c r="AG48" s="2530"/>
      <c r="AH48" s="2530"/>
      <c r="AI48" s="2530"/>
      <c r="AJ48" s="2530"/>
      <c r="AK48" s="2530"/>
      <c r="AL48" s="2531"/>
      <c r="AM48" s="1542" t="s">
        <v>413</v>
      </c>
      <c r="AO48" s="1908"/>
      <c r="AP48" s="1908" t="str">
        <f>IF(T48="","",T48)</f>
        <v>Группа потребителей</v>
      </c>
      <c r="AQ48" s="1908"/>
      <c r="AR48" s="1908"/>
      <c r="AS48" s="1915">
        <v>21</v>
      </c>
    </row>
    <row customHeight="1" ht="22.049999999999997">
      <c r="A49" s="1551" t="s">
        <v>217</v>
      </c>
      <c r="B49" s="1551" t="s">
        <v>218</v>
      </c>
      <c r="C49" s="1551" t="s">
        <v>219</v>
      </c>
      <c r="D49" s="1551" t="s">
        <v>220</v>
      </c>
      <c r="E49" s="2574"/>
      <c r="F49" s="2574"/>
      <c r="G49" s="2574"/>
      <c r="H49" s="2574"/>
      <c r="I49" s="2385"/>
      <c r="J49" s="2385"/>
      <c r="K49" s="2411" t="str">
        <f>J48&amp;".1"</f>
        <v>....1.1.1</v>
      </c>
      <c r="L49" s="1594" t="s">
        <v>414</v>
      </c>
      <c r="P49" s="2541"/>
      <c r="Q49" s="2541"/>
      <c r="R49" s="641">
        <v>1</v>
      </c>
      <c r="S49" s="2242" t="str">
        <f>$K49</f>
        <v>....1.1.1</v>
      </c>
      <c r="T49" s="1631"/>
      <c r="U49" s="584"/>
      <c r="V49" s="1035"/>
      <c r="W49" s="609"/>
      <c r="X49" s="1035"/>
      <c r="Y49" s="1541"/>
      <c r="Z49" s="2549"/>
      <c r="AA49" s="2391" t="s">
        <v>67</v>
      </c>
      <c r="AB49" s="2549"/>
      <c r="AC49" s="2391" t="s">
        <v>67</v>
      </c>
      <c r="AD49" s="1035"/>
      <c r="AE49" s="609"/>
      <c r="AF49" s="1035"/>
      <c r="AG49" s="1541"/>
      <c r="AH49" s="2549"/>
      <c r="AI49" s="2391" t="s">
        <v>67</v>
      </c>
      <c r="AJ49" s="2571"/>
      <c r="AK49" s="2391" t="s">
        <v>67</v>
      </c>
      <c r="AL49" s="1632"/>
      <c r="AM49" s="2537" t="s">
        <v>415</v>
      </c>
      <c r="AN49" s="1920">
        <f>STRCHECKDATE(V50:AL50)</f>
      </c>
      <c r="AO49" s="1908"/>
      <c r="AP49" s="1908" t="str">
        <f>IF(T49="","",T49)</f>
        <v/>
      </c>
      <c r="AQ49" s="1908"/>
      <c r="AR49" s="1908"/>
      <c r="AS49" s="1915">
        <v>21</v>
      </c>
    </row>
    <row customHeight="1" ht="1.05">
      <c r="A50" s="1551" t="s">
        <v>217</v>
      </c>
      <c r="B50" s="1551" t="s">
        <v>218</v>
      </c>
      <c r="C50" s="1551" t="s">
        <v>219</v>
      </c>
      <c r="D50" s="1551" t="s">
        <v>220</v>
      </c>
      <c r="E50" s="2574"/>
      <c r="F50" s="2574"/>
      <c r="G50" s="2574"/>
      <c r="H50" s="2574"/>
      <c r="I50" s="2385"/>
      <c r="J50" s="2385"/>
      <c r="K50" s="2411"/>
      <c r="L50" s="1594"/>
      <c r="P50" s="2541"/>
      <c r="Q50" s="2541"/>
      <c r="R50" s="641"/>
      <c r="S50" s="2251"/>
      <c r="T50" s="584"/>
      <c r="U50" s="584"/>
      <c r="V50" s="609"/>
      <c r="W50" s="609"/>
      <c r="X50" s="609"/>
      <c r="Y50" s="612" t="str">
        <f>Z49&amp;"-"&amp;AB49</f>
        <v>-</v>
      </c>
      <c r="Z50" s="2550"/>
      <c r="AA50" s="2391"/>
      <c r="AB50" s="2550"/>
      <c r="AC50" s="2391"/>
      <c r="AD50" s="609"/>
      <c r="AE50" s="609"/>
      <c r="AF50" s="609"/>
      <c r="AG50" s="612" t="str">
        <f>AH49&amp;"-"&amp;AJ49</f>
        <v>-</v>
      </c>
      <c r="AH50" s="2550"/>
      <c r="AI50" s="2391"/>
      <c r="AJ50" s="2572"/>
      <c r="AK50" s="2391"/>
      <c r="AL50" s="1633"/>
      <c r="AM50" s="2538"/>
      <c r="AO50" s="1908"/>
      <c r="AP50" s="1908" t="str">
        <f>IF(T50="","",T50)</f>
        <v/>
      </c>
      <c r="AQ50" s="1908"/>
      <c r="AR50" s="1908"/>
      <c r="AS50" s="1915">
        <v>1</v>
      </c>
    </row>
    <row customHeight="1" ht="11.549999999999999">
      <c r="A51" s="1551" t="s">
        <v>217</v>
      </c>
      <c r="B51" s="1551" t="s">
        <v>218</v>
      </c>
      <c r="C51" s="1551" t="s">
        <v>219</v>
      </c>
      <c r="D51" s="1551" t="s">
        <v>220</v>
      </c>
      <c r="E51" s="2574"/>
      <c r="F51" s="2574"/>
      <c r="G51" s="2574"/>
      <c r="H51" s="2574"/>
      <c r="I51" s="2385"/>
      <c r="J51" s="2411"/>
      <c r="K51" s="1551"/>
      <c r="L51" s="1594"/>
      <c r="P51" s="2541"/>
      <c r="Q51" s="2541"/>
      <c r="R51" s="640"/>
      <c r="S51" s="1562"/>
      <c r="T51" s="572" t="s">
        <v>416</v>
      </c>
      <c r="U51" s="884"/>
      <c r="V51" s="884"/>
      <c r="W51" s="884"/>
      <c r="X51" s="884"/>
      <c r="Y51" s="884"/>
      <c r="Z51" s="884"/>
      <c r="AA51" s="884"/>
      <c r="AB51" s="884"/>
      <c r="AC51" s="884"/>
      <c r="AD51" s="884"/>
      <c r="AE51" s="884"/>
      <c r="AF51" s="884"/>
      <c r="AG51" s="884"/>
      <c r="AH51" s="884"/>
      <c r="AI51" s="884"/>
      <c r="AJ51" s="884"/>
      <c r="AK51" s="884"/>
      <c r="AL51" s="608"/>
      <c r="AM51" s="2539"/>
      <c r="AO51" s="1908"/>
      <c r="AP51" s="1908" t="str">
        <f>IF(T51="","",T51)</f>
        <v>Добавить вид теплоносителя (параметры теплоносителя)</v>
      </c>
      <c r="AQ51" s="1908"/>
      <c r="AR51" s="1908"/>
      <c r="AS51" s="1915">
        <v>11</v>
      </c>
    </row>
    <row customHeight="1" ht="11.549999999999999">
      <c r="A52" s="1551" t="s">
        <v>217</v>
      </c>
      <c r="B52" s="1551" t="s">
        <v>218</v>
      </c>
      <c r="C52" s="1551" t="s">
        <v>219</v>
      </c>
      <c r="D52" s="1551" t="s">
        <v>220</v>
      </c>
      <c r="E52" s="2574"/>
      <c r="F52" s="2574"/>
      <c r="G52" s="2574"/>
      <c r="H52" s="2574"/>
      <c r="I52" s="2411"/>
      <c r="J52" s="1551"/>
      <c r="K52" s="1551"/>
      <c r="L52" s="1594"/>
      <c r="P52" s="2541"/>
      <c r="Q52" s="2238"/>
      <c r="R52" s="640"/>
      <c r="S52" s="1562"/>
      <c r="T52" s="571" t="s">
        <v>417</v>
      </c>
      <c r="U52" s="884"/>
      <c r="V52" s="884"/>
      <c r="W52" s="884"/>
      <c r="X52" s="884"/>
      <c r="Y52" s="884"/>
      <c r="Z52" s="884"/>
      <c r="AA52" s="884"/>
      <c r="AB52" s="884"/>
      <c r="AC52" s="650"/>
      <c r="AD52" s="884"/>
      <c r="AE52" s="884"/>
      <c r="AF52" s="884"/>
      <c r="AG52" s="884"/>
      <c r="AH52" s="884"/>
      <c r="AI52" s="884"/>
      <c r="AJ52" s="884"/>
      <c r="AK52" s="650"/>
      <c r="AL52" s="884"/>
      <c r="AM52" s="587"/>
      <c r="AO52" s="1908"/>
      <c r="AP52" s="1908" t="str">
        <f>IF(T52="","",T52)</f>
        <v>Добавить группу потребителей</v>
      </c>
      <c r="AQ52" s="1908"/>
      <c r="AR52" s="1908"/>
      <c r="AS52" s="1915">
        <v>11</v>
      </c>
    </row>
    <row customHeight="1" ht="14.699999999999998">
      <c r="A53" s="1551" t="s">
        <v>217</v>
      </c>
      <c r="B53" s="1551" t="s">
        <v>218</v>
      </c>
      <c r="C53" s="1551" t="s">
        <v>219</v>
      </c>
      <c r="D53" s="1551" t="s">
        <v>220</v>
      </c>
      <c r="E53" s="2574"/>
      <c r="F53" s="2574"/>
      <c r="G53" s="2574"/>
      <c r="H53" s="2573"/>
      <c r="I53" s="1551"/>
      <c r="J53" s="1551"/>
      <c r="K53" s="1551"/>
      <c r="L53" s="1594"/>
      <c r="M53" s="1894"/>
      <c r="N53" s="1894"/>
      <c r="O53" s="1919"/>
      <c r="P53" s="644"/>
      <c r="Q53" s="659"/>
      <c r="R53" s="639"/>
      <c r="S53" s="1562"/>
      <c r="T53" s="649" t="s">
        <v>418</v>
      </c>
      <c r="U53" s="884"/>
      <c r="V53" s="884"/>
      <c r="W53" s="884"/>
      <c r="X53" s="884"/>
      <c r="Y53" s="884"/>
      <c r="Z53" s="884"/>
      <c r="AA53" s="884"/>
      <c r="AB53" s="884"/>
      <c r="AC53" s="650"/>
      <c r="AD53" s="884"/>
      <c r="AE53" s="884"/>
      <c r="AF53" s="884"/>
      <c r="AG53" s="884"/>
      <c r="AH53" s="884"/>
      <c r="AI53" s="884"/>
      <c r="AJ53" s="884"/>
      <c r="AK53" s="650"/>
      <c r="AL53" s="884"/>
      <c r="AM53" s="587"/>
      <c r="AO53" s="1908"/>
      <c r="AP53" s="1908" t="str">
        <f>IF(T53="","",T53)</f>
        <v>Добавить схему подключения</v>
      </c>
      <c r="AQ53" s="1908"/>
      <c r="AR53" s="1908"/>
      <c r="AS53" s="1915">
        <v>14</v>
      </c>
    </row>
    <row s="14158" customFormat="1" customHeight="1" ht="4.2">
      <c r="A54" s="1659" t="s">
        <v>217</v>
      </c>
      <c r="B54" s="1659" t="s">
        <v>218</v>
      </c>
      <c r="C54" s="1659" t="s">
        <v>219</v>
      </c>
      <c r="D54" s="1658"/>
      <c r="E54" s="2574"/>
      <c r="F54" s="2574"/>
      <c r="G54" s="2573"/>
      <c r="H54" s="1658"/>
      <c r="I54" s="1658"/>
      <c r="J54" s="1658"/>
      <c r="K54" s="1658"/>
      <c r="L54" s="1661"/>
      <c r="M54" s="1662"/>
      <c r="N54" s="1662"/>
      <c r="O54" s="635"/>
      <c r="P54" s="1600"/>
      <c r="Q54" s="1601"/>
      <c r="R54" s="1600"/>
      <c r="S54" s="1606"/>
      <c r="T54" s="1609" t="s">
        <v>169</v>
      </c>
      <c r="U54" s="1608"/>
      <c r="V54" s="1608"/>
      <c r="W54" s="1608"/>
      <c r="X54" s="1608"/>
      <c r="Y54" s="1608"/>
      <c r="Z54" s="1608"/>
      <c r="AA54" s="1608"/>
      <c r="AB54" s="1608"/>
      <c r="AC54" s="1608"/>
      <c r="AD54" s="1608"/>
      <c r="AE54" s="1608"/>
      <c r="AF54" s="1608"/>
      <c r="AG54" s="1608"/>
      <c r="AH54" s="1608"/>
      <c r="AI54" s="1608"/>
      <c r="AJ54" s="1608"/>
      <c r="AK54" s="1608"/>
      <c r="AL54" s="1608"/>
      <c r="AM54" s="1608"/>
      <c r="AO54" s="1535"/>
      <c r="AP54" s="1535" t="str">
        <f>IF(T54="","",T54)</f>
        <v>Добавить источник для дифференциации</v>
      </c>
      <c r="AQ54" s="1535"/>
      <c r="AR54" s="1535"/>
      <c r="AS54" s="1926">
        <v>4</v>
      </c>
    </row>
    <row s="14158" customFormat="1" customHeight="1" ht="4.2">
      <c r="A55" s="1659" t="s">
        <v>217</v>
      </c>
      <c r="B55" s="1659" t="s">
        <v>218</v>
      </c>
      <c r="C55" s="1658"/>
      <c r="D55" s="1658"/>
      <c r="E55" s="2574"/>
      <c r="F55" s="2573"/>
      <c r="G55" s="1658"/>
      <c r="H55" s="1658"/>
      <c r="I55" s="1658"/>
      <c r="J55" s="1658"/>
      <c r="K55" s="1658"/>
      <c r="L55" s="1661"/>
      <c r="M55" s="1663"/>
      <c r="N55" s="1663"/>
      <c r="O55" s="635"/>
      <c r="P55" s="1600"/>
      <c r="Q55" s="1601"/>
      <c r="R55" s="1600"/>
      <c r="S55" s="1606"/>
      <c r="T55" s="1609" t="s">
        <v>170</v>
      </c>
      <c r="U55" s="1608"/>
      <c r="V55" s="1608"/>
      <c r="W55" s="1608"/>
      <c r="X55" s="1608"/>
      <c r="Y55" s="1608"/>
      <c r="Z55" s="1608"/>
      <c r="AA55" s="1608"/>
      <c r="AB55" s="1608"/>
      <c r="AC55" s="1608"/>
      <c r="AD55" s="1608"/>
      <c r="AE55" s="1608"/>
      <c r="AF55" s="1608"/>
      <c r="AG55" s="1608"/>
      <c r="AH55" s="1608"/>
      <c r="AI55" s="1608"/>
      <c r="AJ55" s="1608"/>
      <c r="AK55" s="1608"/>
      <c r="AL55" s="1608"/>
      <c r="AM55" s="1608"/>
      <c r="AO55" s="1535"/>
      <c r="AP55" s="1535" t="str">
        <f>IF(T55="","",T55)</f>
        <v>Добавить централизованную систему для дифференциации</v>
      </c>
      <c r="AQ55" s="1535"/>
      <c r="AR55" s="1535"/>
      <c r="AS55" s="1926">
        <v>4</v>
      </c>
    </row>
    <row s="14158" customFormat="1" customHeight="1" ht="4.2">
      <c r="A56" s="1659" t="s">
        <v>217</v>
      </c>
      <c r="B56" s="1659"/>
      <c r="C56" s="1659"/>
      <c r="D56" s="1659"/>
      <c r="E56" s="2573"/>
      <c r="F56" s="1659"/>
      <c r="G56" s="1659"/>
      <c r="H56" s="1659"/>
      <c r="I56" s="1659"/>
      <c r="J56" s="1659"/>
      <c r="K56" s="1659"/>
      <c r="L56" s="1665"/>
      <c r="M56" s="1663"/>
      <c r="N56" s="1663"/>
      <c r="O56" s="635"/>
      <c r="P56" s="664"/>
      <c r="Q56" s="1628"/>
      <c r="R56" s="664"/>
      <c r="S56" s="1606"/>
      <c r="T56" s="1609" t="s">
        <v>171</v>
      </c>
      <c r="U56" s="1608"/>
      <c r="V56" s="1608"/>
      <c r="W56" s="1608"/>
      <c r="X56" s="1608"/>
      <c r="Y56" s="1608"/>
      <c r="Z56" s="1608"/>
      <c r="AA56" s="1608"/>
      <c r="AB56" s="1608"/>
      <c r="AC56" s="1608"/>
      <c r="AD56" s="1608"/>
      <c r="AE56" s="1608"/>
      <c r="AF56" s="1608"/>
      <c r="AG56" s="1608"/>
      <c r="AH56" s="1608"/>
      <c r="AI56" s="1608"/>
      <c r="AJ56" s="1608"/>
      <c r="AK56" s="1608"/>
      <c r="AL56" s="1608"/>
      <c r="AM56" s="1608"/>
      <c r="AO56" s="1908"/>
      <c r="AP56" s="1908" t="str">
        <f>IF(T56="","",T56)</f>
        <v>Добавить территорию для дифференциации</v>
      </c>
      <c r="AQ56" s="1908"/>
      <c r="AR56" s="1908"/>
      <c r="AS56" s="1920">
        <v>4</v>
      </c>
    </row>
    <row s="14158" customFormat="1" customHeight="1" ht="4.2">
      <c r="A57" s="1658"/>
      <c r="B57" s="1658"/>
      <c r="C57" s="1658"/>
      <c r="D57" s="1658"/>
      <c r="E57" s="1659"/>
      <c r="F57" s="1658"/>
      <c r="G57" s="1658"/>
      <c r="H57" s="1658"/>
      <c r="I57" s="1658"/>
      <c r="J57" s="1658"/>
      <c r="K57" s="1658"/>
      <c r="L57" s="1661"/>
      <c r="M57" s="1663"/>
      <c r="N57" s="1663"/>
      <c r="O57" s="635"/>
      <c r="P57" s="1600"/>
      <c r="Q57" s="1601"/>
      <c r="R57" s="1600"/>
      <c r="S57" s="1606"/>
      <c r="T57" s="1609" t="s">
        <v>172</v>
      </c>
      <c r="U57" s="1608"/>
      <c r="V57" s="1608"/>
      <c r="W57" s="1608"/>
      <c r="X57" s="1608"/>
      <c r="Y57" s="1608"/>
      <c r="Z57" s="1608"/>
      <c r="AA57" s="1608"/>
      <c r="AB57" s="1608"/>
      <c r="AC57" s="1608"/>
      <c r="AD57" s="1608"/>
      <c r="AE57" s="1608"/>
      <c r="AF57" s="1608"/>
      <c r="AG57" s="1608"/>
      <c r="AH57" s="1608"/>
      <c r="AI57" s="1608"/>
      <c r="AJ57" s="1608"/>
      <c r="AK57" s="1608"/>
      <c r="AL57" s="1608"/>
      <c r="AM57" s="1608"/>
      <c r="AO57" s="1535"/>
      <c r="AP57" s="1535" t="str">
        <f>IF(T57="","",T57)</f>
        <v>Добавить наименование тарифа</v>
      </c>
      <c r="AQ57" s="1535"/>
      <c r="AR57" s="1535"/>
      <c r="AS57" s="1926">
        <v>4</v>
      </c>
    </row>
    <row customHeight="1" ht="11.549999999999999">
      <c r="M58" s="1915"/>
      <c r="N58" s="1915"/>
      <c r="O58" s="1919"/>
      <c r="P58" s="1915"/>
      <c r="Q58" s="1915"/>
      <c r="R58" s="1915"/>
      <c r="S58" s="1915"/>
      <c r="AN58" s="1915"/>
      <c r="AO58" s="1915"/>
      <c r="AP58" s="1915"/>
      <c r="AQ58" s="1915"/>
      <c r="AR58" s="1915"/>
      <c r="AS58" s="1915">
        <v>11</v>
      </c>
    </row>
    <row customHeight="1" ht="28.5">
      <c r="O59" s="1919"/>
      <c r="S59" s="1537"/>
      <c r="T59" s="2569"/>
      <c r="U59" s="2569"/>
      <c r="V59" s="2569"/>
      <c r="W59" s="2569"/>
      <c r="X59" s="2569"/>
      <c r="Y59" s="2569"/>
      <c r="Z59" s="2569"/>
      <c r="AA59" s="2569"/>
      <c r="AB59" s="2569"/>
      <c r="AC59" s="2569"/>
      <c r="AD59" s="2569"/>
      <c r="AE59" s="2569"/>
      <c r="AF59" s="2569"/>
      <c r="AG59" s="2569"/>
      <c r="AH59" s="2569"/>
      <c r="AI59" s="2569"/>
      <c r="AJ59" s="2569"/>
      <c r="AK59" s="2569"/>
      <c r="AL59" s="2569"/>
      <c r="AM59" s="2569"/>
      <c r="AS59" s="1915">
        <v>27</v>
      </c>
    </row>
    <row customHeight="1" ht="65.25">
      <c r="O60" s="1919"/>
      <c r="T60" s="2569"/>
      <c r="U60" s="2569"/>
      <c r="V60" s="2569"/>
      <c r="W60" s="2569"/>
      <c r="X60" s="2569"/>
      <c r="Y60" s="2569"/>
      <c r="Z60" s="2569"/>
      <c r="AA60" s="2569"/>
      <c r="AB60" s="2569"/>
      <c r="AC60" s="2569"/>
      <c r="AD60" s="2569"/>
      <c r="AE60" s="2569"/>
      <c r="AF60" s="2569"/>
      <c r="AG60" s="2569"/>
      <c r="AH60" s="2569"/>
      <c r="AI60" s="2569"/>
      <c r="AJ60" s="2569"/>
      <c r="AK60" s="2569"/>
      <c r="AL60" s="2569"/>
      <c r="AM60" s="2569"/>
      <c r="AS60" s="1915">
        <v>62</v>
      </c>
    </row>
    <row customHeight="1" ht="14.699999999999998">
      <c r="O61" s="1919"/>
      <c r="AS61" s="1915">
        <v>14</v>
      </c>
    </row>
    <row customHeight="1" ht="18.75">
      <c r="O62" s="1919"/>
      <c r="S62" s="1537"/>
      <c r="T62" s="2569"/>
      <c r="U62" s="2569"/>
      <c r="V62" s="2569"/>
      <c r="W62" s="2569"/>
      <c r="X62" s="2569"/>
      <c r="Y62" s="2569"/>
      <c r="Z62" s="2569"/>
      <c r="AA62" s="2569"/>
      <c r="AB62" s="2569"/>
      <c r="AC62" s="2569"/>
      <c r="AD62" s="2569"/>
      <c r="AE62" s="2569"/>
      <c r="AF62" s="2569"/>
      <c r="AG62" s="2569"/>
      <c r="AH62" s="2569"/>
      <c r="AI62" s="2569"/>
      <c r="AJ62" s="2569"/>
      <c r="AK62" s="2569"/>
      <c r="AL62" s="2569"/>
      <c r="AM62" s="2569"/>
      <c r="AS62" s="1915">
        <v>18</v>
      </c>
    </row>
    <row customHeight="1" ht="18.75">
      <c r="O63" s="1919"/>
      <c r="T63" s="2569"/>
      <c r="U63" s="2569"/>
      <c r="V63" s="2569"/>
      <c r="W63" s="2569"/>
      <c r="X63" s="2569"/>
      <c r="Y63" s="2569"/>
      <c r="Z63" s="2569"/>
      <c r="AA63" s="2569"/>
      <c r="AB63" s="2569"/>
      <c r="AC63" s="2569"/>
      <c r="AD63" s="2569"/>
      <c r="AE63" s="2569"/>
      <c r="AF63" s="2569"/>
      <c r="AG63" s="2569"/>
      <c r="AH63" s="2569"/>
      <c r="AI63" s="2569"/>
      <c r="AJ63" s="2569"/>
      <c r="AK63" s="2569"/>
      <c r="AL63" s="2569"/>
      <c r="AM63" s="2569"/>
      <c r="AS63" s="1915">
        <v>18</v>
      </c>
    </row>
    <row customHeight="1" ht="29.25">
      <c r="O64" s="1919"/>
      <c r="S64" s="1537"/>
      <c r="T64" s="2569"/>
      <c r="U64" s="2569"/>
      <c r="V64" s="2569"/>
      <c r="W64" s="2569"/>
      <c r="X64" s="2569"/>
      <c r="Y64" s="2569"/>
      <c r="Z64" s="2569"/>
      <c r="AA64" s="2569"/>
      <c r="AB64" s="2569"/>
      <c r="AC64" s="2569"/>
      <c r="AD64" s="2569"/>
      <c r="AE64" s="2569"/>
      <c r="AF64" s="2569"/>
      <c r="AG64" s="2569"/>
      <c r="AH64" s="2569"/>
      <c r="AI64" s="2569"/>
      <c r="AJ64" s="2569"/>
      <c r="AK64" s="2569"/>
      <c r="AL64" s="2569"/>
      <c r="AM64" s="2569"/>
      <c r="AS64" s="1915">
        <v>28</v>
      </c>
    </row>
    <row customHeight="1" ht="22.5" hidden="1">
      <c r="A65" s="1915" t="s">
        <v>83</v>
      </c>
      <c r="B65" s="1915">
        <v>0</v>
      </c>
      <c r="C65" s="1915">
        <v>0</v>
      </c>
      <c r="D65" s="1915">
        <v>0</v>
      </c>
      <c r="E65" s="1915">
        <v>0</v>
      </c>
      <c r="F65" s="1915">
        <v>0</v>
      </c>
      <c r="G65" s="1915">
        <v>0</v>
      </c>
      <c r="H65" s="1915">
        <v>0</v>
      </c>
      <c r="I65" s="1915">
        <v>0</v>
      </c>
      <c r="J65" s="1915">
        <v>0</v>
      </c>
      <c r="K65" s="1915">
        <v>0</v>
      </c>
      <c r="L65" s="2223">
        <v>0</v>
      </c>
      <c r="M65" s="2249">
        <v>0</v>
      </c>
      <c r="N65" s="2249">
        <v>0</v>
      </c>
      <c r="O65" s="2249">
        <v>0</v>
      </c>
      <c r="P65" s="2249">
        <v>3</v>
      </c>
      <c r="Q65" s="628">
        <v>3</v>
      </c>
      <c r="R65" s="628">
        <v>3</v>
      </c>
      <c r="S65" s="865">
        <v>12</v>
      </c>
      <c r="T65" s="1915">
        <v>31</v>
      </c>
      <c r="U65" s="1915">
        <v>0</v>
      </c>
      <c r="V65" s="1915">
        <v>0</v>
      </c>
      <c r="W65" s="1915">
        <v>0</v>
      </c>
      <c r="X65" s="1915">
        <v>0</v>
      </c>
      <c r="Y65" s="1915">
        <v>0</v>
      </c>
      <c r="Z65" s="1915">
        <v>0</v>
      </c>
      <c r="AA65" s="1915">
        <v>0</v>
      </c>
      <c r="AB65" s="1915">
        <v>0</v>
      </c>
      <c r="AC65" s="1915">
        <v>0</v>
      </c>
      <c r="AD65" s="1915">
        <v>24</v>
      </c>
      <c r="AE65" s="1915">
        <v>0</v>
      </c>
      <c r="AF65" s="1915">
        <v>24</v>
      </c>
      <c r="AG65" s="1915">
        <v>24</v>
      </c>
      <c r="AH65" s="1915">
        <v>11</v>
      </c>
      <c r="AI65" s="1915">
        <v>3</v>
      </c>
      <c r="AJ65" s="1915">
        <v>11</v>
      </c>
      <c r="AK65" s="1915">
        <v>0</v>
      </c>
      <c r="AL65" s="1915">
        <v>4</v>
      </c>
      <c r="AM65" s="1915">
        <v>115</v>
      </c>
      <c r="AN65" s="1920">
        <v>10</v>
      </c>
      <c r="AO65" s="1920">
        <v>10</v>
      </c>
      <c r="AP65" s="1920">
        <v>10</v>
      </c>
      <c r="AQ65" s="1920">
        <v>10</v>
      </c>
      <c r="AR65" s="1920">
        <v>10</v>
      </c>
      <c r="AS65" s="1915">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92A049D-8D18-65C3-06B8-ED59F8687E98}"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4077" width="10.57421875" hidden="1"/>
    <col min="2" max="2" style="14077" width="11.00390625" hidden="1" customWidth="1"/>
    <col min="3" max="3" style="14077" width="10.57421875" hidden="1"/>
    <col min="4" max="4" style="14077" width="11.8515625" hidden="1" customWidth="1"/>
    <col min="5" max="5" style="14077" width="10.00390625" hidden="1" customWidth="1"/>
    <col min="6" max="6" style="14077" width="8.7109375" hidden="1" customWidth="1"/>
    <col min="7" max="7" style="14077" width="7.57421875" hidden="1" customWidth="1"/>
    <col min="8" max="8" style="14077" width="11.421875" hidden="1" customWidth="1"/>
    <col min="9" max="9" style="14077" width="12.00390625" hidden="1" customWidth="1"/>
    <col min="10" max="10" style="14077" width="9.8515625" hidden="1" customWidth="1"/>
    <col min="11" max="11" style="14077" width="11.421875" hidden="1" customWidth="1"/>
    <col min="12" max="12" style="14155" width="19.140625" hidden="1" customWidth="1"/>
    <col min="13" max="14" style="14976" width="12.28125" hidden="1" customWidth="1"/>
    <col min="15" max="15" style="14976" width="23.421875" hidden="1" customWidth="1"/>
    <col min="16" max="16" style="14976" width="3.00390625" customWidth="1"/>
    <col min="17" max="18" style="14977" width="3.00390625" customWidth="1"/>
    <col min="19" max="19" style="14978" width="12.00390625" customWidth="1"/>
    <col min="20" max="20" style="14077" width="31.00390625" customWidth="1"/>
    <col min="21" max="21" style="14077" width="0.140625" customWidth="1"/>
    <col min="22" max="22" style="14077" width="24.7109375" hidden="1" customWidth="1"/>
    <col min="23" max="23" style="14077" width="0.140625" hidden="1" customWidth="1"/>
    <col min="24" max="25" style="14077" width="24.7109375" hidden="1" customWidth="1"/>
    <col min="26" max="26" style="14077" width="11.7109375" hidden="1" customWidth="1"/>
    <col min="27" max="27" style="14077" width="3.7109375" hidden="1" customWidth="1"/>
    <col min="28" max="28" style="14077" width="11.7109375" hidden="1" customWidth="1"/>
    <col min="29" max="29" style="14077" width="8.57421875" hidden="1" customWidth="1"/>
    <col min="30" max="30" style="14077" width="24.7109375" customWidth="1"/>
    <col min="31" max="31" style="14077" width="0.140625" customWidth="1"/>
    <col min="32" max="33" style="14077" width="24.00390625" customWidth="1"/>
    <col min="34" max="34" style="14077" width="11.00390625" customWidth="1"/>
    <col min="35" max="35" style="14077" width="3.7109375" customWidth="1"/>
    <col min="36" max="36" style="14077" width="11.00390625" customWidth="1"/>
    <col min="37" max="37" style="14077" width="8.57421875" hidden="1" customWidth="1"/>
    <col min="38" max="38" style="14077" width="4.00390625" customWidth="1"/>
    <col min="39" max="39" style="14077" width="115.00390625" customWidth="1"/>
    <col min="40" max="44" style="14158" width="10.00390625" customWidth="1"/>
    <col min="45" max="45" style="14077" width="10.57421875" hidden="1"/>
  </cols>
  <sheetData>
    <row customHeight="1" ht="22.5" hidden="1">
      <c r="AS1" s="1915" t="s">
        <v>14</v>
      </c>
    </row>
    <row customHeight="1" ht="21" hidden="1">
      <c r="A2" s="1551"/>
      <c r="B2" s="1551"/>
      <c r="C2" s="1551"/>
      <c r="D2" s="1551"/>
      <c r="E2" s="2573">
        <v>1</v>
      </c>
      <c r="F2" s="1551"/>
      <c r="G2" s="1551"/>
      <c r="H2" s="1551"/>
      <c r="I2" s="1551"/>
      <c r="J2" s="1551"/>
      <c r="K2" s="1551"/>
      <c r="L2" s="1594"/>
      <c r="M2" s="1894"/>
      <c r="N2" s="1894"/>
      <c r="O2" s="1894"/>
      <c r="P2" s="1874"/>
      <c r="Q2" s="644"/>
      <c r="R2" s="639"/>
      <c r="S2" s="2242">
        <f>INDEX(PT_DIFFERENTIATION_NUM_NTAR,MATCH(A2,PT_DIFFERENTIATION_NTAR_ID,0))</f>
      </c>
      <c r="T2" s="1809" t="s">
        <v>124</v>
      </c>
      <c r="U2" s="584"/>
      <c r="V2" s="2526"/>
      <c r="W2" s="2527"/>
      <c r="X2" s="2527"/>
      <c r="Y2" s="2527"/>
      <c r="Z2" s="2527"/>
      <c r="AA2" s="2527"/>
      <c r="AB2" s="2527"/>
      <c r="AC2" s="2528"/>
      <c r="AD2" s="2526">
        <f>INDEX(PT_DIFFERENTIATION_NTAR,MATCH(A2,PT_DIFFERENTIATION_NTAR_ID,0))</f>
      </c>
      <c r="AE2" s="2527"/>
      <c r="AF2" s="2527"/>
      <c r="AG2" s="2527"/>
      <c r="AH2" s="2527"/>
      <c r="AI2" s="2527"/>
      <c r="AJ2" s="2527"/>
      <c r="AK2" s="2527"/>
      <c r="AL2" s="2528"/>
      <c r="AM2" s="1542" t="s">
        <v>401</v>
      </c>
      <c r="AO2" s="1908"/>
      <c r="AP2" s="1908" t="str">
        <f>IF(T2="","",T2)</f>
        <v>Наименование тарифа</v>
      </c>
      <c r="AQ2" s="1908"/>
      <c r="AR2" s="1908"/>
      <c r="AS2" s="1915">
        <v>0</v>
      </c>
    </row>
    <row customHeight="1" ht="21" hidden="1">
      <c r="A3" s="1551"/>
      <c r="B3" s="1551"/>
      <c r="C3" s="1551"/>
      <c r="D3" s="1551"/>
      <c r="E3" s="2574"/>
      <c r="F3" s="2573">
        <v>1</v>
      </c>
      <c r="G3" s="1551"/>
      <c r="H3" s="1551"/>
      <c r="I3" s="1551"/>
      <c r="J3" s="1551"/>
      <c r="K3" s="1551"/>
      <c r="L3" s="1594"/>
      <c r="M3" s="1894"/>
      <c r="N3" s="1894"/>
      <c r="O3" s="1894"/>
      <c r="P3" s="2224"/>
      <c r="Q3" s="636"/>
      <c r="R3" s="637"/>
      <c r="S3" s="2242">
        <f>INDEX(PT_DIFFERENTIATION_NUM_TER,MATCH(B3,PT_DIFFERENTIATION_TER_ID,0))</f>
      </c>
      <c r="T3" s="1806" t="s">
        <v>402</v>
      </c>
      <c r="U3" s="584"/>
      <c r="V3" s="2526"/>
      <c r="W3" s="2527"/>
      <c r="X3" s="2527"/>
      <c r="Y3" s="2527"/>
      <c r="Z3" s="2527"/>
      <c r="AA3" s="2527"/>
      <c r="AB3" s="2527"/>
      <c r="AC3" s="2528"/>
      <c r="AD3" s="2526">
        <f>INDEX(PT_DIFFERENTIATION_TER,MATCH(B3,PT_DIFFERENTIATION_TER_ID,0))</f>
      </c>
      <c r="AE3" s="2527"/>
      <c r="AF3" s="2527"/>
      <c r="AG3" s="2527"/>
      <c r="AH3" s="2527"/>
      <c r="AI3" s="2527"/>
      <c r="AJ3" s="2527"/>
      <c r="AK3" s="2527"/>
      <c r="AL3" s="2528"/>
      <c r="AM3" s="1542" t="s">
        <v>403</v>
      </c>
      <c r="AO3" s="1908"/>
      <c r="AP3" s="1908" t="str">
        <f>IF(T3="","",T3)</f>
        <v>Территория действия тарифа</v>
      </c>
      <c r="AQ3" s="1908"/>
      <c r="AR3" s="1908"/>
      <c r="AS3" s="1915">
        <v>0</v>
      </c>
    </row>
    <row customHeight="1" ht="23.25" hidden="1">
      <c r="A4" s="1551"/>
      <c r="B4" s="1551"/>
      <c r="C4" s="1551"/>
      <c r="D4" s="1551"/>
      <c r="E4" s="2574"/>
      <c r="F4" s="2574"/>
      <c r="G4" s="2573">
        <v>1</v>
      </c>
      <c r="H4" s="1551"/>
      <c r="I4" s="1551"/>
      <c r="J4" s="1551"/>
      <c r="K4" s="1551"/>
      <c r="L4" s="1594"/>
      <c r="M4" s="1894"/>
      <c r="N4" s="1894"/>
      <c r="O4" s="1894"/>
      <c r="P4" s="638"/>
      <c r="Q4" s="636"/>
      <c r="R4" s="637"/>
      <c r="S4" s="2242">
        <f>INDEX(PT_DIFFERENTIATION_NUM_CS,MATCH(C4,PT_DIFFERENTIATION_CS_ID,0))</f>
      </c>
      <c r="T4" s="593" t="s">
        <v>404</v>
      </c>
      <c r="U4" s="584"/>
      <c r="V4" s="2526"/>
      <c r="W4" s="2527"/>
      <c r="X4" s="2527"/>
      <c r="Y4" s="2527"/>
      <c r="Z4" s="2527"/>
      <c r="AA4" s="2527"/>
      <c r="AB4" s="2527"/>
      <c r="AC4" s="2528"/>
      <c r="AD4" s="2526">
        <f>INDEX(PT_DIFFERENTIATION_CS,MATCH(C4,PT_DIFFERENTIATION_CS_ID,0))</f>
      </c>
      <c r="AE4" s="2527"/>
      <c r="AF4" s="2527"/>
      <c r="AG4" s="2527"/>
      <c r="AH4" s="2527"/>
      <c r="AI4" s="2527"/>
      <c r="AJ4" s="2527"/>
      <c r="AK4" s="2527"/>
      <c r="AL4" s="2528"/>
      <c r="AM4" s="1542" t="s">
        <v>405</v>
      </c>
      <c r="AO4" s="1908"/>
      <c r="AP4" s="1908" t="str">
        <f>IF(T4="","",T4)</f>
        <v>Наименование системы теплоснабжения </v>
      </c>
      <c r="AQ4" s="1908"/>
      <c r="AR4" s="1908"/>
      <c r="AS4" s="1915">
        <v>0</v>
      </c>
    </row>
    <row customHeight="1" ht="21" hidden="1">
      <c r="A5" s="1551"/>
      <c r="B5" s="1551"/>
      <c r="C5" s="1551"/>
      <c r="D5" s="1551"/>
      <c r="E5" s="2574"/>
      <c r="F5" s="2574"/>
      <c r="G5" s="2574"/>
      <c r="H5" s="2573">
        <v>1</v>
      </c>
      <c r="I5" s="1551"/>
      <c r="J5" s="1551"/>
      <c r="K5" s="1551"/>
      <c r="L5" s="1594"/>
      <c r="M5" s="1894"/>
      <c r="N5" s="1894"/>
      <c r="O5" s="1894"/>
      <c r="P5" s="638"/>
      <c r="Q5" s="636"/>
      <c r="R5" s="637"/>
      <c r="S5" s="2242">
        <f>INDEX(PT_DIFFERENTIATION_NUM_IST_TE,MATCH(D5,PT_DIFFERENTIATION_IST_TE_ID,0))</f>
      </c>
      <c r="T5" s="594" t="s">
        <v>406</v>
      </c>
      <c r="U5" s="584"/>
      <c r="V5" s="2526"/>
      <c r="W5" s="2527"/>
      <c r="X5" s="2527"/>
      <c r="Y5" s="2527"/>
      <c r="Z5" s="2527"/>
      <c r="AA5" s="2527"/>
      <c r="AB5" s="2527"/>
      <c r="AC5" s="2528"/>
      <c r="AD5" s="2526">
        <f>INDEX(PT_DIFFERENTIATION_IST_TE,MATCH(D5,PT_DIFFERENTIATION_IST_TE_ID,0))</f>
      </c>
      <c r="AE5" s="2527"/>
      <c r="AF5" s="2527"/>
      <c r="AG5" s="2527"/>
      <c r="AH5" s="2527"/>
      <c r="AI5" s="2527"/>
      <c r="AJ5" s="2527"/>
      <c r="AK5" s="2527"/>
      <c r="AL5" s="2528"/>
      <c r="AM5" s="1542" t="s">
        <v>407</v>
      </c>
      <c r="AO5" s="1908"/>
      <c r="AP5" s="1908" t="str">
        <f>IF(T5="","",T5)</f>
        <v>Источник тепловой энергии  </v>
      </c>
      <c r="AQ5" s="1908"/>
      <c r="AR5" s="1908"/>
      <c r="AS5" s="1915">
        <v>0</v>
      </c>
    </row>
    <row customHeight="1" ht="47.25" hidden="1">
      <c r="A6" s="1551"/>
      <c r="B6" s="1551"/>
      <c r="C6" s="1551"/>
      <c r="D6" s="1551"/>
      <c r="E6" s="2574"/>
      <c r="F6" s="2574"/>
      <c r="G6" s="2574"/>
      <c r="H6" s="2574"/>
      <c r="I6" s="2411">
        <f>S5&amp;".1"</f>
      </c>
      <c r="J6" s="1551"/>
      <c r="K6" s="1551"/>
      <c r="L6" s="1594" t="s">
        <v>408</v>
      </c>
      <c r="M6" s="1919"/>
      <c r="P6" s="2541">
        <v>1</v>
      </c>
      <c r="Q6" s="2238"/>
      <c r="R6" s="640"/>
      <c r="S6" s="2242">
        <f>$I6</f>
      </c>
      <c r="T6" s="569" t="s">
        <v>409</v>
      </c>
      <c r="U6" s="584"/>
      <c r="V6" s="2529"/>
      <c r="W6" s="2530"/>
      <c r="X6" s="2530"/>
      <c r="Y6" s="2530"/>
      <c r="Z6" s="2530"/>
      <c r="AA6" s="2530"/>
      <c r="AB6" s="2530"/>
      <c r="AC6" s="2531"/>
      <c r="AD6" s="2529"/>
      <c r="AE6" s="2530"/>
      <c r="AF6" s="2530"/>
      <c r="AG6" s="2530"/>
      <c r="AH6" s="2530"/>
      <c r="AI6" s="2530"/>
      <c r="AJ6" s="2530"/>
      <c r="AK6" s="2530"/>
      <c r="AL6" s="2531"/>
      <c r="AM6" s="1542" t="s">
        <v>410</v>
      </c>
      <c r="AO6" s="1908"/>
      <c r="AP6" s="1908" t="str">
        <f>IF(T6="","",T6)</f>
        <v>Схема подключения теплопотребляющей установки к коллектору источника тепловой энергии</v>
      </c>
      <c r="AQ6" s="1908"/>
      <c r="AR6" s="1908"/>
      <c r="AS6" s="1915">
        <v>0</v>
      </c>
    </row>
    <row customHeight="1" ht="21" hidden="1">
      <c r="A7" s="1551"/>
      <c r="B7" s="1551"/>
      <c r="C7" s="1551"/>
      <c r="D7" s="1551"/>
      <c r="E7" s="2574"/>
      <c r="F7" s="2574"/>
      <c r="G7" s="2574"/>
      <c r="H7" s="2574"/>
      <c r="I7" s="2385"/>
      <c r="J7" s="2411">
        <f>I6&amp;".1"</f>
      </c>
      <c r="K7" s="1551"/>
      <c r="L7" s="1594" t="s">
        <v>411</v>
      </c>
      <c r="M7" s="1919"/>
      <c r="N7" s="1915"/>
      <c r="P7" s="2541"/>
      <c r="Q7" s="2541">
        <v>1</v>
      </c>
      <c r="R7" s="641"/>
      <c r="S7" s="2242">
        <f>$J7</f>
      </c>
      <c r="T7" s="570" t="s">
        <v>412</v>
      </c>
      <c r="U7" s="584"/>
      <c r="V7" s="2529"/>
      <c r="W7" s="2530"/>
      <c r="X7" s="2530"/>
      <c r="Y7" s="2530"/>
      <c r="Z7" s="2530"/>
      <c r="AA7" s="2530"/>
      <c r="AB7" s="2530"/>
      <c r="AC7" s="2531"/>
      <c r="AD7" s="2529"/>
      <c r="AE7" s="2530"/>
      <c r="AF7" s="2530"/>
      <c r="AG7" s="2530"/>
      <c r="AH7" s="2530"/>
      <c r="AI7" s="2530"/>
      <c r="AJ7" s="2530"/>
      <c r="AK7" s="2530"/>
      <c r="AL7" s="2531"/>
      <c r="AM7" s="1542" t="s">
        <v>413</v>
      </c>
      <c r="AO7" s="1908"/>
      <c r="AP7" s="1908" t="str">
        <f>IF(T7="","",T7)</f>
        <v>Группа потребителей</v>
      </c>
      <c r="AQ7" s="1908"/>
      <c r="AR7" s="1908"/>
      <c r="AS7" s="1915">
        <v>0</v>
      </c>
    </row>
    <row customHeight="1" ht="21" hidden="1">
      <c r="A8" s="1551"/>
      <c r="B8" s="1551"/>
      <c r="C8" s="1551"/>
      <c r="D8" s="1551"/>
      <c r="E8" s="2574"/>
      <c r="F8" s="2574"/>
      <c r="G8" s="2574"/>
      <c r="H8" s="2574"/>
      <c r="I8" s="2385"/>
      <c r="J8" s="2385"/>
      <c r="K8" s="2411">
        <f>J7&amp;".1"</f>
      </c>
      <c r="L8" s="1594" t="s">
        <v>414</v>
      </c>
      <c r="M8" s="1919"/>
      <c r="N8" s="1915"/>
      <c r="O8" s="1915"/>
      <c r="P8" s="2541"/>
      <c r="Q8" s="2541"/>
      <c r="R8" s="641">
        <v>1</v>
      </c>
      <c r="S8" s="2242">
        <f>$K8</f>
      </c>
      <c r="T8" s="1631"/>
      <c r="U8" s="584"/>
      <c r="V8" s="1035"/>
      <c r="W8" s="609"/>
      <c r="X8" s="1035"/>
      <c r="Y8" s="1541"/>
      <c r="Z8" s="2549"/>
      <c r="AA8" s="2391" t="s">
        <v>67</v>
      </c>
      <c r="AB8" s="2549"/>
      <c r="AC8" s="2391" t="s">
        <v>67</v>
      </c>
      <c r="AD8" s="1035"/>
      <c r="AE8" s="609"/>
      <c r="AF8" s="1035"/>
      <c r="AG8" s="1541"/>
      <c r="AH8" s="2549"/>
      <c r="AI8" s="2391" t="s">
        <v>67</v>
      </c>
      <c r="AJ8" s="2549"/>
      <c r="AK8" s="2391" t="s">
        <v>67</v>
      </c>
      <c r="AL8" s="609"/>
      <c r="AM8" s="2537" t="s">
        <v>415</v>
      </c>
      <c r="AN8" s="1920">
        <f>STRCHECKDATE(V9:AL9)</f>
      </c>
      <c r="AO8" s="1908"/>
      <c r="AP8" s="1908" t="str">
        <f>IF(T8="","",T8)</f>
        <v/>
      </c>
      <c r="AQ8" s="1908"/>
      <c r="AR8" s="1908"/>
      <c r="AS8" s="1915">
        <v>0</v>
      </c>
    </row>
    <row customHeight="1" ht="0.75" hidden="1">
      <c r="A9" s="1551"/>
      <c r="B9" s="1551"/>
      <c r="C9" s="1551"/>
      <c r="D9" s="1551"/>
      <c r="E9" s="2574"/>
      <c r="F9" s="2574"/>
      <c r="G9" s="2574"/>
      <c r="H9" s="2574"/>
      <c r="I9" s="2385"/>
      <c r="J9" s="2385"/>
      <c r="K9" s="2411"/>
      <c r="L9" s="1594"/>
      <c r="M9" s="1919"/>
      <c r="N9" s="1915"/>
      <c r="O9" s="1915"/>
      <c r="P9" s="2541"/>
      <c r="Q9" s="2541"/>
      <c r="R9" s="641"/>
      <c r="S9" s="2251"/>
      <c r="T9" s="584"/>
      <c r="U9" s="584"/>
      <c r="V9" s="609"/>
      <c r="W9" s="609"/>
      <c r="X9" s="609"/>
      <c r="Y9" s="612" t="str">
        <f>Z8&amp;"-"&amp;AB8</f>
        <v>-</v>
      </c>
      <c r="Z9" s="2550"/>
      <c r="AA9" s="2391"/>
      <c r="AB9" s="2550"/>
      <c r="AC9" s="2391"/>
      <c r="AD9" s="609"/>
      <c r="AE9" s="609"/>
      <c r="AF9" s="609"/>
      <c r="AG9" s="612" t="str">
        <f>AH8&amp;"-"&amp;AJ8</f>
        <v>-</v>
      </c>
      <c r="AH9" s="2550"/>
      <c r="AI9" s="2391"/>
      <c r="AJ9" s="2550"/>
      <c r="AK9" s="2391"/>
      <c r="AL9" s="609"/>
      <c r="AM9" s="2538"/>
      <c r="AO9" s="1908"/>
      <c r="AP9" s="1908" t="str">
        <f>IF(T9="","",T9)</f>
        <v/>
      </c>
      <c r="AQ9" s="1908"/>
      <c r="AR9" s="1908"/>
      <c r="AS9" s="1915">
        <v>0</v>
      </c>
    </row>
    <row customHeight="1" ht="15" hidden="1">
      <c r="A10" s="1551"/>
      <c r="B10" s="1551"/>
      <c r="C10" s="1551"/>
      <c r="D10" s="1551"/>
      <c r="E10" s="2574"/>
      <c r="F10" s="2574"/>
      <c r="G10" s="2574"/>
      <c r="H10" s="2574"/>
      <c r="I10" s="2385"/>
      <c r="J10" s="2411"/>
      <c r="K10" s="1551"/>
      <c r="L10" s="1594"/>
      <c r="M10" s="1919"/>
      <c r="N10" s="1915"/>
      <c r="P10" s="2541"/>
      <c r="Q10" s="2541"/>
      <c r="R10" s="640"/>
      <c r="S10" s="1562"/>
      <c r="T10" s="572" t="s">
        <v>416</v>
      </c>
      <c r="U10" s="884"/>
      <c r="V10" s="884"/>
      <c r="W10" s="884"/>
      <c r="X10" s="884"/>
      <c r="Y10" s="884"/>
      <c r="Z10" s="884"/>
      <c r="AA10" s="884"/>
      <c r="AB10" s="884"/>
      <c r="AC10" s="884"/>
      <c r="AD10" s="884"/>
      <c r="AE10" s="884"/>
      <c r="AF10" s="884"/>
      <c r="AG10" s="884"/>
      <c r="AH10" s="884"/>
      <c r="AI10" s="884"/>
      <c r="AJ10" s="884"/>
      <c r="AK10" s="884"/>
      <c r="AL10" s="608"/>
      <c r="AM10" s="2539"/>
      <c r="AO10" s="1908"/>
      <c r="AP10" s="1908" t="str">
        <f>IF(T10="","",T10)</f>
        <v>Добавить вид теплоносителя (параметры теплоносителя)</v>
      </c>
      <c r="AQ10" s="1908"/>
      <c r="AR10" s="1908"/>
      <c r="AS10" s="1915">
        <v>0</v>
      </c>
    </row>
    <row customHeight="1" ht="15" hidden="1">
      <c r="A11" s="1551"/>
      <c r="B11" s="1551"/>
      <c r="C11" s="1551"/>
      <c r="D11" s="1551"/>
      <c r="E11" s="2574"/>
      <c r="F11" s="2574"/>
      <c r="G11" s="2574"/>
      <c r="H11" s="2574"/>
      <c r="I11" s="2411"/>
      <c r="J11" s="1551"/>
      <c r="K11" s="1551"/>
      <c r="L11" s="1594"/>
      <c r="M11" s="1919"/>
      <c r="P11" s="2541"/>
      <c r="Q11" s="2238"/>
      <c r="R11" s="640"/>
      <c r="S11" s="1562"/>
      <c r="T11" s="571" t="s">
        <v>417</v>
      </c>
      <c r="U11" s="884"/>
      <c r="V11" s="884"/>
      <c r="W11" s="884"/>
      <c r="X11" s="884"/>
      <c r="Y11" s="884"/>
      <c r="Z11" s="884"/>
      <c r="AA11" s="884"/>
      <c r="AB11" s="884"/>
      <c r="AC11" s="650"/>
      <c r="AD11" s="884"/>
      <c r="AE11" s="884"/>
      <c r="AF11" s="884"/>
      <c r="AG11" s="884"/>
      <c r="AH11" s="884"/>
      <c r="AI11" s="884"/>
      <c r="AJ11" s="884"/>
      <c r="AK11" s="650"/>
      <c r="AL11" s="884"/>
      <c r="AM11" s="587"/>
      <c r="AO11" s="1908"/>
      <c r="AP11" s="1908" t="str">
        <f>IF(T11="","",T11)</f>
        <v>Добавить группу потребителей</v>
      </c>
      <c r="AQ11" s="1908"/>
      <c r="AR11" s="1908"/>
      <c r="AS11" s="1915">
        <v>0</v>
      </c>
    </row>
    <row customHeight="1" ht="14.25" hidden="1">
      <c r="A12" s="1551"/>
      <c r="B12" s="1551"/>
      <c r="C12" s="1551"/>
      <c r="D12" s="1551"/>
      <c r="E12" s="2574"/>
      <c r="F12" s="2574"/>
      <c r="G12" s="2574"/>
      <c r="H12" s="2573"/>
      <c r="I12" s="1551"/>
      <c r="J12" s="1551"/>
      <c r="K12" s="1551"/>
      <c r="L12" s="1594"/>
      <c r="M12" s="1894"/>
      <c r="N12" s="1894"/>
      <c r="O12" s="1919"/>
      <c r="P12" s="644"/>
      <c r="Q12" s="659"/>
      <c r="R12" s="639"/>
      <c r="S12" s="1562"/>
      <c r="T12" s="649" t="s">
        <v>418</v>
      </c>
      <c r="U12" s="884"/>
      <c r="V12" s="884"/>
      <c r="W12" s="884"/>
      <c r="X12" s="884"/>
      <c r="Y12" s="884"/>
      <c r="Z12" s="884"/>
      <c r="AA12" s="884"/>
      <c r="AB12" s="884"/>
      <c r="AC12" s="650"/>
      <c r="AD12" s="884"/>
      <c r="AE12" s="884"/>
      <c r="AF12" s="884"/>
      <c r="AG12" s="884"/>
      <c r="AH12" s="884"/>
      <c r="AI12" s="884"/>
      <c r="AJ12" s="884"/>
      <c r="AK12" s="650"/>
      <c r="AL12" s="884"/>
      <c r="AM12" s="587"/>
      <c r="AO12" s="1908"/>
      <c r="AP12" s="1908" t="str">
        <f>IF(T12="","",T12)</f>
        <v>Добавить схему подключения</v>
      </c>
      <c r="AQ12" s="1908"/>
      <c r="AR12" s="1908"/>
      <c r="AS12" s="1915">
        <v>0</v>
      </c>
    </row>
    <row s="14158" customFormat="1" customHeight="1" ht="0.75" hidden="1">
      <c r="A13" s="2258"/>
      <c r="B13" s="2258"/>
      <c r="C13" s="2258"/>
      <c r="D13" s="2258"/>
      <c r="E13" s="2574"/>
      <c r="F13" s="2574"/>
      <c r="G13" s="2573"/>
      <c r="H13" s="2258"/>
      <c r="I13" s="2258"/>
      <c r="J13" s="2258"/>
      <c r="K13" s="2258"/>
      <c r="L13" s="1664"/>
      <c r="M13" s="1894"/>
      <c r="N13" s="1894"/>
      <c r="O13" s="1919"/>
      <c r="P13" s="1600"/>
      <c r="Q13" s="1601"/>
      <c r="R13" s="1600"/>
      <c r="S13" s="1602"/>
      <c r="T13" s="1603" t="s">
        <v>169</v>
      </c>
      <c r="U13" s="1604"/>
      <c r="V13" s="1604"/>
      <c r="W13" s="1604"/>
      <c r="X13" s="1604"/>
      <c r="Y13" s="1604"/>
      <c r="Z13" s="1604"/>
      <c r="AA13" s="1604"/>
      <c r="AB13" s="1604"/>
      <c r="AC13" s="1604"/>
      <c r="AD13" s="1604"/>
      <c r="AE13" s="1604"/>
      <c r="AF13" s="1604"/>
      <c r="AG13" s="1604"/>
      <c r="AH13" s="1604"/>
      <c r="AI13" s="1604"/>
      <c r="AJ13" s="1604"/>
      <c r="AK13" s="1604"/>
      <c r="AL13" s="1604"/>
      <c r="AM13" s="1604"/>
      <c r="AO13" s="1535"/>
      <c r="AP13" s="1535" t="str">
        <f>IF(T13="","",T13)</f>
        <v>Добавить источник для дифференциации</v>
      </c>
      <c r="AQ13" s="1535"/>
      <c r="AR13" s="1535"/>
      <c r="AS13" s="1926">
        <v>0</v>
      </c>
    </row>
    <row s="14158" customFormat="1" customHeight="1" ht="0.75" hidden="1">
      <c r="A14" s="2258"/>
      <c r="B14" s="2258"/>
      <c r="C14" s="2258"/>
      <c r="D14" s="2258"/>
      <c r="E14" s="2574"/>
      <c r="F14" s="2573"/>
      <c r="G14" s="2258"/>
      <c r="H14" s="2258"/>
      <c r="I14" s="2258"/>
      <c r="J14" s="2258"/>
      <c r="K14" s="2258"/>
      <c r="L14" s="1664"/>
      <c r="M14" s="2259"/>
      <c r="N14" s="2259"/>
      <c r="O14" s="1919"/>
      <c r="P14" s="1600"/>
      <c r="Q14" s="1601"/>
      <c r="R14" s="1600"/>
      <c r="S14" s="1606"/>
      <c r="T14" s="1607" t="s">
        <v>170</v>
      </c>
      <c r="U14" s="1608"/>
      <c r="V14" s="1608"/>
      <c r="W14" s="1608"/>
      <c r="X14" s="1608"/>
      <c r="Y14" s="1608"/>
      <c r="Z14" s="1608"/>
      <c r="AA14" s="1608"/>
      <c r="AB14" s="1608"/>
      <c r="AC14" s="1608"/>
      <c r="AD14" s="1608"/>
      <c r="AE14" s="1608"/>
      <c r="AF14" s="1608"/>
      <c r="AG14" s="1608"/>
      <c r="AH14" s="1608"/>
      <c r="AI14" s="1608"/>
      <c r="AJ14" s="1608"/>
      <c r="AK14" s="1608"/>
      <c r="AL14" s="1608"/>
      <c r="AM14" s="1608"/>
      <c r="AO14" s="1535"/>
      <c r="AP14" s="1535" t="str">
        <f>IF(T14="","",T14)</f>
        <v>Добавить централизованную систему для дифференциации</v>
      </c>
      <c r="AQ14" s="1535"/>
      <c r="AR14" s="1535"/>
      <c r="AS14" s="1926">
        <v>0</v>
      </c>
    </row>
    <row s="14158" customFormat="1" customHeight="1" ht="0.75" hidden="1">
      <c r="A15" s="2258"/>
      <c r="B15" s="2258"/>
      <c r="C15" s="2258"/>
      <c r="D15" s="2258"/>
      <c r="E15" s="2573"/>
      <c r="F15" s="2258"/>
      <c r="G15" s="2258"/>
      <c r="H15" s="2258"/>
      <c r="I15" s="2258"/>
      <c r="J15" s="2258"/>
      <c r="K15" s="2258"/>
      <c r="L15" s="1664"/>
      <c r="M15" s="2259"/>
      <c r="N15" s="2259"/>
      <c r="O15" s="1919"/>
      <c r="P15" s="1600"/>
      <c r="Q15" s="1601"/>
      <c r="R15" s="1600"/>
      <c r="S15" s="1606"/>
      <c r="T15" s="1609" t="s">
        <v>171</v>
      </c>
      <c r="U15" s="1608"/>
      <c r="V15" s="1608"/>
      <c r="W15" s="1608"/>
      <c r="X15" s="1608"/>
      <c r="Y15" s="1608"/>
      <c r="Z15" s="1608"/>
      <c r="AA15" s="1608"/>
      <c r="AB15" s="1608"/>
      <c r="AC15" s="1608"/>
      <c r="AD15" s="1608"/>
      <c r="AE15" s="1608"/>
      <c r="AF15" s="1608"/>
      <c r="AG15" s="1608"/>
      <c r="AH15" s="1608"/>
      <c r="AI15" s="1608"/>
      <c r="AJ15" s="1608"/>
      <c r="AK15" s="1608"/>
      <c r="AL15" s="1608"/>
      <c r="AM15" s="1608"/>
      <c r="AO15" s="1535"/>
      <c r="AP15" s="1535" t="str">
        <f>IF(T15="","",T15)</f>
        <v>Добавить территорию для дифференциации</v>
      </c>
      <c r="AQ15" s="1535"/>
      <c r="AR15" s="1535"/>
      <c r="AS15" s="1926">
        <v>0</v>
      </c>
    </row>
    <row customHeight="1" ht="14.25" hidden="1">
      <c r="AS16" s="1915">
        <v>0</v>
      </c>
    </row>
    <row customHeight="1" ht="14.25" hidden="1">
      <c r="AD17" s="1644"/>
      <c r="AE17" s="1644"/>
      <c r="AF17" s="1644"/>
      <c r="AG17" s="1645"/>
      <c r="AH17" s="2551"/>
      <c r="AI17" s="2552" t="s">
        <v>67</v>
      </c>
      <c r="AJ17" s="2551"/>
      <c r="AK17" s="2552" t="s">
        <v>67</v>
      </c>
      <c r="AS17" s="1915">
        <v>0</v>
      </c>
    </row>
    <row customHeight="1" ht="14.25" hidden="1">
      <c r="AD18" s="1644"/>
      <c r="AE18" s="1644"/>
      <c r="AF18" s="1644"/>
      <c r="AG18" s="612" t="str">
        <f>AH17&amp;"-"&amp;AJ17</f>
        <v>-</v>
      </c>
      <c r="AH18" s="2552"/>
      <c r="AI18" s="2552"/>
      <c r="AJ18" s="2552"/>
      <c r="AK18" s="2552"/>
      <c r="AS18" s="1915">
        <v>0</v>
      </c>
    </row>
    <row customHeight="1" ht="14.25" hidden="1">
      <c r="AS19" s="1915">
        <v>0</v>
      </c>
    </row>
    <row s="14157" customFormat="1" customHeight="1" ht="14.25" hidden="1">
      <c r="A20" s="1915"/>
      <c r="B20" s="1915"/>
      <c r="C20" s="1915"/>
      <c r="D20" s="1915"/>
      <c r="E20" s="1915"/>
      <c r="F20" s="1915"/>
      <c r="G20" s="1915"/>
      <c r="H20" s="1915"/>
      <c r="I20" s="1915"/>
      <c r="J20" s="1915"/>
      <c r="K20" s="1915"/>
      <c r="L20" s="2223"/>
      <c r="M20" s="2249"/>
      <c r="N20" s="2249"/>
      <c r="O20" s="1629" t="s">
        <v>419</v>
      </c>
      <c r="P20" s="1646"/>
      <c r="Q20" s="1655"/>
      <c r="R20" s="1655"/>
      <c r="S20" s="1013"/>
      <c r="Z20" s="1651"/>
      <c r="AB20" s="1651"/>
      <c r="AH20" s="1651"/>
      <c r="AJ20" s="1651"/>
      <c r="AN20" s="1920"/>
      <c r="AO20" s="1920"/>
      <c r="AP20" s="1920"/>
      <c r="AQ20" s="1920"/>
      <c r="AR20" s="1920"/>
      <c r="AS20" s="1650">
        <v>0</v>
      </c>
    </row>
    <row s="14157" customFormat="1" customHeight="1" ht="14.25" hidden="1">
      <c r="A21" s="1915"/>
      <c r="B21" s="1915"/>
      <c r="C21" s="1915"/>
      <c r="D21" s="1915"/>
      <c r="E21" s="1915"/>
      <c r="F21" s="1915"/>
      <c r="G21" s="1915"/>
      <c r="H21" s="1915"/>
      <c r="I21" s="1915"/>
      <c r="J21" s="1915"/>
      <c r="K21" s="1915"/>
      <c r="L21" s="2223"/>
      <c r="M21" s="2249"/>
      <c r="N21" s="2249"/>
      <c r="O21" s="2249"/>
      <c r="P21" s="1646"/>
      <c r="Q21" s="1655"/>
      <c r="R21" s="1655"/>
      <c r="S21" s="1013"/>
      <c r="AN21" s="1920"/>
      <c r="AO21" s="1920"/>
      <c r="AP21" s="1920"/>
      <c r="AQ21" s="1920"/>
      <c r="AR21" s="1920"/>
      <c r="AS21" s="1650">
        <v>0</v>
      </c>
    </row>
    <row s="14157" customFormat="1" customHeight="1" ht="14.25" hidden="1">
      <c r="A22" s="1915"/>
      <c r="B22" s="1915"/>
      <c r="C22" s="1915"/>
      <c r="D22" s="1915"/>
      <c r="E22" s="1915"/>
      <c r="F22" s="1915"/>
      <c r="G22" s="1915"/>
      <c r="H22" s="1915"/>
      <c r="I22" s="1915"/>
      <c r="J22" s="1915"/>
      <c r="K22" s="1915"/>
      <c r="L22" s="2223"/>
      <c r="M22" s="2249"/>
      <c r="N22" s="2249"/>
      <c r="O22" s="1594" t="s">
        <v>420</v>
      </c>
      <c r="P22" s="1646"/>
      <c r="Q22" s="1655"/>
      <c r="R22" s="1655"/>
      <c r="S22" s="1013"/>
      <c r="T22" s="1650" t="s">
        <v>421</v>
      </c>
      <c r="AA22" s="879" t="s">
        <v>422</v>
      </c>
      <c r="AC22" s="879" t="s">
        <v>423</v>
      </c>
      <c r="AD22" s="1650" t="s">
        <v>421</v>
      </c>
      <c r="AI22" s="879" t="s">
        <v>424</v>
      </c>
      <c r="AK22" s="879" t="s">
        <v>423</v>
      </c>
      <c r="AN22" s="1920"/>
      <c r="AO22" s="1920"/>
      <c r="AP22" s="1920"/>
      <c r="AQ22" s="1920"/>
      <c r="AR22" s="1920"/>
      <c r="AS22" s="1650">
        <v>0</v>
      </c>
    </row>
    <row customHeight="1" ht="14.25" hidden="1">
      <c r="O23" s="1594"/>
      <c r="AS23" s="1915">
        <v>0</v>
      </c>
    </row>
    <row customHeight="1" ht="14.25" hidden="1">
      <c r="O24" s="1594"/>
      <c r="AS24" s="1915">
        <v>0</v>
      </c>
    </row>
    <row customHeight="1" ht="14.699999999999998">
      <c r="Q25" s="660"/>
      <c r="R25" s="660"/>
      <c r="S25" s="1559"/>
      <c r="T25" s="741"/>
      <c r="U25" s="741"/>
      <c r="V25" s="1919"/>
      <c r="W25" s="1919"/>
      <c r="X25" s="1919"/>
      <c r="Y25" s="1919"/>
      <c r="Z25" s="1919"/>
      <c r="AA25" s="1919"/>
      <c r="AB25" s="1919"/>
      <c r="AC25" s="1919"/>
      <c r="AD25" s="1919"/>
      <c r="AE25" s="1919"/>
      <c r="AF25" s="1919"/>
      <c r="AG25" s="1919"/>
      <c r="AH25" s="1919"/>
      <c r="AI25" s="1919"/>
      <c r="AJ25" s="1919"/>
      <c r="AK25" s="1919"/>
      <c r="AS25" s="1915">
        <v>14</v>
      </c>
    </row>
    <row customHeight="1" ht="14.699999999999998">
      <c r="Q26" s="660"/>
      <c r="R26" s="660"/>
      <c r="S26" s="2532"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532"/>
      <c r="U26" s="2532"/>
      <c r="V26" s="2532"/>
      <c r="W26" s="2532"/>
      <c r="X26" s="2532"/>
      <c r="Y26" s="2532"/>
      <c r="Z26" s="2532"/>
      <c r="AA26" s="2532"/>
      <c r="AB26" s="2532"/>
      <c r="AC26" s="2532"/>
      <c r="AD26" s="2532"/>
      <c r="AE26" s="2532"/>
      <c r="AF26" s="2532"/>
      <c r="AG26" s="2532"/>
      <c r="AH26" s="2532"/>
      <c r="AI26" s="2532"/>
      <c r="AJ26" s="2532"/>
      <c r="AK26" s="1527"/>
      <c r="AS26" s="1915">
        <v>14</v>
      </c>
    </row>
    <row customHeight="1" ht="14.699999999999998">
      <c r="Q27" s="660"/>
      <c r="R27" s="660"/>
      <c r="S27" s="2533" t="str">
        <f>IF(org=0,"Не определено",org)</f>
        <v>МУП г. Азова "Теплоэнерго"</v>
      </c>
      <c r="T27" s="2533"/>
      <c r="U27" s="2533"/>
      <c r="V27" s="2533"/>
      <c r="W27" s="2533"/>
      <c r="X27" s="2533"/>
      <c r="Y27" s="2533"/>
      <c r="Z27" s="2533"/>
      <c r="AA27" s="2533"/>
      <c r="AB27" s="2533"/>
      <c r="AC27" s="2533"/>
      <c r="AD27" s="2533"/>
      <c r="AE27" s="2533"/>
      <c r="AF27" s="2533"/>
      <c r="AG27" s="2533"/>
      <c r="AH27" s="2533"/>
      <c r="AI27" s="2533"/>
      <c r="AJ27" s="2533"/>
      <c r="AK27" s="1527"/>
      <c r="AS27" s="1915">
        <v>14</v>
      </c>
    </row>
    <row customHeight="1" ht="14.25" hidden="1">
      <c r="Q28" s="660"/>
      <c r="R28" s="660"/>
      <c r="S28" s="1559"/>
      <c r="T28" s="741"/>
      <c r="U28" s="741"/>
      <c r="V28" s="606"/>
      <c r="W28" s="606"/>
      <c r="X28" s="606"/>
      <c r="Y28" s="606"/>
      <c r="Z28" s="606"/>
      <c r="AA28" s="606"/>
      <c r="AB28" s="606"/>
      <c r="AC28" s="606"/>
      <c r="AD28" s="606"/>
      <c r="AE28" s="606"/>
      <c r="AF28" s="606"/>
      <c r="AG28" s="606"/>
      <c r="AH28" s="606"/>
      <c r="AI28" s="606"/>
      <c r="AJ28" s="606"/>
      <c r="AK28" s="606"/>
      <c r="AL28" s="1919"/>
      <c r="AS28" s="1915">
        <v>0</v>
      </c>
    </row>
    <row s="14284" customFormat="1" customHeight="1" ht="25.5" hidden="1">
      <c r="A29" s="1532"/>
      <c r="B29" s="1532"/>
      <c r="C29" s="1532"/>
      <c r="D29" s="1532"/>
      <c r="E29" s="1532"/>
      <c r="F29" s="1532"/>
      <c r="G29" s="1532"/>
      <c r="H29" s="1532"/>
      <c r="I29" s="1532"/>
      <c r="J29" s="1532"/>
      <c r="K29" s="1532"/>
      <c r="L29" s="1664"/>
      <c r="M29" s="1532"/>
      <c r="N29" s="1532"/>
      <c r="O29" s="1532"/>
      <c r="S29" s="2534" t="s">
        <v>42</v>
      </c>
      <c r="T29" s="2534"/>
      <c r="U29" s="1656"/>
      <c r="V29" s="2535" t="str">
        <f>IF(TITLE_NAME_OR_PR_CHANGE="",IF(TITLE_NAME_OR_PR="","",TITLE_NAME_OR_PR),TITLE_NAME_OR_PR_CHANGE)</f>
        <v/>
      </c>
      <c r="W29" s="2535"/>
      <c r="X29" s="2535"/>
      <c r="Y29" s="2535"/>
      <c r="Z29" s="2535"/>
      <c r="AA29" s="2535"/>
      <c r="AB29" s="2535"/>
      <c r="AC29" s="1919"/>
      <c r="AD29" s="2535" t="str">
        <f>IF(TITLE_NAME_OR_PR_CHANGE="",IF(TITLE_NAME_OR_PR="","",TITLE_NAME_OR_PR),TITLE_NAME_OR_PR_CHANGE)</f>
        <v/>
      </c>
      <c r="AE29" s="2535"/>
      <c r="AF29" s="2535"/>
      <c r="AG29" s="2535"/>
      <c r="AH29" s="2535"/>
      <c r="AI29" s="2535"/>
      <c r="AJ29" s="2535"/>
      <c r="AK29" s="1919"/>
      <c r="AL29" s="1919"/>
      <c r="AM29" s="564"/>
      <c r="AN29" s="652"/>
      <c r="AO29" s="652"/>
      <c r="AP29" s="652"/>
      <c r="AQ29" s="652"/>
      <c r="AR29" s="652"/>
      <c r="AS29" s="702">
        <v>0</v>
      </c>
    </row>
    <row s="14284" customFormat="1" customHeight="1" ht="18.75" hidden="1">
      <c r="A30" s="1532"/>
      <c r="B30" s="1532"/>
      <c r="C30" s="1532"/>
      <c r="D30" s="1532"/>
      <c r="E30" s="1532"/>
      <c r="F30" s="1532"/>
      <c r="G30" s="1532"/>
      <c r="H30" s="1532"/>
      <c r="I30" s="1532"/>
      <c r="J30" s="1532"/>
      <c r="K30" s="1532"/>
      <c r="L30" s="1664"/>
      <c r="M30" s="1532"/>
      <c r="N30" s="1532"/>
      <c r="O30" s="1532"/>
      <c r="S30" s="2534" t="s">
        <v>425</v>
      </c>
      <c r="T30" s="2534"/>
      <c r="U30" s="1656"/>
      <c r="V30" s="2548" t="str">
        <f>IF(TITLE_DATE_PR_CHANGE="",IF(TITLE_DATE_PR="","",TITLE_DATE_PR),TITLE_DATE_PR_CHANGE)</f>
        <v>45471</v>
      </c>
      <c r="W30" s="2548"/>
      <c r="X30" s="2548"/>
      <c r="Y30" s="2548"/>
      <c r="Z30" s="2548"/>
      <c r="AA30" s="2548"/>
      <c r="AB30" s="2548"/>
      <c r="AC30" s="1919"/>
      <c r="AD30" s="2548" t="str">
        <f>IF(TITLE_DATE_PR_CHANGE="",IF(TITLE_DATE_PR="","",TITLE_DATE_PR),TITLE_DATE_PR_CHANGE)</f>
        <v>45471</v>
      </c>
      <c r="AE30" s="2548"/>
      <c r="AF30" s="2548"/>
      <c r="AG30" s="2548"/>
      <c r="AH30" s="2548"/>
      <c r="AI30" s="2548"/>
      <c r="AJ30" s="2548"/>
      <c r="AK30" s="1919"/>
      <c r="AL30" s="1919"/>
      <c r="AM30" s="564"/>
      <c r="AN30" s="652"/>
      <c r="AO30" s="652"/>
      <c r="AP30" s="652"/>
      <c r="AQ30" s="652"/>
      <c r="AR30" s="652"/>
      <c r="AS30" s="702">
        <v>0</v>
      </c>
    </row>
    <row s="14284" customFormat="1" customHeight="1" ht="18.75" hidden="1">
      <c r="A31" s="1532"/>
      <c r="B31" s="1532"/>
      <c r="C31" s="1532"/>
      <c r="D31" s="1532"/>
      <c r="E31" s="1532"/>
      <c r="F31" s="1532"/>
      <c r="G31" s="1532"/>
      <c r="H31" s="1532"/>
      <c r="I31" s="1532"/>
      <c r="J31" s="1532"/>
      <c r="K31" s="1532"/>
      <c r="L31" s="1664"/>
      <c r="M31" s="1532"/>
      <c r="N31" s="1532"/>
      <c r="O31" s="1532"/>
      <c r="S31" s="2534" t="s">
        <v>426</v>
      </c>
      <c r="T31" s="2534"/>
      <c r="U31" s="1656"/>
      <c r="V31" s="2535" t="str">
        <f>IF(TITLE_NUMBER_PR_CHANGE="",IF(TITLE_NUMBER_PR="","",TITLE_NUMBER_PR),TITLE_NUMBER_PR_CHANGE)</f>
        <v>50/18-01/261</v>
      </c>
      <c r="W31" s="2535"/>
      <c r="X31" s="2535"/>
      <c r="Y31" s="2535"/>
      <c r="Z31" s="2535"/>
      <c r="AA31" s="2535"/>
      <c r="AB31" s="2535"/>
      <c r="AC31" s="1919"/>
      <c r="AD31" s="2535" t="str">
        <f>IF(TITLE_NUMBER_PR_CHANGE="",IF(TITLE_NUMBER_PR="","",TITLE_NUMBER_PR),TITLE_NUMBER_PR_CHANGE)</f>
        <v>50/18-01/261</v>
      </c>
      <c r="AE31" s="2535"/>
      <c r="AF31" s="2535"/>
      <c r="AG31" s="2535"/>
      <c r="AH31" s="2535"/>
      <c r="AI31" s="2535"/>
      <c r="AJ31" s="2535"/>
      <c r="AK31" s="1919"/>
      <c r="AL31" s="1919"/>
      <c r="AM31" s="564"/>
      <c r="AN31" s="652"/>
      <c r="AO31" s="652"/>
      <c r="AP31" s="652"/>
      <c r="AQ31" s="652"/>
      <c r="AR31" s="652"/>
      <c r="AS31" s="702">
        <v>0</v>
      </c>
    </row>
    <row s="14284" customFormat="1" customHeight="1" ht="18.75" hidden="1">
      <c r="A32" s="1532"/>
      <c r="B32" s="1532"/>
      <c r="C32" s="1532"/>
      <c r="D32" s="1532"/>
      <c r="E32" s="1532"/>
      <c r="F32" s="1532"/>
      <c r="G32" s="1532"/>
      <c r="H32" s="1532"/>
      <c r="I32" s="1532"/>
      <c r="J32" s="1532"/>
      <c r="K32" s="1532"/>
      <c r="L32" s="1664"/>
      <c r="M32" s="1532"/>
      <c r="N32" s="1532"/>
      <c r="O32" s="1532"/>
      <c r="S32" s="2534" t="s">
        <v>43</v>
      </c>
      <c r="T32" s="2534"/>
      <c r="U32" s="1656"/>
      <c r="V32" s="2535" t="str">
        <f>IF(TITLE_IST_PUB_CHANGE="",IF(TITLE_IST_PUB="","",TITLE_IST_PUB),TITLE_IST_PUB_CHANGE)</f>
        <v/>
      </c>
      <c r="W32" s="2535"/>
      <c r="X32" s="2535"/>
      <c r="Y32" s="2535"/>
      <c r="Z32" s="2535"/>
      <c r="AA32" s="2535"/>
      <c r="AB32" s="2535"/>
      <c r="AC32" s="1919"/>
      <c r="AD32" s="2535" t="str">
        <f>IF(TITLE_IST_PUB_CHANGE="",IF(TITLE_IST_PUB="","",TITLE_IST_PUB),TITLE_IST_PUB_CHANGE)</f>
        <v/>
      </c>
      <c r="AE32" s="2535"/>
      <c r="AF32" s="2535"/>
      <c r="AG32" s="2535"/>
      <c r="AH32" s="2535"/>
      <c r="AI32" s="2535"/>
      <c r="AJ32" s="2535"/>
      <c r="AK32" s="1919"/>
      <c r="AL32" s="1919"/>
      <c r="AM32" s="564"/>
      <c r="AN32" s="652"/>
      <c r="AO32" s="652"/>
      <c r="AP32" s="652"/>
      <c r="AQ32" s="652"/>
      <c r="AR32" s="652"/>
      <c r="AS32" s="702">
        <v>0</v>
      </c>
    </row>
    <row customHeight="1" ht="14.25" hidden="1">
      <c r="Q33" s="660"/>
      <c r="R33" s="660"/>
      <c r="S33" s="1559"/>
      <c r="T33" s="741"/>
      <c r="U33" s="741"/>
      <c r="V33" s="606"/>
      <c r="W33" s="606"/>
      <c r="X33" s="606"/>
      <c r="Y33" s="606"/>
      <c r="Z33" s="606"/>
      <c r="AA33" s="606"/>
      <c r="AB33" s="606"/>
      <c r="AC33" s="606"/>
      <c r="AD33" s="606"/>
      <c r="AE33" s="606"/>
      <c r="AF33" s="606"/>
      <c r="AG33" s="606"/>
      <c r="AH33" s="606"/>
      <c r="AI33" s="606"/>
      <c r="AJ33" s="606"/>
      <c r="AK33" s="606"/>
      <c r="AL33" s="1919"/>
      <c r="AS33" s="1915">
        <v>0</v>
      </c>
    </row>
    <row s="14284" customFormat="1" customHeight="1" ht="18.75" hidden="1">
      <c r="A34" s="1532"/>
      <c r="B34" s="1532"/>
      <c r="C34" s="1532"/>
      <c r="D34" s="1532"/>
      <c r="E34" s="1532"/>
      <c r="F34" s="1532"/>
      <c r="G34" s="1532"/>
      <c r="H34" s="1532"/>
      <c r="I34" s="1532"/>
      <c r="J34" s="1532"/>
      <c r="K34" s="1532"/>
      <c r="L34" s="1664"/>
      <c r="M34" s="1532"/>
      <c r="N34" s="1532"/>
      <c r="O34" s="1532"/>
      <c r="S34" s="2534" t="s">
        <v>427</v>
      </c>
      <c r="T34" s="2534"/>
      <c r="U34" s="1656"/>
      <c r="V34" s="2548" t="str">
        <f>IF(TITLE_DATE_PR_CHANGE="",IF(TITLE_DATE_PR="","",TITLE_DATE_PR),TITLE_DATE_PR_CHANGE)</f>
        <v>45471</v>
      </c>
      <c r="W34" s="2548"/>
      <c r="X34" s="2548"/>
      <c r="Y34" s="2548"/>
      <c r="Z34" s="2548"/>
      <c r="AA34" s="2548"/>
      <c r="AB34" s="2548"/>
      <c r="AC34" s="1919"/>
      <c r="AD34" s="2548" t="str">
        <f>IF(TITLE_DATE_PR_CHANGE="",IF(TITLE_DATE_PR="","",TITLE_DATE_PR),TITLE_DATE_PR_CHANGE)</f>
        <v>45471</v>
      </c>
      <c r="AE34" s="2548"/>
      <c r="AF34" s="2548"/>
      <c r="AG34" s="2548"/>
      <c r="AH34" s="2548"/>
      <c r="AI34" s="2548"/>
      <c r="AJ34" s="2548"/>
      <c r="AK34" s="1919"/>
      <c r="AL34" s="1919"/>
      <c r="AM34" s="564"/>
      <c r="AN34" s="652"/>
      <c r="AO34" s="652"/>
      <c r="AP34" s="652"/>
      <c r="AQ34" s="652"/>
      <c r="AR34" s="652"/>
      <c r="AS34" s="702">
        <v>0</v>
      </c>
    </row>
    <row s="14284" customFormat="1" customHeight="1" ht="18.75" hidden="1">
      <c r="A35" s="1532"/>
      <c r="B35" s="1532"/>
      <c r="C35" s="1532"/>
      <c r="D35" s="1532"/>
      <c r="E35" s="1532"/>
      <c r="F35" s="1532"/>
      <c r="G35" s="1532"/>
      <c r="H35" s="1532"/>
      <c r="I35" s="1532"/>
      <c r="J35" s="1532"/>
      <c r="K35" s="1532"/>
      <c r="L35" s="1664"/>
      <c r="M35" s="1532"/>
      <c r="N35" s="1532"/>
      <c r="O35" s="1532"/>
      <c r="S35" s="2534" t="s">
        <v>428</v>
      </c>
      <c r="T35" s="2534"/>
      <c r="U35" s="1656"/>
      <c r="V35" s="2535" t="str">
        <f>IF(TITLE_NUMBER_PR_CHANGE="",IF(TITLE_NUMBER_PR="","",TITLE_NUMBER_PR),TITLE_NUMBER_PR_CHANGE)</f>
        <v>50/18-01/261</v>
      </c>
      <c r="W35" s="2535"/>
      <c r="X35" s="2535"/>
      <c r="Y35" s="2535"/>
      <c r="Z35" s="2535"/>
      <c r="AA35" s="2535"/>
      <c r="AB35" s="2535"/>
      <c r="AC35" s="1919"/>
      <c r="AD35" s="2535" t="str">
        <f>IF(TITLE_NUMBER_PR_CHANGE="",IF(TITLE_NUMBER_PR="","",TITLE_NUMBER_PR),TITLE_NUMBER_PR_CHANGE)</f>
        <v>50/18-01/261</v>
      </c>
      <c r="AE35" s="2535"/>
      <c r="AF35" s="2535"/>
      <c r="AG35" s="2535"/>
      <c r="AH35" s="2535"/>
      <c r="AI35" s="2535"/>
      <c r="AJ35" s="2535"/>
      <c r="AK35" s="1919"/>
      <c r="AL35" s="1919"/>
      <c r="AM35" s="564"/>
      <c r="AN35" s="652"/>
      <c r="AO35" s="652"/>
      <c r="AP35" s="652"/>
      <c r="AQ35" s="652"/>
      <c r="AR35" s="652"/>
      <c r="AS35" s="702">
        <v>0</v>
      </c>
    </row>
    <row s="14284" customFormat="1" customHeight="1" ht="0">
      <c r="A36" s="1532"/>
      <c r="B36" s="1532"/>
      <c r="C36" s="1532"/>
      <c r="D36" s="1532"/>
      <c r="E36" s="1532"/>
      <c r="F36" s="1532"/>
      <c r="G36" s="1532"/>
      <c r="H36" s="1532"/>
      <c r="I36" s="1532"/>
      <c r="J36" s="1532"/>
      <c r="K36" s="1532"/>
      <c r="L36" s="1664"/>
      <c r="M36" s="1532"/>
      <c r="N36" s="1532"/>
      <c r="O36" s="1532"/>
      <c r="S36" s="1919"/>
      <c r="T36" s="1919"/>
      <c r="U36" s="2254"/>
      <c r="V36" s="1919"/>
      <c r="W36" s="1919"/>
      <c r="X36" s="1919"/>
      <c r="Y36" s="1919"/>
      <c r="Z36" s="1919"/>
      <c r="AA36" s="1919"/>
      <c r="AB36" s="1919"/>
      <c r="AC36" s="1926" t="s">
        <v>429</v>
      </c>
      <c r="AD36" s="1919"/>
      <c r="AE36" s="1919"/>
      <c r="AF36" s="1919"/>
      <c r="AG36" s="1919"/>
      <c r="AH36" s="1919"/>
      <c r="AI36" s="1919"/>
      <c r="AJ36" s="1919"/>
      <c r="AK36" s="1926" t="s">
        <v>429</v>
      </c>
      <c r="AN36" s="652"/>
      <c r="AO36" s="652"/>
      <c r="AP36" s="652"/>
      <c r="AQ36" s="652"/>
      <c r="AR36" s="652"/>
      <c r="AS36" s="702">
        <v>0</v>
      </c>
    </row>
    <row customHeight="1" ht="14.699999999999998">
      <c r="Q37" s="660"/>
      <c r="R37" s="660"/>
      <c r="S37" s="1559"/>
      <c r="T37" s="741"/>
      <c r="U37" s="1528"/>
      <c r="V37" s="2536"/>
      <c r="W37" s="2536"/>
      <c r="X37" s="2536"/>
      <c r="Y37" s="2536"/>
      <c r="Z37" s="2536"/>
      <c r="AA37" s="2536"/>
      <c r="AB37" s="2536"/>
      <c r="AC37" s="2536"/>
      <c r="AD37" s="2536"/>
      <c r="AE37" s="2536"/>
      <c r="AF37" s="2536"/>
      <c r="AG37" s="2536"/>
      <c r="AH37" s="2536"/>
      <c r="AI37" s="2536"/>
      <c r="AJ37" s="2536"/>
      <c r="AK37" s="2536"/>
      <c r="AS37" s="1915">
        <v>14</v>
      </c>
    </row>
    <row customHeight="1" ht="14.699999999999998">
      <c r="Q38" s="660"/>
      <c r="R38" s="660"/>
      <c r="S38" s="2411" t="s">
        <v>305</v>
      </c>
      <c r="T38" s="2411"/>
      <c r="U38" s="2411"/>
      <c r="V38" s="2411"/>
      <c r="W38" s="2411"/>
      <c r="X38" s="2411"/>
      <c r="Y38" s="2411"/>
      <c r="Z38" s="2411"/>
      <c r="AA38" s="2411"/>
      <c r="AB38" s="2411"/>
      <c r="AC38" s="2411"/>
      <c r="AD38" s="2411"/>
      <c r="AE38" s="2411"/>
      <c r="AF38" s="2411"/>
      <c r="AG38" s="2411"/>
      <c r="AH38" s="2411"/>
      <c r="AI38" s="2411"/>
      <c r="AJ38" s="2411"/>
      <c r="AK38" s="2411"/>
      <c r="AL38" s="2411"/>
      <c r="AM38" s="2411" t="s">
        <v>306</v>
      </c>
      <c r="AS38" s="1915">
        <v>14</v>
      </c>
    </row>
    <row customHeight="1" ht="14.699999999999998">
      <c r="Q39" s="660"/>
      <c r="R39" s="660"/>
      <c r="S39" s="2557" t="s">
        <v>89</v>
      </c>
      <c r="T39" s="2493" t="s">
        <v>430</v>
      </c>
      <c r="U39" s="621"/>
      <c r="V39" s="2558" t="s">
        <v>431</v>
      </c>
      <c r="W39" s="2559"/>
      <c r="X39" s="2559"/>
      <c r="Y39" s="2559"/>
      <c r="Z39" s="2559"/>
      <c r="AA39" s="2559"/>
      <c r="AB39" s="2560"/>
      <c r="AC39" s="2561" t="s">
        <v>432</v>
      </c>
      <c r="AD39" s="2558" t="s">
        <v>431</v>
      </c>
      <c r="AE39" s="2559"/>
      <c r="AF39" s="2559"/>
      <c r="AG39" s="2559"/>
      <c r="AH39" s="2559"/>
      <c r="AI39" s="2559"/>
      <c r="AJ39" s="2560"/>
      <c r="AK39" s="2561" t="s">
        <v>433</v>
      </c>
      <c r="AL39" s="2564" t="s">
        <v>434</v>
      </c>
      <c r="AM39" s="2411"/>
      <c r="AS39" s="1915">
        <v>14</v>
      </c>
    </row>
    <row customHeight="1" ht="35.699999999999996">
      <c r="Q40" s="660"/>
      <c r="R40" s="660"/>
      <c r="S40" s="2557"/>
      <c r="T40" s="2493"/>
      <c r="U40" s="1315"/>
      <c r="V40" s="2544" t="s">
        <v>435</v>
      </c>
      <c r="W40" s="2567" t="s">
        <v>436</v>
      </c>
      <c r="X40" s="2546" t="s">
        <v>437</v>
      </c>
      <c r="Y40" s="2547"/>
      <c r="Z40" s="2546" t="s">
        <v>450</v>
      </c>
      <c r="AA40" s="2553"/>
      <c r="AB40" s="2547"/>
      <c r="AC40" s="2562"/>
      <c r="AD40" s="2544" t="s">
        <v>435</v>
      </c>
      <c r="AE40" s="2567" t="s">
        <v>436</v>
      </c>
      <c r="AF40" s="2546" t="s">
        <v>437</v>
      </c>
      <c r="AG40" s="2547"/>
      <c r="AH40" s="2546" t="s">
        <v>438</v>
      </c>
      <c r="AI40" s="2553"/>
      <c r="AJ40" s="2547"/>
      <c r="AK40" s="2562"/>
      <c r="AL40" s="2565"/>
      <c r="AM40" s="2411"/>
      <c r="AS40" s="1915">
        <v>34</v>
      </c>
    </row>
    <row customHeight="1" ht="35.699999999999996">
      <c r="A41" s="1550"/>
      <c r="B41" s="1550" t="s">
        <v>136</v>
      </c>
      <c r="C41" s="1550" t="s">
        <v>137</v>
      </c>
      <c r="D41" s="1550" t="s">
        <v>138</v>
      </c>
      <c r="E41" s="1594" t="s">
        <v>439</v>
      </c>
      <c r="F41" s="1594" t="s">
        <v>440</v>
      </c>
      <c r="G41" s="1594" t="s">
        <v>441</v>
      </c>
      <c r="H41" s="1594" t="s">
        <v>442</v>
      </c>
      <c r="I41" s="1594" t="s">
        <v>443</v>
      </c>
      <c r="J41" s="1594" t="s">
        <v>444</v>
      </c>
      <c r="K41" s="1594" t="s">
        <v>445</v>
      </c>
      <c r="L41" s="1594" t="s">
        <v>420</v>
      </c>
      <c r="Q41" s="660"/>
      <c r="R41" s="660"/>
      <c r="S41" s="2557"/>
      <c r="T41" s="2493"/>
      <c r="U41" s="586"/>
      <c r="V41" s="2545"/>
      <c r="W41" s="2568"/>
      <c r="X41" s="2222" t="s">
        <v>446</v>
      </c>
      <c r="Y41" s="2222" t="s">
        <v>447</v>
      </c>
      <c r="Z41" s="2222" t="s">
        <v>448</v>
      </c>
      <c r="AA41" s="2554" t="s">
        <v>449</v>
      </c>
      <c r="AB41" s="2555"/>
      <c r="AC41" s="2563"/>
      <c r="AD41" s="2545"/>
      <c r="AE41" s="2568"/>
      <c r="AF41" s="2222" t="s">
        <v>446</v>
      </c>
      <c r="AG41" s="2222" t="s">
        <v>447</v>
      </c>
      <c r="AH41" s="2222" t="s">
        <v>448</v>
      </c>
      <c r="AI41" s="2554" t="s">
        <v>449</v>
      </c>
      <c r="AJ41" s="2555"/>
      <c r="AK41" s="2563"/>
      <c r="AL41" s="2566"/>
      <c r="AM41" s="2411"/>
      <c r="AS41" s="1915">
        <v>34</v>
      </c>
    </row>
    <row s="14730" customFormat="1" customHeight="1" ht="11.25" hidden="1">
      <c r="A42" s="1550"/>
      <c r="B42" s="1550"/>
      <c r="C42" s="1550"/>
      <c r="D42" s="1550"/>
      <c r="E42" s="1550"/>
      <c r="F42" s="1550"/>
      <c r="G42" s="1550"/>
      <c r="H42" s="1550"/>
      <c r="I42" s="1550"/>
      <c r="J42" s="1550"/>
      <c r="K42" s="1550"/>
      <c r="L42" s="1594"/>
      <c r="M42" s="2249"/>
      <c r="N42" s="2249"/>
      <c r="O42" s="2249"/>
      <c r="P42" s="1530"/>
      <c r="Q42" s="1531"/>
      <c r="R42" s="1538">
        <v>1</v>
      </c>
      <c r="S42" s="1561" t="s">
        <v>110</v>
      </c>
      <c r="T42" s="1539" t="s">
        <v>111</v>
      </c>
      <c r="U42" s="1529" t="str">
        <f>OFFSET(U42,0,-1)</f>
        <v>2</v>
      </c>
      <c r="V42" s="2240">
        <f>OFFSET(V42,0,-1)+1</f>
        <v>3</v>
      </c>
      <c r="W42" s="2240"/>
      <c r="X42" s="2240">
        <f>OFFSET(X42,0,-1)+1</f>
        <v>1</v>
      </c>
      <c r="Y42" s="2240">
        <f>OFFSET(Y42,0,-1)+1</f>
        <v>2</v>
      </c>
      <c r="Z42" s="2240">
        <f>OFFSET(Z42,0,-1)+1</f>
        <v>3</v>
      </c>
      <c r="AA42" s="2556">
        <f>OFFSET(AA42,0,-1)+1</f>
        <v>4</v>
      </c>
      <c r="AB42" s="2556"/>
      <c r="AC42" s="2240">
        <f>OFFSET(AC42,0,-2)+1</f>
        <v>5</v>
      </c>
      <c r="AD42" s="2240">
        <f>OFFSET(AD42,0,-1)+1</f>
        <v>6</v>
      </c>
      <c r="AE42" s="2240"/>
      <c r="AF42" s="2240">
        <f>OFFSET(AF42,0,-1)+1</f>
        <v>1</v>
      </c>
      <c r="AG42" s="2240">
        <f>OFFSET(AG42,0,-1)+1</f>
        <v>2</v>
      </c>
      <c r="AH42" s="2240">
        <f>OFFSET(AH42,0,-1)+1</f>
        <v>3</v>
      </c>
      <c r="AI42" s="2556">
        <f>OFFSET(AI42,0,-1)+1</f>
        <v>4</v>
      </c>
      <c r="AJ42" s="2556"/>
      <c r="AK42" s="2240">
        <f>OFFSET(AK42,0,-2)+1</f>
        <v>5</v>
      </c>
      <c r="AL42" s="1529">
        <f>OFFSET(AL42,0,-1)</f>
        <v>5</v>
      </c>
      <c r="AM42" s="2240">
        <f>OFFSET(AM42,0,-1)+1</f>
        <v>6</v>
      </c>
      <c r="AN42" s="1920"/>
      <c r="AO42" s="1920"/>
      <c r="AP42" s="1920"/>
      <c r="AQ42" s="1920"/>
      <c r="AR42" s="1920"/>
      <c r="AS42" s="1925">
        <v>0</v>
      </c>
    </row>
    <row customHeight="1" ht="22.049999999999997">
      <c r="A43" s="1551" t="s">
        <v>217</v>
      </c>
      <c r="B43" s="1551"/>
      <c r="C43" s="1551"/>
      <c r="D43" s="1551"/>
      <c r="E43" s="2573">
        <v>1</v>
      </c>
      <c r="F43" s="1551"/>
      <c r="G43" s="1551"/>
      <c r="H43" s="1551"/>
      <c r="I43" s="1551"/>
      <c r="J43" s="1551"/>
      <c r="K43" s="1551"/>
      <c r="L43" s="1594"/>
      <c r="M43" s="1894"/>
      <c r="N43" s="1894"/>
      <c r="O43" s="1894"/>
      <c r="P43" s="1874"/>
      <c r="Q43" s="644"/>
      <c r="R43" s="639"/>
      <c r="S43" s="2242">
        <f>INDEX(PT_DIFFERENTIATION_NUM_NTAR,MATCH(A43,PT_DIFFERENTIATION_NTAR_ID,0))</f>
        <v>0</v>
      </c>
      <c r="T43" s="1809" t="s">
        <v>124</v>
      </c>
      <c r="U43" s="584"/>
      <c r="V43" s="2526"/>
      <c r="W43" s="2527"/>
      <c r="X43" s="2527"/>
      <c r="Y43" s="2527"/>
      <c r="Z43" s="2527"/>
      <c r="AA43" s="2527"/>
      <c r="AB43" s="2527"/>
      <c r="AC43" s="2528"/>
      <c r="AD43" s="2526" t="str">
        <f>INDEX(PT_DIFFERENTIATION_NTAR,MATCH(A43,PT_DIFFERENTIATION_NTAR_ID,0))</f>
        <v/>
      </c>
      <c r="AE43" s="2527"/>
      <c r="AF43" s="2527"/>
      <c r="AG43" s="2527"/>
      <c r="AH43" s="2527"/>
      <c r="AI43" s="2527"/>
      <c r="AJ43" s="2527"/>
      <c r="AK43" s="2527"/>
      <c r="AL43" s="2528"/>
      <c r="AM43" s="1542"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908"/>
      <c r="AP43" s="1908" t="str">
        <f>IF(T43="","",T43)</f>
        <v>Наименование тарифа</v>
      </c>
      <c r="AQ43" s="1908"/>
      <c r="AR43" s="1908"/>
      <c r="AS43" s="1915">
        <v>21</v>
      </c>
    </row>
    <row customHeight="1" ht="22.049999999999997">
      <c r="A44" s="1551" t="s">
        <v>217</v>
      </c>
      <c r="B44" s="1551" t="s">
        <v>218</v>
      </c>
      <c r="C44" s="1551"/>
      <c r="D44" s="1551"/>
      <c r="E44" s="2574"/>
      <c r="F44" s="2573">
        <v>1</v>
      </c>
      <c r="G44" s="1551"/>
      <c r="H44" s="1551"/>
      <c r="I44" s="1551"/>
      <c r="J44" s="1551"/>
      <c r="K44" s="1551"/>
      <c r="L44" s="1594"/>
      <c r="M44" s="1894"/>
      <c r="N44" s="1894"/>
      <c r="O44" s="1894"/>
      <c r="P44" s="2224"/>
      <c r="Q44" s="636"/>
      <c r="R44" s="637"/>
      <c r="S44" s="2242" t="str">
        <f>INDEX(PT_DIFFERENTIATION_NUM_TER,MATCH(B44,PT_DIFFERENTIATION_TER_ID,0))</f>
        <v>.</v>
      </c>
      <c r="T44" s="1806" t="s">
        <v>402</v>
      </c>
      <c r="U44" s="584"/>
      <c r="V44" s="2526"/>
      <c r="W44" s="2527"/>
      <c r="X44" s="2527"/>
      <c r="Y44" s="2527"/>
      <c r="Z44" s="2527"/>
      <c r="AA44" s="2527"/>
      <c r="AB44" s="2527"/>
      <c r="AC44" s="2528"/>
      <c r="AD44" s="2526" t="str">
        <f>INDEX(PT_DIFFERENTIATION_TER,MATCH(B44,PT_DIFFERENTIATION_TER_ID,0))</f>
        <v/>
      </c>
      <c r="AE44" s="2527"/>
      <c r="AF44" s="2527"/>
      <c r="AG44" s="2527"/>
      <c r="AH44" s="2527"/>
      <c r="AI44" s="2527"/>
      <c r="AJ44" s="2527"/>
      <c r="AK44" s="2527"/>
      <c r="AL44" s="2528"/>
      <c r="AM44" s="1542" t="s">
        <v>403</v>
      </c>
      <c r="AO44" s="1908"/>
      <c r="AP44" s="1908" t="str">
        <f>IF(T44="","",T44)</f>
        <v>Территория действия тарифа</v>
      </c>
      <c r="AQ44" s="1908"/>
      <c r="AR44" s="1908"/>
      <c r="AS44" s="1915">
        <v>21</v>
      </c>
    </row>
    <row customHeight="1" ht="24">
      <c r="A45" s="1551" t="s">
        <v>217</v>
      </c>
      <c r="B45" s="1551" t="s">
        <v>218</v>
      </c>
      <c r="C45" s="1551" t="s">
        <v>219</v>
      </c>
      <c r="D45" s="1551"/>
      <c r="E45" s="2574"/>
      <c r="F45" s="2574"/>
      <c r="G45" s="2573">
        <v>1</v>
      </c>
      <c r="H45" s="1551"/>
      <c r="I45" s="1551"/>
      <c r="J45" s="1551"/>
      <c r="K45" s="1551"/>
      <c r="L45" s="1594"/>
      <c r="M45" s="1894"/>
      <c r="N45" s="1894"/>
      <c r="O45" s="1894"/>
      <c r="P45" s="638"/>
      <c r="Q45" s="636"/>
      <c r="R45" s="637"/>
      <c r="S45" s="2242" t="str">
        <f>INDEX(PT_DIFFERENTIATION_NUM_CS,MATCH(C45,PT_DIFFERENTIATION_CS_ID,0))</f>
        <v>..</v>
      </c>
      <c r="T45" s="593" t="s">
        <v>404</v>
      </c>
      <c r="U45" s="584"/>
      <c r="V45" s="2526"/>
      <c r="W45" s="2527"/>
      <c r="X45" s="2527"/>
      <c r="Y45" s="2527"/>
      <c r="Z45" s="2527"/>
      <c r="AA45" s="2527"/>
      <c r="AB45" s="2527"/>
      <c r="AC45" s="2528"/>
      <c r="AD45" s="2526" t="str">
        <f>INDEX(PT_DIFFERENTIATION_CS,MATCH(C45,PT_DIFFERENTIATION_CS_ID,0))</f>
        <v/>
      </c>
      <c r="AE45" s="2527"/>
      <c r="AF45" s="2527"/>
      <c r="AG45" s="2527"/>
      <c r="AH45" s="2527"/>
      <c r="AI45" s="2527"/>
      <c r="AJ45" s="2527"/>
      <c r="AK45" s="2527"/>
      <c r="AL45" s="2528"/>
      <c r="AM45" s="1542" t="s">
        <v>405</v>
      </c>
      <c r="AO45" s="1908"/>
      <c r="AP45" s="1908" t="str">
        <f>IF(T45="","",T45)</f>
        <v>Наименование системы теплоснабжения </v>
      </c>
      <c r="AQ45" s="1908"/>
      <c r="AR45" s="1908"/>
      <c r="AS45" s="1915">
        <v>23</v>
      </c>
    </row>
    <row customHeight="1" ht="22.049999999999997">
      <c r="A46" s="1551" t="s">
        <v>217</v>
      </c>
      <c r="B46" s="1551" t="s">
        <v>218</v>
      </c>
      <c r="C46" s="1551" t="s">
        <v>219</v>
      </c>
      <c r="D46" s="1551" t="s">
        <v>220</v>
      </c>
      <c r="E46" s="2574"/>
      <c r="F46" s="2574"/>
      <c r="G46" s="2574"/>
      <c r="H46" s="2573">
        <v>1</v>
      </c>
      <c r="I46" s="1551"/>
      <c r="J46" s="1551"/>
      <c r="K46" s="1551"/>
      <c r="L46" s="1594"/>
      <c r="M46" s="1894"/>
      <c r="N46" s="1894"/>
      <c r="O46" s="1894"/>
      <c r="P46" s="638"/>
      <c r="Q46" s="636"/>
      <c r="R46" s="637"/>
      <c r="S46" s="2242" t="str">
        <f>INDEX(PT_DIFFERENTIATION_NUM_IST_TE,MATCH(D46,PT_DIFFERENTIATION_IST_TE_ID,0))</f>
        <v>...</v>
      </c>
      <c r="T46" s="594" t="s">
        <v>406</v>
      </c>
      <c r="U46" s="584"/>
      <c r="V46" s="2526"/>
      <c r="W46" s="2527"/>
      <c r="X46" s="2527"/>
      <c r="Y46" s="2527"/>
      <c r="Z46" s="2527"/>
      <c r="AA46" s="2527"/>
      <c r="AB46" s="2527"/>
      <c r="AC46" s="2528"/>
      <c r="AD46" s="2526" t="str">
        <f>INDEX(PT_DIFFERENTIATION_IST_TE,MATCH(D46,PT_DIFFERENTIATION_IST_TE_ID,0))</f>
        <v/>
      </c>
      <c r="AE46" s="2527"/>
      <c r="AF46" s="2527"/>
      <c r="AG46" s="2527"/>
      <c r="AH46" s="2527"/>
      <c r="AI46" s="2527"/>
      <c r="AJ46" s="2527"/>
      <c r="AK46" s="2527"/>
      <c r="AL46" s="2528"/>
      <c r="AM46" s="1542" t="s">
        <v>407</v>
      </c>
      <c r="AO46" s="1908"/>
      <c r="AP46" s="1908" t="str">
        <f>IF(T46="","",T46)</f>
        <v>Источник тепловой энергии  </v>
      </c>
      <c r="AQ46" s="1908"/>
      <c r="AR46" s="1908"/>
      <c r="AS46" s="1915">
        <v>21</v>
      </c>
    </row>
    <row customHeight="1" ht="49.5">
      <c r="A47" s="1551" t="s">
        <v>217</v>
      </c>
      <c r="B47" s="1551" t="s">
        <v>218</v>
      </c>
      <c r="C47" s="1551" t="s">
        <v>219</v>
      </c>
      <c r="D47" s="1551" t="s">
        <v>220</v>
      </c>
      <c r="E47" s="2574"/>
      <c r="F47" s="2574"/>
      <c r="G47" s="2574"/>
      <c r="H47" s="2574"/>
      <c r="I47" s="2411" t="str">
        <f>S46&amp;".1"</f>
        <v>....1</v>
      </c>
      <c r="J47" s="1551"/>
      <c r="K47" s="1551"/>
      <c r="L47" s="1594" t="s">
        <v>408</v>
      </c>
      <c r="P47" s="2541">
        <v>1</v>
      </c>
      <c r="Q47" s="2238"/>
      <c r="R47" s="640"/>
      <c r="S47" s="2242" t="str">
        <f>$I47</f>
        <v>....1</v>
      </c>
      <c r="T47" s="569" t="s">
        <v>409</v>
      </c>
      <c r="U47" s="584"/>
      <c r="V47" s="2529"/>
      <c r="W47" s="2530"/>
      <c r="X47" s="2530"/>
      <c r="Y47" s="2530"/>
      <c r="Z47" s="2530"/>
      <c r="AA47" s="2530"/>
      <c r="AB47" s="2530"/>
      <c r="AC47" s="2531"/>
      <c r="AD47" s="2529"/>
      <c r="AE47" s="2530"/>
      <c r="AF47" s="2530"/>
      <c r="AG47" s="2530"/>
      <c r="AH47" s="2530"/>
      <c r="AI47" s="2530"/>
      <c r="AJ47" s="2530"/>
      <c r="AK47" s="2530"/>
      <c r="AL47" s="2531"/>
      <c r="AM47" s="1542" t="s">
        <v>410</v>
      </c>
      <c r="AO47" s="1908"/>
      <c r="AP47" s="1908" t="str">
        <f>IF(T47="","",T47)</f>
        <v>Схема подключения теплопотребляющей установки к коллектору источника тепловой энергии</v>
      </c>
      <c r="AQ47" s="1908"/>
      <c r="AR47" s="1908"/>
      <c r="AS47" s="1915">
        <v>47</v>
      </c>
    </row>
    <row customHeight="1" ht="22.049999999999997">
      <c r="A48" s="1551" t="s">
        <v>217</v>
      </c>
      <c r="B48" s="1551" t="s">
        <v>218</v>
      </c>
      <c r="C48" s="1551" t="s">
        <v>219</v>
      </c>
      <c r="D48" s="1551" t="s">
        <v>220</v>
      </c>
      <c r="E48" s="2574"/>
      <c r="F48" s="2574"/>
      <c r="G48" s="2574"/>
      <c r="H48" s="2574"/>
      <c r="I48" s="2385"/>
      <c r="J48" s="2411" t="str">
        <f>I47&amp;".1"</f>
        <v>....1.1</v>
      </c>
      <c r="K48" s="1551"/>
      <c r="L48" s="1594" t="s">
        <v>411</v>
      </c>
      <c r="P48" s="2541"/>
      <c r="Q48" s="2541">
        <v>1</v>
      </c>
      <c r="R48" s="641"/>
      <c r="S48" s="2242" t="str">
        <f>$J48</f>
        <v>....1.1</v>
      </c>
      <c r="T48" s="570" t="s">
        <v>412</v>
      </c>
      <c r="U48" s="584"/>
      <c r="V48" s="2529"/>
      <c r="W48" s="2530"/>
      <c r="X48" s="2530"/>
      <c r="Y48" s="2530"/>
      <c r="Z48" s="2530"/>
      <c r="AA48" s="2530"/>
      <c r="AB48" s="2530"/>
      <c r="AC48" s="2531"/>
      <c r="AD48" s="2529"/>
      <c r="AE48" s="2530"/>
      <c r="AF48" s="2530"/>
      <c r="AG48" s="2530"/>
      <c r="AH48" s="2530"/>
      <c r="AI48" s="2530"/>
      <c r="AJ48" s="2530"/>
      <c r="AK48" s="2530"/>
      <c r="AL48" s="2531"/>
      <c r="AM48" s="1542" t="s">
        <v>413</v>
      </c>
      <c r="AO48" s="1908"/>
      <c r="AP48" s="1908" t="str">
        <f>IF(T48="","",T48)</f>
        <v>Группа потребителей</v>
      </c>
      <c r="AQ48" s="1908"/>
      <c r="AR48" s="1908"/>
      <c r="AS48" s="1915">
        <v>21</v>
      </c>
    </row>
    <row customHeight="1" ht="22.049999999999997">
      <c r="A49" s="1551" t="s">
        <v>217</v>
      </c>
      <c r="B49" s="1551" t="s">
        <v>218</v>
      </c>
      <c r="C49" s="1551" t="s">
        <v>219</v>
      </c>
      <c r="D49" s="1551" t="s">
        <v>220</v>
      </c>
      <c r="E49" s="2574"/>
      <c r="F49" s="2574"/>
      <c r="G49" s="2574"/>
      <c r="H49" s="2574"/>
      <c r="I49" s="2385"/>
      <c r="J49" s="2385"/>
      <c r="K49" s="2411" t="str">
        <f>J48&amp;".1"</f>
        <v>....1.1.1</v>
      </c>
      <c r="L49" s="1594" t="s">
        <v>414</v>
      </c>
      <c r="P49" s="2541"/>
      <c r="Q49" s="2541"/>
      <c r="R49" s="641">
        <v>1</v>
      </c>
      <c r="S49" s="2242" t="str">
        <f>$K49</f>
        <v>....1.1.1</v>
      </c>
      <c r="T49" s="1631"/>
      <c r="U49" s="584"/>
      <c r="V49" s="1035"/>
      <c r="W49" s="609"/>
      <c r="X49" s="1035"/>
      <c r="Y49" s="1541"/>
      <c r="Z49" s="2549"/>
      <c r="AA49" s="2391" t="s">
        <v>67</v>
      </c>
      <c r="AB49" s="2549"/>
      <c r="AC49" s="2391" t="s">
        <v>67</v>
      </c>
      <c r="AD49" s="1035"/>
      <c r="AE49" s="609"/>
      <c r="AF49" s="1035"/>
      <c r="AG49" s="1541"/>
      <c r="AH49" s="2549"/>
      <c r="AI49" s="2391" t="s">
        <v>67</v>
      </c>
      <c r="AJ49" s="2571"/>
      <c r="AK49" s="2391" t="s">
        <v>67</v>
      </c>
      <c r="AL49" s="1632"/>
      <c r="AM49" s="2537" t="s">
        <v>415</v>
      </c>
      <c r="AN49" s="1920">
        <f>STRCHECKDATE(V50:AL50)</f>
      </c>
      <c r="AO49" s="1908"/>
      <c r="AP49" s="1908" t="str">
        <f>IF(T49="","",T49)</f>
        <v/>
      </c>
      <c r="AQ49" s="1908"/>
      <c r="AR49" s="1908"/>
      <c r="AS49" s="1915">
        <v>21</v>
      </c>
    </row>
    <row customHeight="1" ht="1.05">
      <c r="A50" s="1551" t="s">
        <v>217</v>
      </c>
      <c r="B50" s="1551" t="s">
        <v>218</v>
      </c>
      <c r="C50" s="1551" t="s">
        <v>219</v>
      </c>
      <c r="D50" s="1551" t="s">
        <v>220</v>
      </c>
      <c r="E50" s="2574"/>
      <c r="F50" s="2574"/>
      <c r="G50" s="2574"/>
      <c r="H50" s="2574"/>
      <c r="I50" s="2385"/>
      <c r="J50" s="2385"/>
      <c r="K50" s="2411"/>
      <c r="L50" s="1594"/>
      <c r="P50" s="2541"/>
      <c r="Q50" s="2541"/>
      <c r="R50" s="641"/>
      <c r="S50" s="2251"/>
      <c r="T50" s="584"/>
      <c r="U50" s="584"/>
      <c r="V50" s="609"/>
      <c r="W50" s="609"/>
      <c r="X50" s="609"/>
      <c r="Y50" s="612" t="str">
        <f>Z49&amp;"-"&amp;AB49</f>
        <v>-</v>
      </c>
      <c r="Z50" s="2550"/>
      <c r="AA50" s="2391"/>
      <c r="AB50" s="2550"/>
      <c r="AC50" s="2391"/>
      <c r="AD50" s="609"/>
      <c r="AE50" s="609"/>
      <c r="AF50" s="609"/>
      <c r="AG50" s="612" t="str">
        <f>AH49&amp;"-"&amp;AJ49</f>
        <v>-</v>
      </c>
      <c r="AH50" s="2550"/>
      <c r="AI50" s="2391"/>
      <c r="AJ50" s="2572"/>
      <c r="AK50" s="2391"/>
      <c r="AL50" s="1633"/>
      <c r="AM50" s="2538"/>
      <c r="AO50" s="1908"/>
      <c r="AP50" s="1908" t="str">
        <f>IF(T50="","",T50)</f>
        <v/>
      </c>
      <c r="AQ50" s="1908"/>
      <c r="AR50" s="1908"/>
      <c r="AS50" s="1915">
        <v>1</v>
      </c>
    </row>
    <row customHeight="1" ht="11.549999999999999">
      <c r="A51" s="1551" t="s">
        <v>217</v>
      </c>
      <c r="B51" s="1551" t="s">
        <v>218</v>
      </c>
      <c r="C51" s="1551" t="s">
        <v>219</v>
      </c>
      <c r="D51" s="1551" t="s">
        <v>220</v>
      </c>
      <c r="E51" s="2574"/>
      <c r="F51" s="2574"/>
      <c r="G51" s="2574"/>
      <c r="H51" s="2574"/>
      <c r="I51" s="2385"/>
      <c r="J51" s="2411"/>
      <c r="K51" s="1551"/>
      <c r="L51" s="1594"/>
      <c r="P51" s="2541"/>
      <c r="Q51" s="2541"/>
      <c r="R51" s="640"/>
      <c r="S51" s="1562"/>
      <c r="T51" s="572" t="s">
        <v>416</v>
      </c>
      <c r="U51" s="884"/>
      <c r="V51" s="884"/>
      <c r="W51" s="884"/>
      <c r="X51" s="884"/>
      <c r="Y51" s="884"/>
      <c r="Z51" s="884"/>
      <c r="AA51" s="884"/>
      <c r="AB51" s="884"/>
      <c r="AC51" s="884"/>
      <c r="AD51" s="884"/>
      <c r="AE51" s="884"/>
      <c r="AF51" s="884"/>
      <c r="AG51" s="884"/>
      <c r="AH51" s="884"/>
      <c r="AI51" s="884"/>
      <c r="AJ51" s="884"/>
      <c r="AK51" s="884"/>
      <c r="AL51" s="608"/>
      <c r="AM51" s="2539"/>
      <c r="AO51" s="1908"/>
      <c r="AP51" s="1908" t="str">
        <f>IF(T51="","",T51)</f>
        <v>Добавить вид теплоносителя (параметры теплоносителя)</v>
      </c>
      <c r="AQ51" s="1908"/>
      <c r="AR51" s="1908"/>
      <c r="AS51" s="1915">
        <v>11</v>
      </c>
    </row>
    <row customHeight="1" ht="11.549999999999999">
      <c r="A52" s="1551" t="s">
        <v>217</v>
      </c>
      <c r="B52" s="1551" t="s">
        <v>218</v>
      </c>
      <c r="C52" s="1551" t="s">
        <v>219</v>
      </c>
      <c r="D52" s="1551" t="s">
        <v>220</v>
      </c>
      <c r="E52" s="2574"/>
      <c r="F52" s="2574"/>
      <c r="G52" s="2574"/>
      <c r="H52" s="2574"/>
      <c r="I52" s="2411"/>
      <c r="J52" s="1551"/>
      <c r="K52" s="1551"/>
      <c r="L52" s="1594"/>
      <c r="P52" s="2541"/>
      <c r="Q52" s="2238"/>
      <c r="R52" s="640"/>
      <c r="S52" s="1562"/>
      <c r="T52" s="571" t="s">
        <v>417</v>
      </c>
      <c r="U52" s="884"/>
      <c r="V52" s="884"/>
      <c r="W52" s="884"/>
      <c r="X52" s="884"/>
      <c r="Y52" s="884"/>
      <c r="Z52" s="884"/>
      <c r="AA52" s="884"/>
      <c r="AB52" s="884"/>
      <c r="AC52" s="650"/>
      <c r="AD52" s="884"/>
      <c r="AE52" s="884"/>
      <c r="AF52" s="884"/>
      <c r="AG52" s="884"/>
      <c r="AH52" s="884"/>
      <c r="AI52" s="884"/>
      <c r="AJ52" s="884"/>
      <c r="AK52" s="650"/>
      <c r="AL52" s="884"/>
      <c r="AM52" s="587"/>
      <c r="AO52" s="1908"/>
      <c r="AP52" s="1908" t="str">
        <f>IF(T52="","",T52)</f>
        <v>Добавить группу потребителей</v>
      </c>
      <c r="AQ52" s="1908"/>
      <c r="AR52" s="1908"/>
      <c r="AS52" s="1915">
        <v>11</v>
      </c>
    </row>
    <row customHeight="1" ht="14.699999999999998">
      <c r="A53" s="1551" t="s">
        <v>217</v>
      </c>
      <c r="B53" s="1551" t="s">
        <v>218</v>
      </c>
      <c r="C53" s="1551" t="s">
        <v>219</v>
      </c>
      <c r="D53" s="1551" t="s">
        <v>220</v>
      </c>
      <c r="E53" s="2574"/>
      <c r="F53" s="2574"/>
      <c r="G53" s="2574"/>
      <c r="H53" s="2573"/>
      <c r="I53" s="1551"/>
      <c r="J53" s="1551"/>
      <c r="K53" s="1551"/>
      <c r="L53" s="1594"/>
      <c r="M53" s="1894"/>
      <c r="N53" s="1894"/>
      <c r="O53" s="1919"/>
      <c r="P53" s="644"/>
      <c r="Q53" s="659"/>
      <c r="R53" s="639"/>
      <c r="S53" s="1562"/>
      <c r="T53" s="649" t="s">
        <v>418</v>
      </c>
      <c r="U53" s="884"/>
      <c r="V53" s="884"/>
      <c r="W53" s="884"/>
      <c r="X53" s="884"/>
      <c r="Y53" s="884"/>
      <c r="Z53" s="884"/>
      <c r="AA53" s="884"/>
      <c r="AB53" s="884"/>
      <c r="AC53" s="650"/>
      <c r="AD53" s="884"/>
      <c r="AE53" s="884"/>
      <c r="AF53" s="884"/>
      <c r="AG53" s="884"/>
      <c r="AH53" s="884"/>
      <c r="AI53" s="884"/>
      <c r="AJ53" s="884"/>
      <c r="AK53" s="650"/>
      <c r="AL53" s="884"/>
      <c r="AM53" s="587"/>
      <c r="AO53" s="1908"/>
      <c r="AP53" s="1908" t="str">
        <f>IF(T53="","",T53)</f>
        <v>Добавить схему подключения</v>
      </c>
      <c r="AQ53" s="1908"/>
      <c r="AR53" s="1908"/>
      <c r="AS53" s="1915">
        <v>14</v>
      </c>
    </row>
    <row s="14158" customFormat="1" customHeight="1" ht="1.05">
      <c r="A54" s="1551" t="s">
        <v>217</v>
      </c>
      <c r="B54" s="1551" t="s">
        <v>218</v>
      </c>
      <c r="C54" s="1551" t="s">
        <v>219</v>
      </c>
      <c r="D54" s="2258"/>
      <c r="E54" s="2574"/>
      <c r="F54" s="2574"/>
      <c r="G54" s="2573"/>
      <c r="H54" s="2258"/>
      <c r="I54" s="2258"/>
      <c r="J54" s="2258"/>
      <c r="K54" s="2258"/>
      <c r="L54" s="1664"/>
      <c r="M54" s="1894"/>
      <c r="N54" s="1894"/>
      <c r="O54" s="1919"/>
      <c r="P54" s="1600"/>
      <c r="Q54" s="1601"/>
      <c r="R54" s="1600"/>
      <c r="S54" s="1606"/>
      <c r="T54" s="1609" t="s">
        <v>169</v>
      </c>
      <c r="U54" s="1608"/>
      <c r="V54" s="1608"/>
      <c r="W54" s="1608"/>
      <c r="X54" s="1608"/>
      <c r="Y54" s="1608"/>
      <c r="Z54" s="1608"/>
      <c r="AA54" s="1608"/>
      <c r="AB54" s="1608"/>
      <c r="AC54" s="1608"/>
      <c r="AD54" s="1608"/>
      <c r="AE54" s="1608"/>
      <c r="AF54" s="1608"/>
      <c r="AG54" s="1608"/>
      <c r="AH54" s="1608"/>
      <c r="AI54" s="1608"/>
      <c r="AJ54" s="1608"/>
      <c r="AK54" s="1608"/>
      <c r="AL54" s="1608"/>
      <c r="AM54" s="1608"/>
      <c r="AO54" s="1535"/>
      <c r="AP54" s="1535" t="str">
        <f>IF(T54="","",T54)</f>
        <v>Добавить источник для дифференциации</v>
      </c>
      <c r="AQ54" s="1535"/>
      <c r="AR54" s="1535"/>
      <c r="AS54" s="1926">
        <v>1</v>
      </c>
    </row>
    <row s="14158" customFormat="1" customHeight="1" ht="1.05">
      <c r="A55" s="1551" t="s">
        <v>217</v>
      </c>
      <c r="B55" s="1551" t="s">
        <v>218</v>
      </c>
      <c r="C55" s="2258"/>
      <c r="D55" s="2258"/>
      <c r="E55" s="2574"/>
      <c r="F55" s="2573"/>
      <c r="G55" s="2258"/>
      <c r="H55" s="2258"/>
      <c r="I55" s="2258"/>
      <c r="J55" s="2258"/>
      <c r="K55" s="2258"/>
      <c r="L55" s="1664"/>
      <c r="M55" s="2259"/>
      <c r="N55" s="2259"/>
      <c r="O55" s="1919"/>
      <c r="P55" s="1600"/>
      <c r="Q55" s="1601"/>
      <c r="R55" s="1600"/>
      <c r="S55" s="1606"/>
      <c r="T55" s="1609" t="s">
        <v>170</v>
      </c>
      <c r="U55" s="1608"/>
      <c r="V55" s="1608"/>
      <c r="W55" s="1608"/>
      <c r="X55" s="1608"/>
      <c r="Y55" s="1608"/>
      <c r="Z55" s="1608"/>
      <c r="AA55" s="1608"/>
      <c r="AB55" s="1608"/>
      <c r="AC55" s="1608"/>
      <c r="AD55" s="1608"/>
      <c r="AE55" s="1608"/>
      <c r="AF55" s="1608"/>
      <c r="AG55" s="1608"/>
      <c r="AH55" s="1608"/>
      <c r="AI55" s="1608"/>
      <c r="AJ55" s="1608"/>
      <c r="AK55" s="1608"/>
      <c r="AL55" s="1608"/>
      <c r="AM55" s="1608"/>
      <c r="AO55" s="1535"/>
      <c r="AP55" s="1535" t="str">
        <f>IF(T55="","",T55)</f>
        <v>Добавить централизованную систему для дифференциации</v>
      </c>
      <c r="AQ55" s="1535"/>
      <c r="AR55" s="1535"/>
      <c r="AS55" s="1926">
        <v>1</v>
      </c>
    </row>
    <row s="14158" customFormat="1" customHeight="1" ht="1.05">
      <c r="A56" s="1551" t="s">
        <v>217</v>
      </c>
      <c r="B56" s="1551"/>
      <c r="C56" s="1551"/>
      <c r="D56" s="1551"/>
      <c r="E56" s="2573"/>
      <c r="F56" s="1551"/>
      <c r="G56" s="1551"/>
      <c r="H56" s="1551"/>
      <c r="I56" s="1551"/>
      <c r="J56" s="1551"/>
      <c r="K56" s="1551"/>
      <c r="L56" s="1594"/>
      <c r="M56" s="2259"/>
      <c r="N56" s="2259"/>
      <c r="O56" s="1919"/>
      <c r="P56" s="664"/>
      <c r="Q56" s="1628"/>
      <c r="R56" s="664"/>
      <c r="S56" s="1606"/>
      <c r="T56" s="1609" t="s">
        <v>171</v>
      </c>
      <c r="U56" s="1608"/>
      <c r="V56" s="1608"/>
      <c r="W56" s="1608"/>
      <c r="X56" s="1608"/>
      <c r="Y56" s="1608"/>
      <c r="Z56" s="1608"/>
      <c r="AA56" s="1608"/>
      <c r="AB56" s="1608"/>
      <c r="AC56" s="1608"/>
      <c r="AD56" s="1608"/>
      <c r="AE56" s="1608"/>
      <c r="AF56" s="1608"/>
      <c r="AG56" s="1608"/>
      <c r="AH56" s="1608"/>
      <c r="AI56" s="1608"/>
      <c r="AJ56" s="1608"/>
      <c r="AK56" s="1608"/>
      <c r="AL56" s="1608"/>
      <c r="AM56" s="1608"/>
      <c r="AO56" s="1908"/>
      <c r="AP56" s="1908" t="str">
        <f>IF(T56="","",T56)</f>
        <v>Добавить территорию для дифференциации</v>
      </c>
      <c r="AQ56" s="1908"/>
      <c r="AR56" s="1908"/>
      <c r="AS56" s="1920">
        <v>1</v>
      </c>
    </row>
    <row s="14158" customFormat="1" customHeight="1" ht="1.05">
      <c r="A57" s="2258"/>
      <c r="B57" s="2258"/>
      <c r="C57" s="2258"/>
      <c r="D57" s="2258"/>
      <c r="E57" s="1551"/>
      <c r="F57" s="2258"/>
      <c r="G57" s="2258"/>
      <c r="H57" s="2258"/>
      <c r="I57" s="2258"/>
      <c r="J57" s="2258"/>
      <c r="K57" s="2258"/>
      <c r="L57" s="1664"/>
      <c r="M57" s="2259"/>
      <c r="N57" s="2259"/>
      <c r="O57" s="1919"/>
      <c r="P57" s="1600"/>
      <c r="Q57" s="1601"/>
      <c r="R57" s="1600"/>
      <c r="S57" s="1606"/>
      <c r="T57" s="1609" t="s">
        <v>172</v>
      </c>
      <c r="U57" s="1608"/>
      <c r="V57" s="1608"/>
      <c r="W57" s="1608"/>
      <c r="X57" s="1608"/>
      <c r="Y57" s="1608"/>
      <c r="Z57" s="1608"/>
      <c r="AA57" s="1608"/>
      <c r="AB57" s="1608"/>
      <c r="AC57" s="1608"/>
      <c r="AD57" s="1608"/>
      <c r="AE57" s="1608"/>
      <c r="AF57" s="1608"/>
      <c r="AG57" s="1608"/>
      <c r="AH57" s="1608"/>
      <c r="AI57" s="1608"/>
      <c r="AJ57" s="1608"/>
      <c r="AK57" s="1608"/>
      <c r="AL57" s="1608"/>
      <c r="AM57" s="1608"/>
      <c r="AO57" s="1535"/>
      <c r="AP57" s="1535" t="str">
        <f>IF(T57="","",T57)</f>
        <v>Добавить наименование тарифа</v>
      </c>
      <c r="AQ57" s="1535"/>
      <c r="AR57" s="1535"/>
      <c r="AS57" s="1926">
        <v>1</v>
      </c>
    </row>
    <row customHeight="1" ht="11.549999999999999">
      <c r="M58" s="1915"/>
      <c r="N58" s="1915"/>
      <c r="O58" s="1919"/>
      <c r="P58" s="1915"/>
      <c r="Q58" s="1915"/>
      <c r="R58" s="1915"/>
      <c r="S58" s="1915"/>
      <c r="AN58" s="1915"/>
      <c r="AO58" s="1915"/>
      <c r="AP58" s="1915"/>
      <c r="AQ58" s="1915"/>
      <c r="AR58" s="1915"/>
      <c r="AS58" s="1915">
        <v>11</v>
      </c>
    </row>
    <row customHeight="1" ht="28.5">
      <c r="O59" s="1919"/>
      <c r="S59" s="1537"/>
      <c r="T59" s="2569"/>
      <c r="U59" s="2569"/>
      <c r="V59" s="2569"/>
      <c r="W59" s="2569"/>
      <c r="X59" s="2569"/>
      <c r="Y59" s="2569"/>
      <c r="Z59" s="2569"/>
      <c r="AA59" s="2569"/>
      <c r="AB59" s="2569"/>
      <c r="AC59" s="2569"/>
      <c r="AD59" s="2569"/>
      <c r="AE59" s="2569"/>
      <c r="AF59" s="2569"/>
      <c r="AG59" s="2569"/>
      <c r="AH59" s="2569"/>
      <c r="AI59" s="2569"/>
      <c r="AJ59" s="2569"/>
      <c r="AK59" s="2569"/>
      <c r="AL59" s="2569"/>
      <c r="AM59" s="2569"/>
      <c r="AS59" s="1915">
        <v>27</v>
      </c>
    </row>
    <row customHeight="1" ht="65.25">
      <c r="O60" s="1919"/>
      <c r="T60" s="2569"/>
      <c r="U60" s="2569"/>
      <c r="V60" s="2569"/>
      <c r="W60" s="2569"/>
      <c r="X60" s="2569"/>
      <c r="Y60" s="2569"/>
      <c r="Z60" s="2569"/>
      <c r="AA60" s="2569"/>
      <c r="AB60" s="2569"/>
      <c r="AC60" s="2569"/>
      <c r="AD60" s="2569"/>
      <c r="AE60" s="2569"/>
      <c r="AF60" s="2569"/>
      <c r="AG60" s="2569"/>
      <c r="AH60" s="2569"/>
      <c r="AI60" s="2569"/>
      <c r="AJ60" s="2569"/>
      <c r="AK60" s="2569"/>
      <c r="AL60" s="2569"/>
      <c r="AM60" s="2569"/>
      <c r="AS60" s="1915">
        <v>62</v>
      </c>
    </row>
    <row customHeight="1" ht="14.699999999999998">
      <c r="O61" s="1919"/>
      <c r="AS61" s="1915">
        <v>14</v>
      </c>
    </row>
    <row customHeight="1" ht="18.75">
      <c r="O62" s="1919"/>
      <c r="S62" s="1537"/>
      <c r="T62" s="2569"/>
      <c r="U62" s="2569"/>
      <c r="V62" s="2569"/>
      <c r="W62" s="2569"/>
      <c r="X62" s="2569"/>
      <c r="Y62" s="2569"/>
      <c r="Z62" s="2569"/>
      <c r="AA62" s="2569"/>
      <c r="AB62" s="2569"/>
      <c r="AC62" s="2569"/>
      <c r="AD62" s="2569"/>
      <c r="AE62" s="2569"/>
      <c r="AF62" s="2569"/>
      <c r="AG62" s="2569"/>
      <c r="AH62" s="2569"/>
      <c r="AI62" s="2569"/>
      <c r="AJ62" s="2569"/>
      <c r="AK62" s="2569"/>
      <c r="AL62" s="2569"/>
      <c r="AM62" s="2569"/>
      <c r="AS62" s="1915">
        <v>18</v>
      </c>
    </row>
    <row customHeight="1" ht="18.75">
      <c r="O63" s="1919"/>
      <c r="T63" s="2569"/>
      <c r="U63" s="2569"/>
      <c r="V63" s="2569"/>
      <c r="W63" s="2569"/>
      <c r="X63" s="2569"/>
      <c r="Y63" s="2569"/>
      <c r="Z63" s="2569"/>
      <c r="AA63" s="2569"/>
      <c r="AB63" s="2569"/>
      <c r="AC63" s="2569"/>
      <c r="AD63" s="2569"/>
      <c r="AE63" s="2569"/>
      <c r="AF63" s="2569"/>
      <c r="AG63" s="2569"/>
      <c r="AH63" s="2569"/>
      <c r="AI63" s="2569"/>
      <c r="AJ63" s="2569"/>
      <c r="AK63" s="2569"/>
      <c r="AL63" s="2569"/>
      <c r="AM63" s="2569"/>
      <c r="AS63" s="1915">
        <v>18</v>
      </c>
    </row>
    <row customHeight="1" ht="29.25">
      <c r="O64" s="1919"/>
      <c r="S64" s="1537"/>
      <c r="T64" s="2569"/>
      <c r="U64" s="2569"/>
      <c r="V64" s="2569"/>
      <c r="W64" s="2569"/>
      <c r="X64" s="2569"/>
      <c r="Y64" s="2569"/>
      <c r="Z64" s="2569"/>
      <c r="AA64" s="2569"/>
      <c r="AB64" s="2569"/>
      <c r="AC64" s="2569"/>
      <c r="AD64" s="2569"/>
      <c r="AE64" s="2569"/>
      <c r="AF64" s="2569"/>
      <c r="AG64" s="2569"/>
      <c r="AH64" s="2569"/>
      <c r="AI64" s="2569"/>
      <c r="AJ64" s="2569"/>
      <c r="AK64" s="2569"/>
      <c r="AL64" s="2569"/>
      <c r="AM64" s="2569"/>
      <c r="AS64" s="1915">
        <v>28</v>
      </c>
    </row>
    <row customHeight="1" ht="22.5" hidden="1">
      <c r="A65" s="1915" t="s">
        <v>83</v>
      </c>
      <c r="B65" s="1915">
        <v>0</v>
      </c>
      <c r="C65" s="1915">
        <v>0</v>
      </c>
      <c r="D65" s="1915">
        <v>0</v>
      </c>
      <c r="E65" s="1915">
        <v>0</v>
      </c>
      <c r="F65" s="1915">
        <v>0</v>
      </c>
      <c r="G65" s="1915">
        <v>0</v>
      </c>
      <c r="H65" s="1915">
        <v>0</v>
      </c>
      <c r="I65" s="1915">
        <v>0</v>
      </c>
      <c r="J65" s="1915">
        <v>0</v>
      </c>
      <c r="K65" s="1915">
        <v>0</v>
      </c>
      <c r="L65" s="2223">
        <v>0</v>
      </c>
      <c r="M65" s="2249">
        <v>0</v>
      </c>
      <c r="N65" s="2249">
        <v>0</v>
      </c>
      <c r="O65" s="2249">
        <v>0</v>
      </c>
      <c r="P65" s="2249">
        <v>3</v>
      </c>
      <c r="Q65" s="628">
        <v>3</v>
      </c>
      <c r="R65" s="628">
        <v>3</v>
      </c>
      <c r="S65" s="865">
        <v>12</v>
      </c>
      <c r="T65" s="1915">
        <v>31</v>
      </c>
      <c r="U65" s="1915">
        <v>0</v>
      </c>
      <c r="V65" s="1915">
        <v>0</v>
      </c>
      <c r="W65" s="1915">
        <v>0</v>
      </c>
      <c r="X65" s="1915">
        <v>0</v>
      </c>
      <c r="Y65" s="1915">
        <v>0</v>
      </c>
      <c r="Z65" s="1915">
        <v>0</v>
      </c>
      <c r="AA65" s="1915">
        <v>0</v>
      </c>
      <c r="AB65" s="1915">
        <v>0</v>
      </c>
      <c r="AC65" s="1915">
        <v>0</v>
      </c>
      <c r="AD65" s="1915">
        <v>24</v>
      </c>
      <c r="AE65" s="1915">
        <v>0</v>
      </c>
      <c r="AF65" s="1915">
        <v>24</v>
      </c>
      <c r="AG65" s="1915">
        <v>24</v>
      </c>
      <c r="AH65" s="1915">
        <v>11</v>
      </c>
      <c r="AI65" s="1915">
        <v>3</v>
      </c>
      <c r="AJ65" s="1915">
        <v>11</v>
      </c>
      <c r="AK65" s="1915">
        <v>0</v>
      </c>
      <c r="AL65" s="1915">
        <v>4</v>
      </c>
      <c r="AM65" s="1915">
        <v>115</v>
      </c>
      <c r="AN65" s="1920">
        <v>10</v>
      </c>
      <c r="AO65" s="1920">
        <v>10</v>
      </c>
      <c r="AP65" s="1920">
        <v>10</v>
      </c>
      <c r="AQ65" s="1920">
        <v>10</v>
      </c>
      <c r="AR65" s="1920">
        <v>10</v>
      </c>
      <c r="AS65" s="1915">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3DEE139-0C9D-1868-2E79-B1AD0C495938}"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4157" width="10.57421875" hidden="1"/>
    <col min="2" max="2" style="14157" width="11.00390625" hidden="1" customWidth="1"/>
    <col min="3" max="3" style="14157" width="10.57421875" hidden="1"/>
    <col min="4" max="4" style="14157" width="11.8515625" hidden="1" customWidth="1"/>
    <col min="5" max="5" style="14157" width="10.00390625" hidden="1" customWidth="1"/>
    <col min="6" max="6" style="14157" width="8.7109375" hidden="1" customWidth="1"/>
    <col min="7" max="7" style="14157" width="7.57421875" hidden="1" customWidth="1"/>
    <col min="8" max="8" style="14157" width="11.421875" hidden="1" customWidth="1"/>
    <col min="9" max="9" style="14157" width="12.00390625" hidden="1" customWidth="1"/>
    <col min="10" max="10" style="14157" width="9.8515625" hidden="1" customWidth="1"/>
    <col min="11" max="11" style="14157" width="11.421875" hidden="1" customWidth="1"/>
    <col min="12" max="12" style="14974" width="19.140625" hidden="1" customWidth="1"/>
    <col min="13" max="14" style="14975" width="12.28125" hidden="1" customWidth="1"/>
    <col min="15" max="15" style="14975" width="23.421875" hidden="1" customWidth="1"/>
    <col min="16" max="16" style="14976" width="3.00390625" customWidth="1"/>
    <col min="17" max="18" style="14977" width="3.00390625" customWidth="1"/>
    <col min="19" max="19" style="14978" width="12.00390625" customWidth="1"/>
    <col min="20" max="20" style="14077" width="31.00390625" customWidth="1"/>
    <col min="21" max="21" style="14077" width="0.7109375" hidden="1" customWidth="1"/>
    <col min="22" max="22" style="14077" width="1.7109375" hidden="1" customWidth="1"/>
    <col min="23" max="23" style="14077" width="24.7109375" hidden="1" customWidth="1"/>
    <col min="24" max="25" style="14077" width="0.140625" hidden="1" customWidth="1"/>
    <col min="26" max="26" style="14077" width="11.7109375" hidden="1" customWidth="1"/>
    <col min="27" max="27" style="14077" width="3.7109375" hidden="1" customWidth="1"/>
    <col min="28" max="28" style="14077" width="11.7109375" hidden="1" customWidth="1"/>
    <col min="29" max="29" style="14077" width="8.57421875" hidden="1" customWidth="1"/>
    <col min="30" max="30" style="14077" width="0.140625" customWidth="1"/>
    <col min="31" max="31" style="14077" width="24.00390625" customWidth="1"/>
    <col min="32" max="33" style="14077" width="0.140625" customWidth="1"/>
    <col min="34" max="34" style="14077" width="11.00390625" customWidth="1"/>
    <col min="35" max="35" style="14077" width="3.7109375" customWidth="1"/>
    <col min="36" max="36" style="14077" width="11.00390625" customWidth="1"/>
    <col min="37" max="37" style="14077" width="8.57421875" hidden="1" customWidth="1"/>
    <col min="38" max="38" style="14077" width="4.00390625" customWidth="1"/>
    <col min="39" max="39" style="14077" width="115.00390625" customWidth="1"/>
    <col min="40" max="44" style="14158" width="10.00390625" customWidth="1"/>
    <col min="45" max="45" style="14077" width="10.57421875" hidden="1"/>
  </cols>
  <sheetData>
    <row customHeight="1" ht="22.5" hidden="1">
      <c r="Y1" s="611"/>
      <c r="Z1" s="611"/>
      <c r="AG1" s="611"/>
      <c r="AH1" s="611"/>
      <c r="AS1" s="1439" t="s">
        <v>14</v>
      </c>
    </row>
    <row customHeight="1" ht="21" hidden="1">
      <c r="A2" s="1647"/>
      <c r="B2" s="1647"/>
      <c r="C2" s="1647"/>
      <c r="D2" s="1647"/>
      <c r="E2" s="2542">
        <v>1</v>
      </c>
      <c r="F2" s="1647"/>
      <c r="G2" s="1647"/>
      <c r="H2" s="1647"/>
      <c r="I2" s="1647"/>
      <c r="J2" s="1647"/>
      <c r="K2" s="1647"/>
      <c r="L2" s="1648"/>
      <c r="M2" s="1649"/>
      <c r="N2" s="1649"/>
      <c r="O2" s="1649"/>
      <c r="P2" s="645"/>
      <c r="Q2" s="644"/>
      <c r="R2" s="639"/>
      <c r="S2" s="1620">
        <f>INDEX(PT_DIFFERENTIATION_NUM_NTAR,MATCH(A2,PT_DIFFERENTIATION_NTAR_ID,0))</f>
      </c>
      <c r="T2" s="582" t="s">
        <v>124</v>
      </c>
      <c r="U2" s="584"/>
      <c r="V2" s="2526"/>
      <c r="W2" s="2527"/>
      <c r="X2" s="2527"/>
      <c r="Y2" s="2527"/>
      <c r="Z2" s="2527"/>
      <c r="AA2" s="2527"/>
      <c r="AB2" s="2527"/>
      <c r="AC2" s="2528"/>
      <c r="AD2" s="2526">
        <f>INDEX(PT_DIFFERENTIATION_NTAR,MATCH(A2,PT_DIFFERENTIATION_NTAR_ID,0))</f>
      </c>
      <c r="AE2" s="2527"/>
      <c r="AF2" s="2527"/>
      <c r="AG2" s="2527"/>
      <c r="AH2" s="2527"/>
      <c r="AI2" s="2527"/>
      <c r="AJ2" s="2527"/>
      <c r="AK2" s="2527"/>
      <c r="AL2" s="2528"/>
      <c r="AM2" s="1542" t="s">
        <v>401</v>
      </c>
      <c r="AO2" s="784"/>
      <c r="AP2" s="784" t="str">
        <f>IF(T2="","",T2)</f>
        <v>Наименование тарифа</v>
      </c>
      <c r="AQ2" s="784"/>
      <c r="AR2" s="784"/>
      <c r="AS2" s="1439">
        <v>0</v>
      </c>
    </row>
    <row customHeight="1" ht="21" hidden="1">
      <c r="A3" s="1647"/>
      <c r="B3" s="1647"/>
      <c r="C3" s="1647"/>
      <c r="D3" s="1647"/>
      <c r="E3" s="2543"/>
      <c r="F3" s="2542">
        <v>1</v>
      </c>
      <c r="G3" s="1647"/>
      <c r="H3" s="1647"/>
      <c r="I3" s="1647"/>
      <c r="J3" s="1647"/>
      <c r="K3" s="1647"/>
      <c r="L3" s="1648"/>
      <c r="M3" s="1649"/>
      <c r="N3" s="1649"/>
      <c r="O3" s="1649"/>
      <c r="P3" s="1616"/>
      <c r="Q3" s="636"/>
      <c r="R3" s="637"/>
      <c r="S3" s="1620">
        <f>INDEX(PT_DIFFERENTIATION_NUM_TER,MATCH(B3,PT_DIFFERENTIATION_TER_ID,0))</f>
      </c>
      <c r="T3" s="592" t="s">
        <v>402</v>
      </c>
      <c r="U3" s="584"/>
      <c r="V3" s="2526"/>
      <c r="W3" s="2527"/>
      <c r="X3" s="2527"/>
      <c r="Y3" s="2527"/>
      <c r="Z3" s="2527"/>
      <c r="AA3" s="2527"/>
      <c r="AB3" s="2527"/>
      <c r="AC3" s="2528"/>
      <c r="AD3" s="2526">
        <f>INDEX(PT_DIFFERENTIATION_TER,MATCH(B3,PT_DIFFERENTIATION_TER_ID,0))</f>
      </c>
      <c r="AE3" s="2527"/>
      <c r="AF3" s="2527"/>
      <c r="AG3" s="2527"/>
      <c r="AH3" s="2527"/>
      <c r="AI3" s="2527"/>
      <c r="AJ3" s="2527"/>
      <c r="AK3" s="2527"/>
      <c r="AL3" s="2528"/>
      <c r="AM3" s="1542" t="s">
        <v>403</v>
      </c>
      <c r="AO3" s="784"/>
      <c r="AP3" s="784" t="str">
        <f>IF(T3="","",T3)</f>
        <v>Территория действия тарифа</v>
      </c>
      <c r="AQ3" s="784"/>
      <c r="AR3" s="784"/>
      <c r="AS3" s="1439">
        <v>0</v>
      </c>
    </row>
    <row customHeight="1" ht="23.25" hidden="1">
      <c r="A4" s="1647"/>
      <c r="B4" s="1647"/>
      <c r="C4" s="1647"/>
      <c r="D4" s="1647"/>
      <c r="E4" s="2543"/>
      <c r="F4" s="2543"/>
      <c r="G4" s="2542">
        <v>1</v>
      </c>
      <c r="H4" s="1647"/>
      <c r="I4" s="1647"/>
      <c r="J4" s="1647"/>
      <c r="K4" s="1647"/>
      <c r="L4" s="1648"/>
      <c r="M4" s="1649"/>
      <c r="N4" s="1649"/>
      <c r="O4" s="1649"/>
      <c r="P4" s="638"/>
      <c r="Q4" s="636"/>
      <c r="R4" s="637"/>
      <c r="S4" s="1620">
        <f>INDEX(PT_DIFFERENTIATION_NUM_CS,MATCH(C4,PT_DIFFERENTIATION_CS_ID,0))</f>
      </c>
      <c r="T4" s="593" t="s">
        <v>404</v>
      </c>
      <c r="U4" s="584"/>
      <c r="V4" s="2526"/>
      <c r="W4" s="2527"/>
      <c r="X4" s="2527"/>
      <c r="Y4" s="2527"/>
      <c r="Z4" s="2527"/>
      <c r="AA4" s="2527"/>
      <c r="AB4" s="2527"/>
      <c r="AC4" s="2528"/>
      <c r="AD4" s="2526">
        <f>INDEX(PT_DIFFERENTIATION_CS,MATCH(C4,PT_DIFFERENTIATION_CS_ID,0))</f>
      </c>
      <c r="AE4" s="2527"/>
      <c r="AF4" s="2527"/>
      <c r="AG4" s="2527"/>
      <c r="AH4" s="2527"/>
      <c r="AI4" s="2527"/>
      <c r="AJ4" s="2527"/>
      <c r="AK4" s="2527"/>
      <c r="AL4" s="2528"/>
      <c r="AM4" s="1542" t="s">
        <v>405</v>
      </c>
      <c r="AO4" s="784"/>
      <c r="AP4" s="784" t="str">
        <f>IF(T4="","",T4)</f>
        <v>Наименование системы теплоснабжения </v>
      </c>
      <c r="AQ4" s="784"/>
      <c r="AR4" s="784"/>
      <c r="AS4" s="1439">
        <v>0</v>
      </c>
    </row>
    <row customHeight="1" ht="21" hidden="1">
      <c r="A5" s="1647"/>
      <c r="B5" s="1647"/>
      <c r="C5" s="1647"/>
      <c r="D5" s="1647"/>
      <c r="E5" s="2543"/>
      <c r="F5" s="2543"/>
      <c r="G5" s="2543"/>
      <c r="H5" s="2542">
        <v>1</v>
      </c>
      <c r="I5" s="1647"/>
      <c r="J5" s="1647"/>
      <c r="K5" s="1647"/>
      <c r="L5" s="1648"/>
      <c r="M5" s="1649"/>
      <c r="N5" s="1649"/>
      <c r="O5" s="1649"/>
      <c r="P5" s="638"/>
      <c r="Q5" s="636"/>
      <c r="R5" s="637"/>
      <c r="S5" s="1620">
        <f>INDEX(PT_DIFFERENTIATION_NUM_IST_TE,MATCH(D5,PT_DIFFERENTIATION_IST_TE_ID,0))</f>
      </c>
      <c r="T5" s="594" t="s">
        <v>406</v>
      </c>
      <c r="U5" s="584"/>
      <c r="V5" s="2526"/>
      <c r="W5" s="2527"/>
      <c r="X5" s="2527"/>
      <c r="Y5" s="2527"/>
      <c r="Z5" s="2527"/>
      <c r="AA5" s="2527"/>
      <c r="AB5" s="2527"/>
      <c r="AC5" s="2528"/>
      <c r="AD5" s="2526">
        <f>INDEX(PT_DIFFERENTIATION_IST_TE,MATCH(D5,PT_DIFFERENTIATION_IST_TE_ID,0))</f>
      </c>
      <c r="AE5" s="2527"/>
      <c r="AF5" s="2527"/>
      <c r="AG5" s="2527"/>
      <c r="AH5" s="2527"/>
      <c r="AI5" s="2527"/>
      <c r="AJ5" s="2527"/>
      <c r="AK5" s="2527"/>
      <c r="AL5" s="2528"/>
      <c r="AM5" s="1542" t="s">
        <v>407</v>
      </c>
      <c r="AO5" s="784"/>
      <c r="AP5" s="784" t="str">
        <f>IF(T5="","",T5)</f>
        <v>Источник тепловой энергии  </v>
      </c>
      <c r="AQ5" s="784"/>
      <c r="AR5" s="784"/>
      <c r="AS5" s="1439">
        <v>0</v>
      </c>
    </row>
    <row customHeight="1" ht="47.25" hidden="1">
      <c r="A6" s="1647"/>
      <c r="B6" s="1647"/>
      <c r="C6" s="1647"/>
      <c r="D6" s="1647"/>
      <c r="E6" s="2543"/>
      <c r="F6" s="2543"/>
      <c r="G6" s="2543"/>
      <c r="H6" s="2543"/>
      <c r="I6" s="2540">
        <f>S5&amp;".1"</f>
      </c>
      <c r="J6" s="1647"/>
      <c r="K6" s="1647"/>
      <c r="L6" s="1648" t="s">
        <v>408</v>
      </c>
      <c r="M6" s="821"/>
      <c r="P6" s="2541">
        <v>1</v>
      </c>
      <c r="Q6" s="1615"/>
      <c r="R6" s="640"/>
      <c r="S6" s="1620">
        <f>$I6</f>
      </c>
      <c r="T6" s="569" t="s">
        <v>409</v>
      </c>
      <c r="U6" s="584"/>
      <c r="V6" s="2529"/>
      <c r="W6" s="2530"/>
      <c r="X6" s="2530"/>
      <c r="Y6" s="2530"/>
      <c r="Z6" s="2530"/>
      <c r="AA6" s="2530"/>
      <c r="AB6" s="2530"/>
      <c r="AC6" s="2531"/>
      <c r="AD6" s="2529"/>
      <c r="AE6" s="2530"/>
      <c r="AF6" s="2530"/>
      <c r="AG6" s="2530"/>
      <c r="AH6" s="2530"/>
      <c r="AI6" s="2530"/>
      <c r="AJ6" s="2530"/>
      <c r="AK6" s="2530"/>
      <c r="AL6" s="2531"/>
      <c r="AM6" s="1542" t="s">
        <v>410</v>
      </c>
      <c r="AO6" s="784"/>
      <c r="AP6" s="784" t="str">
        <f>IF(T6="","",T6)</f>
        <v>Схема подключения теплопотребляющей установки к коллектору источника тепловой энергии</v>
      </c>
      <c r="AQ6" s="784"/>
      <c r="AR6" s="784"/>
      <c r="AS6" s="1439">
        <v>0</v>
      </c>
    </row>
    <row customHeight="1" ht="21" hidden="1">
      <c r="A7" s="1647"/>
      <c r="B7" s="1647"/>
      <c r="C7" s="1647"/>
      <c r="D7" s="1647"/>
      <c r="E7" s="2543"/>
      <c r="F7" s="2543"/>
      <c r="G7" s="2543"/>
      <c r="H7" s="2543"/>
      <c r="I7" s="2570"/>
      <c r="J7" s="2540">
        <f>I6&amp;".1"</f>
      </c>
      <c r="K7" s="1647"/>
      <c r="L7" s="1648" t="s">
        <v>411</v>
      </c>
      <c r="M7" s="821"/>
      <c r="N7" s="1650"/>
      <c r="P7" s="2541"/>
      <c r="Q7" s="2541">
        <v>1</v>
      </c>
      <c r="R7" s="641"/>
      <c r="S7" s="1620">
        <f>$J7</f>
      </c>
      <c r="T7" s="570" t="s">
        <v>412</v>
      </c>
      <c r="U7" s="584"/>
      <c r="V7" s="2529"/>
      <c r="W7" s="2530"/>
      <c r="X7" s="2530"/>
      <c r="Y7" s="2530"/>
      <c r="Z7" s="2530"/>
      <c r="AA7" s="2530"/>
      <c r="AB7" s="2530"/>
      <c r="AC7" s="2531"/>
      <c r="AD7" s="2529"/>
      <c r="AE7" s="2530"/>
      <c r="AF7" s="2530"/>
      <c r="AG7" s="2530"/>
      <c r="AH7" s="2530"/>
      <c r="AI7" s="2530"/>
      <c r="AJ7" s="2530"/>
      <c r="AK7" s="2530"/>
      <c r="AL7" s="2531"/>
      <c r="AM7" s="1542" t="s">
        <v>413</v>
      </c>
      <c r="AO7" s="784"/>
      <c r="AP7" s="784" t="str">
        <f>IF(T7="","",T7)</f>
        <v>Группа потребителей</v>
      </c>
      <c r="AQ7" s="784"/>
      <c r="AR7" s="784"/>
      <c r="AS7" s="1439">
        <v>0</v>
      </c>
    </row>
    <row customHeight="1" ht="21" hidden="1">
      <c r="A8" s="1647"/>
      <c r="B8" s="1647"/>
      <c r="C8" s="1647"/>
      <c r="D8" s="1647"/>
      <c r="E8" s="2543"/>
      <c r="F8" s="2543"/>
      <c r="G8" s="2543"/>
      <c r="H8" s="2543"/>
      <c r="I8" s="2570"/>
      <c r="J8" s="2570"/>
      <c r="K8" s="2540">
        <f>J7&amp;".1"</f>
      </c>
      <c r="L8" s="1648" t="s">
        <v>414</v>
      </c>
      <c r="M8" s="821"/>
      <c r="N8" s="1650"/>
      <c r="O8" s="1650"/>
      <c r="P8" s="2541"/>
      <c r="Q8" s="2541"/>
      <c r="R8" s="641">
        <v>1</v>
      </c>
      <c r="S8" s="1620">
        <f>$K8</f>
      </c>
      <c r="T8" s="1631"/>
      <c r="U8" s="584"/>
      <c r="V8" s="609"/>
      <c r="W8" s="1035"/>
      <c r="X8" s="609"/>
      <c r="Y8" s="668"/>
      <c r="Z8" s="2549"/>
      <c r="AA8" s="2391" t="s">
        <v>67</v>
      </c>
      <c r="AB8" s="2549"/>
      <c r="AC8" s="2391" t="s">
        <v>67</v>
      </c>
      <c r="AD8" s="609"/>
      <c r="AE8" s="1035"/>
      <c r="AF8" s="609"/>
      <c r="AG8" s="668"/>
      <c r="AH8" s="2549"/>
      <c r="AI8" s="2391" t="s">
        <v>67</v>
      </c>
      <c r="AJ8" s="2549"/>
      <c r="AK8" s="2391" t="s">
        <v>67</v>
      </c>
      <c r="AL8" s="609"/>
      <c r="AM8" s="2537" t="s">
        <v>415</v>
      </c>
      <c r="AN8" s="795">
        <f>STRCHECKDATE(V9:AL9)</f>
      </c>
      <c r="AO8" s="784"/>
      <c r="AP8" s="784" t="str">
        <f>IF(T8="","",T8)</f>
        <v/>
      </c>
      <c r="AQ8" s="784"/>
      <c r="AR8" s="784"/>
      <c r="AS8" s="1439">
        <v>0</v>
      </c>
    </row>
    <row customHeight="1" ht="0.75" hidden="1">
      <c r="A9" s="1647"/>
      <c r="B9" s="1647"/>
      <c r="C9" s="1647"/>
      <c r="D9" s="1647"/>
      <c r="E9" s="2543"/>
      <c r="F9" s="2543"/>
      <c r="G9" s="2543"/>
      <c r="H9" s="2543"/>
      <c r="I9" s="2570"/>
      <c r="J9" s="2570"/>
      <c r="K9" s="2540"/>
      <c r="L9" s="1648"/>
      <c r="M9" s="821"/>
      <c r="N9" s="1650"/>
      <c r="O9" s="1650"/>
      <c r="P9" s="2541"/>
      <c r="Q9" s="2541"/>
      <c r="R9" s="641"/>
      <c r="S9" s="1626"/>
      <c r="T9" s="584"/>
      <c r="U9" s="584"/>
      <c r="V9" s="609"/>
      <c r="W9" s="609"/>
      <c r="X9" s="609"/>
      <c r="Y9" s="612" t="str">
        <f>Z8&amp;"-"&amp;AB8</f>
        <v>-</v>
      </c>
      <c r="Z9" s="2550"/>
      <c r="AA9" s="2391"/>
      <c r="AB9" s="2550"/>
      <c r="AC9" s="2391"/>
      <c r="AD9" s="609"/>
      <c r="AE9" s="609"/>
      <c r="AF9" s="609"/>
      <c r="AG9" s="612" t="str">
        <f>AH8&amp;"-"&amp;AJ8</f>
        <v>-</v>
      </c>
      <c r="AH9" s="2550"/>
      <c r="AI9" s="2391"/>
      <c r="AJ9" s="2550"/>
      <c r="AK9" s="2391"/>
      <c r="AL9" s="609"/>
      <c r="AM9" s="2538"/>
      <c r="AO9" s="784"/>
      <c r="AP9" s="784" t="str">
        <f>IF(T9="","",T9)</f>
        <v/>
      </c>
      <c r="AQ9" s="784"/>
      <c r="AR9" s="784"/>
      <c r="AS9" s="1439">
        <v>0</v>
      </c>
    </row>
    <row customHeight="1" ht="15" hidden="1">
      <c r="A10" s="1647"/>
      <c r="B10" s="1647"/>
      <c r="C10" s="1647"/>
      <c r="D10" s="1647"/>
      <c r="E10" s="2543"/>
      <c r="F10" s="2543"/>
      <c r="G10" s="2543"/>
      <c r="H10" s="2543"/>
      <c r="I10" s="2570"/>
      <c r="J10" s="2540"/>
      <c r="K10" s="1647"/>
      <c r="L10" s="1648"/>
      <c r="M10" s="821"/>
      <c r="N10" s="1650"/>
      <c r="P10" s="2541"/>
      <c r="Q10" s="2541"/>
      <c r="R10" s="640"/>
      <c r="S10" s="1562"/>
      <c r="T10" s="572" t="s">
        <v>416</v>
      </c>
      <c r="U10" s="651"/>
      <c r="V10" s="651"/>
      <c r="W10" s="651"/>
      <c r="X10" s="651"/>
      <c r="Y10" s="651"/>
      <c r="Z10" s="651"/>
      <c r="AA10" s="651"/>
      <c r="AB10" s="651"/>
      <c r="AC10" s="651"/>
      <c r="AD10" s="651"/>
      <c r="AE10" s="651"/>
      <c r="AF10" s="651"/>
      <c r="AG10" s="651"/>
      <c r="AH10" s="651"/>
      <c r="AI10" s="651"/>
      <c r="AJ10" s="651"/>
      <c r="AK10" s="651"/>
      <c r="AL10" s="608"/>
      <c r="AM10" s="2539"/>
      <c r="AO10" s="784"/>
      <c r="AP10" s="784" t="str">
        <f>IF(T10="","",T10)</f>
        <v>Добавить вид теплоносителя (параметры теплоносителя)</v>
      </c>
      <c r="AQ10" s="784"/>
      <c r="AR10" s="784"/>
      <c r="AS10" s="1439">
        <v>0</v>
      </c>
    </row>
    <row customHeight="1" ht="15" hidden="1">
      <c r="A11" s="1647"/>
      <c r="B11" s="1647"/>
      <c r="C11" s="1647"/>
      <c r="D11" s="1647"/>
      <c r="E11" s="2543"/>
      <c r="F11" s="2543"/>
      <c r="G11" s="2543"/>
      <c r="H11" s="2543"/>
      <c r="I11" s="2540"/>
      <c r="J11" s="1647"/>
      <c r="K11" s="1647"/>
      <c r="L11" s="1648"/>
      <c r="M11" s="821"/>
      <c r="P11" s="2541"/>
      <c r="Q11" s="1615"/>
      <c r="R11" s="640"/>
      <c r="S11" s="1562"/>
      <c r="T11" s="571" t="s">
        <v>417</v>
      </c>
      <c r="U11" s="651"/>
      <c r="V11" s="651"/>
      <c r="W11" s="651"/>
      <c r="X11" s="651"/>
      <c r="Y11" s="651"/>
      <c r="Z11" s="651"/>
      <c r="AA11" s="651"/>
      <c r="AB11" s="651"/>
      <c r="AC11" s="650"/>
      <c r="AD11" s="651"/>
      <c r="AE11" s="651"/>
      <c r="AF11" s="651"/>
      <c r="AG11" s="651"/>
      <c r="AH11" s="651"/>
      <c r="AI11" s="651"/>
      <c r="AJ11" s="651"/>
      <c r="AK11" s="650"/>
      <c r="AL11" s="651"/>
      <c r="AM11" s="587"/>
      <c r="AO11" s="784"/>
      <c r="AP11" s="784" t="str">
        <f>IF(T11="","",T11)</f>
        <v>Добавить группу потребителей</v>
      </c>
      <c r="AQ11" s="784"/>
      <c r="AR11" s="784"/>
      <c r="AS11" s="1439">
        <v>0</v>
      </c>
    </row>
    <row customHeight="1" ht="14.25" hidden="1">
      <c r="A12" s="1647"/>
      <c r="B12" s="1647"/>
      <c r="C12" s="1647"/>
      <c r="D12" s="1647"/>
      <c r="E12" s="2543"/>
      <c r="F12" s="2543"/>
      <c r="G12" s="2543"/>
      <c r="H12" s="2542"/>
      <c r="I12" s="1647"/>
      <c r="J12" s="1647"/>
      <c r="K12" s="1647"/>
      <c r="L12" s="1648"/>
      <c r="M12" s="1649"/>
      <c r="N12" s="1649"/>
      <c r="O12" s="821"/>
      <c r="P12" s="644"/>
      <c r="Q12" s="659"/>
      <c r="R12" s="639"/>
      <c r="S12" s="1562"/>
      <c r="T12" s="649" t="s">
        <v>418</v>
      </c>
      <c r="U12" s="651"/>
      <c r="V12" s="651"/>
      <c r="W12" s="651"/>
      <c r="X12" s="651"/>
      <c r="Y12" s="651"/>
      <c r="Z12" s="651"/>
      <c r="AA12" s="651"/>
      <c r="AB12" s="651"/>
      <c r="AC12" s="650"/>
      <c r="AD12" s="651"/>
      <c r="AE12" s="651"/>
      <c r="AF12" s="651"/>
      <c r="AG12" s="651"/>
      <c r="AH12" s="651"/>
      <c r="AI12" s="651"/>
      <c r="AJ12" s="651"/>
      <c r="AK12" s="650"/>
      <c r="AL12" s="651"/>
      <c r="AM12" s="587"/>
      <c r="AO12" s="784"/>
      <c r="AP12" s="784" t="str">
        <f>IF(T12="","",T12)</f>
        <v>Добавить схему подключения</v>
      </c>
      <c r="AQ12" s="784"/>
      <c r="AR12" s="784"/>
      <c r="AS12" s="1439">
        <v>0</v>
      </c>
    </row>
    <row s="14158" customFormat="1" customHeight="1" ht="0.75" hidden="1">
      <c r="A13" s="1598"/>
      <c r="B13" s="1598"/>
      <c r="C13" s="1598"/>
      <c r="D13" s="1598"/>
      <c r="E13" s="2543"/>
      <c r="F13" s="2543"/>
      <c r="G13" s="2542"/>
      <c r="H13" s="1598"/>
      <c r="I13" s="1598"/>
      <c r="J13" s="1598"/>
      <c r="K13" s="1598"/>
      <c r="L13" s="1623"/>
      <c r="M13" s="1599"/>
      <c r="N13" s="1599"/>
      <c r="P13" s="1600"/>
      <c r="Q13" s="1601"/>
      <c r="R13" s="1600"/>
      <c r="S13" s="1602"/>
      <c r="T13" s="1603" t="s">
        <v>169</v>
      </c>
      <c r="U13" s="1604"/>
      <c r="V13" s="1604"/>
      <c r="W13" s="1604"/>
      <c r="X13" s="1604"/>
      <c r="Y13" s="1604"/>
      <c r="Z13" s="1604"/>
      <c r="AA13" s="1604"/>
      <c r="AB13" s="1604"/>
      <c r="AC13" s="1604"/>
      <c r="AD13" s="1604"/>
      <c r="AE13" s="1604"/>
      <c r="AF13" s="1604"/>
      <c r="AG13" s="1604"/>
      <c r="AH13" s="1604"/>
      <c r="AI13" s="1604"/>
      <c r="AJ13" s="1604"/>
      <c r="AK13" s="1604"/>
      <c r="AL13" s="1604"/>
      <c r="AM13" s="1604"/>
      <c r="AO13" s="1073"/>
      <c r="AP13" s="1073" t="str">
        <f>IF(T13="","",T13)</f>
        <v>Добавить источник для дифференциации</v>
      </c>
      <c r="AQ13" s="1073"/>
      <c r="AR13" s="1073"/>
      <c r="AS13" s="802">
        <v>0</v>
      </c>
    </row>
    <row s="14158" customFormat="1" customHeight="1" ht="0.75" hidden="1">
      <c r="A14" s="1598"/>
      <c r="B14" s="1598"/>
      <c r="C14" s="1598"/>
      <c r="D14" s="1598"/>
      <c r="E14" s="2543"/>
      <c r="F14" s="2542"/>
      <c r="G14" s="1598"/>
      <c r="H14" s="1598"/>
      <c r="I14" s="1598"/>
      <c r="J14" s="1598"/>
      <c r="K14" s="1598"/>
      <c r="L14" s="1623"/>
      <c r="M14" s="1605"/>
      <c r="N14" s="1605"/>
      <c r="P14" s="1600"/>
      <c r="Q14" s="1601"/>
      <c r="R14" s="1600"/>
      <c r="S14" s="1606"/>
      <c r="T14" s="1607" t="s">
        <v>170</v>
      </c>
      <c r="U14" s="1608"/>
      <c r="V14" s="1608"/>
      <c r="W14" s="1608"/>
      <c r="X14" s="1608"/>
      <c r="Y14" s="1608"/>
      <c r="Z14" s="1608"/>
      <c r="AA14" s="1608"/>
      <c r="AB14" s="1608"/>
      <c r="AC14" s="1608"/>
      <c r="AD14" s="1608"/>
      <c r="AE14" s="1608"/>
      <c r="AF14" s="1608"/>
      <c r="AG14" s="1608"/>
      <c r="AH14" s="1608"/>
      <c r="AI14" s="1608"/>
      <c r="AJ14" s="1608"/>
      <c r="AK14" s="1608"/>
      <c r="AL14" s="1608"/>
      <c r="AM14" s="1608"/>
      <c r="AO14" s="1073"/>
      <c r="AP14" s="1073" t="str">
        <f>IF(T14="","",T14)</f>
        <v>Добавить централизованную систему для дифференциации</v>
      </c>
      <c r="AQ14" s="1073"/>
      <c r="AR14" s="1073"/>
      <c r="AS14" s="802">
        <v>0</v>
      </c>
    </row>
    <row s="14158" customFormat="1" customHeight="1" ht="0.75" hidden="1">
      <c r="A15" s="1598"/>
      <c r="B15" s="1598"/>
      <c r="C15" s="1598"/>
      <c r="D15" s="1598"/>
      <c r="E15" s="2542"/>
      <c r="F15" s="1598"/>
      <c r="G15" s="1598"/>
      <c r="H15" s="1598"/>
      <c r="I15" s="1598"/>
      <c r="J15" s="1598"/>
      <c r="K15" s="1598"/>
      <c r="L15" s="1623"/>
      <c r="M15" s="1605"/>
      <c r="N15" s="1605"/>
      <c r="P15" s="1600"/>
      <c r="Q15" s="1601"/>
      <c r="R15" s="1600"/>
      <c r="S15" s="1606"/>
      <c r="T15" s="1609" t="s">
        <v>171</v>
      </c>
      <c r="U15" s="1608"/>
      <c r="V15" s="1608"/>
      <c r="W15" s="1608"/>
      <c r="X15" s="1608"/>
      <c r="Y15" s="1608"/>
      <c r="Z15" s="1608"/>
      <c r="AA15" s="1608"/>
      <c r="AB15" s="1608"/>
      <c r="AC15" s="1608"/>
      <c r="AD15" s="1608"/>
      <c r="AE15" s="1608"/>
      <c r="AF15" s="1608"/>
      <c r="AG15" s="1608"/>
      <c r="AH15" s="1608"/>
      <c r="AI15" s="1608"/>
      <c r="AJ15" s="1608"/>
      <c r="AK15" s="1608"/>
      <c r="AL15" s="1608"/>
      <c r="AM15" s="1608"/>
      <c r="AO15" s="1073"/>
      <c r="AP15" s="1073" t="str">
        <f>IF(T15="","",T15)</f>
        <v>Добавить территорию для дифференциации</v>
      </c>
      <c r="AQ15" s="1073"/>
      <c r="AR15" s="1073"/>
      <c r="AS15" s="802">
        <v>0</v>
      </c>
    </row>
    <row customHeight="1" ht="14.25" hidden="1">
      <c r="AC16" s="611"/>
      <c r="AK16" s="611"/>
      <c r="AS16" s="1439">
        <v>0</v>
      </c>
    </row>
    <row customHeight="1" ht="14.25" hidden="1">
      <c r="AD17" s="1644"/>
      <c r="AE17" s="1644"/>
      <c r="AF17" s="1644"/>
      <c r="AG17" s="1645"/>
      <c r="AH17" s="2551"/>
      <c r="AI17" s="2552" t="s">
        <v>67</v>
      </c>
      <c r="AJ17" s="2551"/>
      <c r="AK17" s="2552" t="s">
        <v>67</v>
      </c>
      <c r="AS17" s="1439">
        <v>0</v>
      </c>
    </row>
    <row customHeight="1" ht="14.25" hidden="1">
      <c r="AD18" s="1644"/>
      <c r="AE18" s="1644"/>
      <c r="AF18" s="1644"/>
      <c r="AG18" s="612" t="str">
        <f>AH17&amp;"-"&amp;AJ17</f>
        <v>-</v>
      </c>
      <c r="AH18" s="2552"/>
      <c r="AI18" s="2552"/>
      <c r="AJ18" s="2552"/>
      <c r="AK18" s="2552"/>
      <c r="AS18" s="1439">
        <v>0</v>
      </c>
    </row>
    <row customHeight="1" ht="14.25" hidden="1">
      <c r="AK19" s="611"/>
      <c r="AS19" s="1439">
        <v>0</v>
      </c>
    </row>
    <row s="14157" customFormat="1" customHeight="1" ht="22.5" hidden="1">
      <c r="L20" s="1613"/>
      <c r="M20" s="1646"/>
      <c r="N20" s="1646"/>
      <c r="O20" s="1651" t="s">
        <v>419</v>
      </c>
      <c r="P20" s="1646"/>
      <c r="Q20" s="1655"/>
      <c r="R20" s="1655"/>
      <c r="S20" s="1013"/>
      <c r="Z20" s="1651"/>
      <c r="AB20" s="1651"/>
      <c r="AC20" s="1650"/>
      <c r="AH20" s="1651"/>
      <c r="AJ20" s="1651"/>
      <c r="AK20" s="1650"/>
      <c r="AN20" s="795"/>
      <c r="AO20" s="795"/>
      <c r="AP20" s="795"/>
      <c r="AQ20" s="795"/>
      <c r="AR20" s="795"/>
      <c r="AS20" s="1444">
        <v>0</v>
      </c>
    </row>
    <row s="14157" customFormat="1" customHeight="1" ht="14.25" hidden="1">
      <c r="L21" s="1613"/>
      <c r="M21" s="1646"/>
      <c r="N21" s="1646"/>
      <c r="O21" s="1646"/>
      <c r="P21" s="1646"/>
      <c r="Q21" s="1655"/>
      <c r="R21" s="1655"/>
      <c r="S21" s="1013"/>
      <c r="AC21" s="1650"/>
      <c r="AK21" s="1650"/>
      <c r="AN21" s="795"/>
      <c r="AO21" s="795"/>
      <c r="AP21" s="795"/>
      <c r="AQ21" s="795"/>
      <c r="AR21" s="795"/>
      <c r="AS21" s="1444">
        <v>0</v>
      </c>
    </row>
    <row s="14157" customFormat="1" customHeight="1" ht="33.75" hidden="1">
      <c r="L22" s="1613"/>
      <c r="M22" s="1646"/>
      <c r="N22" s="1646"/>
      <c r="O22" s="1648" t="s">
        <v>420</v>
      </c>
      <c r="P22" s="1646"/>
      <c r="Q22" s="1655"/>
      <c r="R22" s="1655"/>
      <c r="S22" s="1013"/>
      <c r="T22" s="1444" t="s">
        <v>421</v>
      </c>
      <c r="AA22" s="470" t="s">
        <v>422</v>
      </c>
      <c r="AC22" s="470" t="s">
        <v>423</v>
      </c>
      <c r="AD22" s="1444" t="s">
        <v>421</v>
      </c>
      <c r="AI22" s="470" t="s">
        <v>424</v>
      </c>
      <c r="AK22" s="470" t="s">
        <v>423</v>
      </c>
      <c r="AN22" s="795"/>
      <c r="AO22" s="795"/>
      <c r="AP22" s="795"/>
      <c r="AQ22" s="795"/>
      <c r="AR22" s="795"/>
      <c r="AS22" s="1444">
        <v>0</v>
      </c>
    </row>
    <row customHeight="1" ht="14.25" hidden="1">
      <c r="O23" s="1648"/>
      <c r="AS23" s="1439">
        <v>0</v>
      </c>
    </row>
    <row customHeight="1" ht="14.25" hidden="1">
      <c r="O24" s="1648"/>
      <c r="AS24" s="1439">
        <v>0</v>
      </c>
    </row>
    <row customHeight="1" ht="14.699999999999998">
      <c r="Q25" s="660"/>
      <c r="R25" s="660"/>
      <c r="S25" s="1559"/>
      <c r="T25" s="647"/>
      <c r="U25" s="647"/>
      <c r="V25" s="793"/>
      <c r="W25" s="793"/>
      <c r="X25" s="793"/>
      <c r="Y25" s="793"/>
      <c r="Z25" s="793"/>
      <c r="AA25" s="793"/>
      <c r="AB25" s="793"/>
      <c r="AC25" s="793"/>
      <c r="AD25" s="793"/>
      <c r="AE25" s="793"/>
      <c r="AF25" s="793"/>
      <c r="AG25" s="793"/>
      <c r="AH25" s="793"/>
      <c r="AI25" s="793"/>
      <c r="AJ25" s="793"/>
      <c r="AK25" s="793"/>
      <c r="AS25" s="1439">
        <v>14</v>
      </c>
    </row>
    <row customHeight="1" ht="29.25">
      <c r="Q26" s="660"/>
      <c r="R26" s="660"/>
      <c r="S26" s="2532"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532"/>
      <c r="U26" s="2532"/>
      <c r="V26" s="2532"/>
      <c r="W26" s="2532"/>
      <c r="X26" s="2532"/>
      <c r="Y26" s="2532"/>
      <c r="Z26" s="2532"/>
      <c r="AA26" s="2532"/>
      <c r="AB26" s="2532"/>
      <c r="AC26" s="2532"/>
      <c r="AD26" s="2532"/>
      <c r="AE26" s="2532"/>
      <c r="AF26" s="2532"/>
      <c r="AG26" s="2532"/>
      <c r="AH26" s="2532"/>
      <c r="AI26" s="2532"/>
      <c r="AJ26" s="2532"/>
      <c r="AK26" s="1527"/>
      <c r="AS26" s="1439">
        <v>28</v>
      </c>
    </row>
    <row customHeight="1" ht="14.699999999999998">
      <c r="Q27" s="660"/>
      <c r="R27" s="660"/>
      <c r="S27" s="2533" t="str">
        <f>IF(org=0,"Не определено",org)</f>
        <v>МУП г. Азова "Теплоэнерго"</v>
      </c>
      <c r="T27" s="2533"/>
      <c r="U27" s="2533"/>
      <c r="V27" s="2533"/>
      <c r="W27" s="2533"/>
      <c r="X27" s="2533"/>
      <c r="Y27" s="2533"/>
      <c r="Z27" s="2533"/>
      <c r="AA27" s="2533"/>
      <c r="AB27" s="2533"/>
      <c r="AC27" s="2533"/>
      <c r="AD27" s="2533"/>
      <c r="AE27" s="2533"/>
      <c r="AF27" s="2533"/>
      <c r="AG27" s="2533"/>
      <c r="AH27" s="2533"/>
      <c r="AI27" s="2533"/>
      <c r="AJ27" s="2533"/>
      <c r="AK27" s="1527"/>
      <c r="AS27" s="1439">
        <v>14</v>
      </c>
    </row>
    <row customHeight="1" ht="14.25" hidden="1">
      <c r="Q28" s="660"/>
      <c r="R28" s="660"/>
      <c r="S28" s="1559"/>
      <c r="T28" s="647"/>
      <c r="U28" s="647"/>
      <c r="V28" s="606"/>
      <c r="W28" s="606"/>
      <c r="X28" s="606"/>
      <c r="Y28" s="606"/>
      <c r="Z28" s="606"/>
      <c r="AA28" s="606"/>
      <c r="AB28" s="606"/>
      <c r="AC28" s="606"/>
      <c r="AD28" s="606"/>
      <c r="AE28" s="606"/>
      <c r="AF28" s="606"/>
      <c r="AG28" s="606"/>
      <c r="AH28" s="606"/>
      <c r="AI28" s="606"/>
      <c r="AJ28" s="606"/>
      <c r="AK28" s="606"/>
      <c r="AL28" s="793"/>
      <c r="AS28" s="1439">
        <v>0</v>
      </c>
    </row>
    <row s="14284" customFormat="1" customHeight="1" ht="25.5" hidden="1">
      <c r="A29" s="1652"/>
      <c r="B29" s="1652"/>
      <c r="C29" s="1652"/>
      <c r="D29" s="1652"/>
      <c r="E29" s="1652"/>
      <c r="F29" s="1652"/>
      <c r="G29" s="1652"/>
      <c r="H29" s="1652"/>
      <c r="I29" s="1652"/>
      <c r="J29" s="1652"/>
      <c r="K29" s="1652"/>
      <c r="L29" s="1653"/>
      <c r="M29" s="1652"/>
      <c r="N29" s="1652"/>
      <c r="O29" s="1652"/>
      <c r="S29" s="2534" t="s">
        <v>42</v>
      </c>
      <c r="T29" s="2534"/>
      <c r="U29" s="1656"/>
      <c r="V29" s="2535" t="str">
        <f>IF(TITLE_NAME_OR_PR_CHANGE="",IF(TITLE_NAME_OR_PR="","",TITLE_NAME_OR_PR),TITLE_NAME_OR_PR_CHANGE)</f>
        <v/>
      </c>
      <c r="W29" s="2535"/>
      <c r="X29" s="2535"/>
      <c r="Y29" s="2535"/>
      <c r="Z29" s="2535"/>
      <c r="AA29" s="2535"/>
      <c r="AB29" s="2535"/>
      <c r="AC29" s="610"/>
      <c r="AD29" s="2535" t="str">
        <f>IF(TITLE_NAME_OR_PR_CHANGE="",IF(TITLE_NAME_OR_PR="","",TITLE_NAME_OR_PR),TITLE_NAME_OR_PR_CHANGE)</f>
        <v/>
      </c>
      <c r="AE29" s="2535"/>
      <c r="AF29" s="2535"/>
      <c r="AG29" s="2535"/>
      <c r="AH29" s="2535"/>
      <c r="AI29" s="2535"/>
      <c r="AJ29" s="2535"/>
      <c r="AK29" s="610"/>
      <c r="AL29" s="610"/>
      <c r="AM29" s="564"/>
      <c r="AN29" s="652"/>
      <c r="AO29" s="652"/>
      <c r="AP29" s="652"/>
      <c r="AQ29" s="652"/>
      <c r="AR29" s="652"/>
      <c r="AS29" s="702">
        <v>0</v>
      </c>
    </row>
    <row s="14284" customFormat="1" customHeight="1" ht="18.75" hidden="1">
      <c r="A30" s="1652"/>
      <c r="B30" s="1652"/>
      <c r="C30" s="1652"/>
      <c r="D30" s="1652"/>
      <c r="E30" s="1652"/>
      <c r="F30" s="1652"/>
      <c r="G30" s="1652"/>
      <c r="H30" s="1652"/>
      <c r="I30" s="1652"/>
      <c r="J30" s="1652"/>
      <c r="K30" s="1652"/>
      <c r="L30" s="1653"/>
      <c r="M30" s="1652"/>
      <c r="N30" s="1652"/>
      <c r="O30" s="1652"/>
      <c r="S30" s="2534" t="s">
        <v>425</v>
      </c>
      <c r="T30" s="2534"/>
      <c r="U30" s="1656"/>
      <c r="V30" s="2548" t="str">
        <f>IF(TITLE_DATE_PR_CHANGE="",IF(TITLE_DATE_PR="","",TITLE_DATE_PR),TITLE_DATE_PR_CHANGE)</f>
        <v>45471</v>
      </c>
      <c r="W30" s="2548"/>
      <c r="X30" s="2548"/>
      <c r="Y30" s="2548"/>
      <c r="Z30" s="2548"/>
      <c r="AA30" s="2548"/>
      <c r="AB30" s="2548"/>
      <c r="AC30" s="610"/>
      <c r="AD30" s="2548" t="str">
        <f>IF(TITLE_DATE_PR_CHANGE="",IF(TITLE_DATE_PR="","",TITLE_DATE_PR),TITLE_DATE_PR_CHANGE)</f>
        <v>45471</v>
      </c>
      <c r="AE30" s="2548"/>
      <c r="AF30" s="2548"/>
      <c r="AG30" s="2548"/>
      <c r="AH30" s="2548"/>
      <c r="AI30" s="2548"/>
      <c r="AJ30" s="2548"/>
      <c r="AK30" s="610"/>
      <c r="AL30" s="610"/>
      <c r="AM30" s="564"/>
      <c r="AN30" s="652"/>
      <c r="AO30" s="652"/>
      <c r="AP30" s="652"/>
      <c r="AQ30" s="652"/>
      <c r="AR30" s="652"/>
      <c r="AS30" s="702">
        <v>0</v>
      </c>
    </row>
    <row s="14284" customFormat="1" customHeight="1" ht="18.75" hidden="1">
      <c r="A31" s="1652"/>
      <c r="B31" s="1652"/>
      <c r="C31" s="1652"/>
      <c r="D31" s="1652"/>
      <c r="E31" s="1652"/>
      <c r="F31" s="1652"/>
      <c r="G31" s="1652"/>
      <c r="H31" s="1652"/>
      <c r="I31" s="1652"/>
      <c r="J31" s="1652"/>
      <c r="K31" s="1652"/>
      <c r="L31" s="1653"/>
      <c r="M31" s="1652"/>
      <c r="N31" s="1652"/>
      <c r="O31" s="1652"/>
      <c r="S31" s="2534" t="s">
        <v>426</v>
      </c>
      <c r="T31" s="2534"/>
      <c r="U31" s="1656"/>
      <c r="V31" s="2535" t="str">
        <f>IF(TITLE_NUMBER_PR_CHANGE="",IF(TITLE_NUMBER_PR="","",TITLE_NUMBER_PR),TITLE_NUMBER_PR_CHANGE)</f>
        <v>50/18-01/261</v>
      </c>
      <c r="W31" s="2535"/>
      <c r="X31" s="2535"/>
      <c r="Y31" s="2535"/>
      <c r="Z31" s="2535"/>
      <c r="AA31" s="2535"/>
      <c r="AB31" s="2535"/>
      <c r="AC31" s="610"/>
      <c r="AD31" s="2535" t="str">
        <f>IF(TITLE_NUMBER_PR_CHANGE="",IF(TITLE_NUMBER_PR="","",TITLE_NUMBER_PR),TITLE_NUMBER_PR_CHANGE)</f>
        <v>50/18-01/261</v>
      </c>
      <c r="AE31" s="2535"/>
      <c r="AF31" s="2535"/>
      <c r="AG31" s="2535"/>
      <c r="AH31" s="2535"/>
      <c r="AI31" s="2535"/>
      <c r="AJ31" s="2535"/>
      <c r="AK31" s="610"/>
      <c r="AL31" s="610"/>
      <c r="AM31" s="564"/>
      <c r="AN31" s="652"/>
      <c r="AO31" s="652"/>
      <c r="AP31" s="652"/>
      <c r="AQ31" s="652"/>
      <c r="AR31" s="652"/>
      <c r="AS31" s="702">
        <v>0</v>
      </c>
    </row>
    <row s="14284" customFormat="1" customHeight="1" ht="18.75" hidden="1">
      <c r="A32" s="1652"/>
      <c r="B32" s="1652"/>
      <c r="C32" s="1652"/>
      <c r="D32" s="1652"/>
      <c r="E32" s="1652"/>
      <c r="F32" s="1652"/>
      <c r="G32" s="1652"/>
      <c r="H32" s="1652"/>
      <c r="I32" s="1652"/>
      <c r="J32" s="1652"/>
      <c r="K32" s="1652"/>
      <c r="L32" s="1653"/>
      <c r="M32" s="1652"/>
      <c r="N32" s="1652"/>
      <c r="O32" s="1652"/>
      <c r="S32" s="2534" t="s">
        <v>43</v>
      </c>
      <c r="T32" s="2534"/>
      <c r="U32" s="1656"/>
      <c r="V32" s="2535" t="str">
        <f>IF(TITLE_IST_PUB_CHANGE="",IF(TITLE_IST_PUB="","",TITLE_IST_PUB),TITLE_IST_PUB_CHANGE)</f>
        <v/>
      </c>
      <c r="W32" s="2535"/>
      <c r="X32" s="2535"/>
      <c r="Y32" s="2535"/>
      <c r="Z32" s="2535"/>
      <c r="AA32" s="2535"/>
      <c r="AB32" s="2535"/>
      <c r="AC32" s="610"/>
      <c r="AD32" s="2535" t="str">
        <f>IF(TITLE_IST_PUB_CHANGE="",IF(TITLE_IST_PUB="","",TITLE_IST_PUB),TITLE_IST_PUB_CHANGE)</f>
        <v/>
      </c>
      <c r="AE32" s="2535"/>
      <c r="AF32" s="2535"/>
      <c r="AG32" s="2535"/>
      <c r="AH32" s="2535"/>
      <c r="AI32" s="2535"/>
      <c r="AJ32" s="2535"/>
      <c r="AK32" s="610"/>
      <c r="AL32" s="610"/>
      <c r="AM32" s="564"/>
      <c r="AN32" s="652"/>
      <c r="AO32" s="652"/>
      <c r="AP32" s="652"/>
      <c r="AQ32" s="652"/>
      <c r="AR32" s="652"/>
      <c r="AS32" s="702">
        <v>0</v>
      </c>
    </row>
    <row customHeight="1" ht="14.25">
      <c r="Q33" s="660"/>
      <c r="R33" s="660"/>
      <c r="S33" s="1559"/>
      <c r="T33" s="647"/>
      <c r="U33" s="647"/>
      <c r="V33" s="606"/>
      <c r="W33" s="606"/>
      <c r="X33" s="606"/>
      <c r="Y33" s="606"/>
      <c r="Z33" s="606"/>
      <c r="AA33" s="606"/>
      <c r="AB33" s="606"/>
      <c r="AC33" s="606"/>
      <c r="AD33" s="606"/>
      <c r="AE33" s="606"/>
      <c r="AF33" s="606"/>
      <c r="AG33" s="606"/>
      <c r="AH33" s="606"/>
      <c r="AI33" s="606"/>
      <c r="AJ33" s="606"/>
      <c r="AK33" s="606"/>
      <c r="AL33" s="793"/>
      <c r="AS33" s="1439">
        <v>0</v>
      </c>
    </row>
    <row s="14284" customFormat="1" customHeight="1" ht="18.75">
      <c r="A34" s="1652"/>
      <c r="B34" s="1652"/>
      <c r="C34" s="1652"/>
      <c r="D34" s="1652"/>
      <c r="E34" s="1652"/>
      <c r="F34" s="1652"/>
      <c r="G34" s="1652"/>
      <c r="H34" s="1652"/>
      <c r="I34" s="1652"/>
      <c r="J34" s="1652"/>
      <c r="K34" s="1652"/>
      <c r="L34" s="1653"/>
      <c r="M34" s="1652"/>
      <c r="N34" s="1652"/>
      <c r="O34" s="1652"/>
      <c r="S34" s="2534" t="s">
        <v>427</v>
      </c>
      <c r="T34" s="2534"/>
      <c r="U34" s="1656"/>
      <c r="V34" s="2548" t="str">
        <f>IF(TITLE_DATE_PR_CHANGE="",IF(TITLE_DATE_PR="","",TITLE_DATE_PR),TITLE_DATE_PR_CHANGE)</f>
        <v>45471</v>
      </c>
      <c r="W34" s="2548"/>
      <c r="X34" s="2548"/>
      <c r="Y34" s="2548"/>
      <c r="Z34" s="2548"/>
      <c r="AA34" s="2548"/>
      <c r="AB34" s="2548"/>
      <c r="AC34" s="610"/>
      <c r="AD34" s="2548" t="str">
        <f>IF(TITLE_DATE_PR_CHANGE="",IF(TITLE_DATE_PR="","",TITLE_DATE_PR),TITLE_DATE_PR_CHANGE)</f>
        <v>45471</v>
      </c>
      <c r="AE34" s="2548"/>
      <c r="AF34" s="2548"/>
      <c r="AG34" s="2548"/>
      <c r="AH34" s="2548"/>
      <c r="AI34" s="2548"/>
      <c r="AJ34" s="2548"/>
      <c r="AK34" s="610"/>
      <c r="AL34" s="610"/>
      <c r="AM34" s="564"/>
      <c r="AN34" s="652"/>
      <c r="AO34" s="652"/>
      <c r="AP34" s="652"/>
      <c r="AQ34" s="652"/>
      <c r="AR34" s="652"/>
      <c r="AS34" s="702">
        <v>0</v>
      </c>
    </row>
    <row s="14284" customFormat="1" customHeight="1" ht="18.75">
      <c r="A35" s="1652"/>
      <c r="B35" s="1652"/>
      <c r="C35" s="1652"/>
      <c r="D35" s="1652"/>
      <c r="E35" s="1652"/>
      <c r="F35" s="1652"/>
      <c r="G35" s="1652"/>
      <c r="H35" s="1652"/>
      <c r="I35" s="1652"/>
      <c r="J35" s="1652"/>
      <c r="K35" s="1652"/>
      <c r="L35" s="1653"/>
      <c r="M35" s="1652"/>
      <c r="N35" s="1652"/>
      <c r="O35" s="1652"/>
      <c r="S35" s="2534" t="s">
        <v>428</v>
      </c>
      <c r="T35" s="2534"/>
      <c r="U35" s="1656"/>
      <c r="V35" s="2535" t="str">
        <f>IF(TITLE_NUMBER_PR_CHANGE="",IF(TITLE_NUMBER_PR="","",TITLE_NUMBER_PR),TITLE_NUMBER_PR_CHANGE)</f>
        <v>50/18-01/261</v>
      </c>
      <c r="W35" s="2535"/>
      <c r="X35" s="2535"/>
      <c r="Y35" s="2535"/>
      <c r="Z35" s="2535"/>
      <c r="AA35" s="2535"/>
      <c r="AB35" s="2535"/>
      <c r="AC35" s="610"/>
      <c r="AD35" s="2535" t="str">
        <f>IF(TITLE_NUMBER_PR_CHANGE="",IF(TITLE_NUMBER_PR="","",TITLE_NUMBER_PR),TITLE_NUMBER_PR_CHANGE)</f>
        <v>50/18-01/261</v>
      </c>
      <c r="AE35" s="2535"/>
      <c r="AF35" s="2535"/>
      <c r="AG35" s="2535"/>
      <c r="AH35" s="2535"/>
      <c r="AI35" s="2535"/>
      <c r="AJ35" s="2535"/>
      <c r="AK35" s="610"/>
      <c r="AL35" s="610"/>
      <c r="AM35" s="564"/>
      <c r="AN35" s="652"/>
      <c r="AO35" s="652"/>
      <c r="AP35" s="652"/>
      <c r="AQ35" s="652"/>
      <c r="AR35" s="652"/>
      <c r="AS35" s="702">
        <v>0</v>
      </c>
    </row>
    <row s="14284" customFormat="1" customHeight="1" ht="0">
      <c r="A36" s="1652"/>
      <c r="B36" s="1652"/>
      <c r="C36" s="1652"/>
      <c r="D36" s="1652"/>
      <c r="E36" s="1652"/>
      <c r="F36" s="1652"/>
      <c r="G36" s="1652"/>
      <c r="H36" s="1652"/>
      <c r="I36" s="1652"/>
      <c r="J36" s="1652"/>
      <c r="K36" s="1652"/>
      <c r="L36" s="1653"/>
      <c r="M36" s="1652"/>
      <c r="N36" s="1652"/>
      <c r="O36" s="1652"/>
      <c r="S36" s="607"/>
      <c r="T36" s="607"/>
      <c r="U36" s="1624"/>
      <c r="V36" s="610"/>
      <c r="W36" s="610"/>
      <c r="X36" s="610"/>
      <c r="Y36" s="610"/>
      <c r="Z36" s="610"/>
      <c r="AA36" s="610"/>
      <c r="AB36" s="610"/>
      <c r="AC36" s="562" t="s">
        <v>429</v>
      </c>
      <c r="AD36" s="610"/>
      <c r="AE36" s="610"/>
      <c r="AF36" s="610"/>
      <c r="AG36" s="610"/>
      <c r="AH36" s="610"/>
      <c r="AI36" s="610"/>
      <c r="AJ36" s="610"/>
      <c r="AK36" s="562" t="s">
        <v>429</v>
      </c>
      <c r="AN36" s="652"/>
      <c r="AO36" s="652"/>
      <c r="AP36" s="652"/>
      <c r="AQ36" s="652"/>
      <c r="AR36" s="652"/>
      <c r="AS36" s="702">
        <v>0</v>
      </c>
    </row>
    <row customHeight="1" ht="14.699999999999998">
      <c r="Q37" s="660"/>
      <c r="R37" s="660"/>
      <c r="S37" s="1559"/>
      <c r="T37" s="647"/>
      <c r="U37" s="1528"/>
      <c r="V37" s="2536"/>
      <c r="W37" s="2536"/>
      <c r="X37" s="2536"/>
      <c r="Y37" s="2536"/>
      <c r="Z37" s="2536"/>
      <c r="AA37" s="2536"/>
      <c r="AB37" s="2536"/>
      <c r="AC37" s="2536"/>
      <c r="AD37" s="2536"/>
      <c r="AE37" s="2536"/>
      <c r="AF37" s="2536"/>
      <c r="AG37" s="2536"/>
      <c r="AH37" s="2536"/>
      <c r="AI37" s="2536"/>
      <c r="AJ37" s="2536"/>
      <c r="AK37" s="2536"/>
      <c r="AS37" s="1439">
        <v>14</v>
      </c>
    </row>
    <row customHeight="1" ht="14.699999999999998">
      <c r="Q38" s="660"/>
      <c r="R38" s="660"/>
      <c r="S38" s="2411" t="s">
        <v>305</v>
      </c>
      <c r="T38" s="2411"/>
      <c r="U38" s="2411"/>
      <c r="V38" s="2411"/>
      <c r="W38" s="2411"/>
      <c r="X38" s="2411"/>
      <c r="Y38" s="2411"/>
      <c r="Z38" s="2411"/>
      <c r="AA38" s="2411"/>
      <c r="AB38" s="2411"/>
      <c r="AC38" s="2411"/>
      <c r="AD38" s="2411"/>
      <c r="AE38" s="2411"/>
      <c r="AF38" s="2411"/>
      <c r="AG38" s="2411"/>
      <c r="AH38" s="2411"/>
      <c r="AI38" s="2411"/>
      <c r="AJ38" s="2411"/>
      <c r="AK38" s="2411"/>
      <c r="AL38" s="2411"/>
      <c r="AM38" s="2411" t="s">
        <v>306</v>
      </c>
      <c r="AS38" s="1439">
        <v>14</v>
      </c>
    </row>
    <row customHeight="1" ht="14.699999999999998">
      <c r="Q39" s="660"/>
      <c r="R39" s="660"/>
      <c r="S39" s="2557" t="s">
        <v>89</v>
      </c>
      <c r="T39" s="2493" t="s">
        <v>430</v>
      </c>
      <c r="U39" s="585"/>
      <c r="V39" s="2558" t="s">
        <v>431</v>
      </c>
      <c r="W39" s="2559"/>
      <c r="X39" s="2575"/>
      <c r="Y39" s="2575"/>
      <c r="Z39" s="2559"/>
      <c r="AA39" s="2559"/>
      <c r="AB39" s="2560"/>
      <c r="AC39" s="2561" t="s">
        <v>432</v>
      </c>
      <c r="AD39" s="2558" t="s">
        <v>431</v>
      </c>
      <c r="AE39" s="2559"/>
      <c r="AF39" s="2575"/>
      <c r="AG39" s="2575"/>
      <c r="AH39" s="2559"/>
      <c r="AI39" s="2559"/>
      <c r="AJ39" s="2560"/>
      <c r="AK39" s="2561" t="s">
        <v>433</v>
      </c>
      <c r="AL39" s="2564" t="s">
        <v>434</v>
      </c>
      <c r="AM39" s="2411"/>
      <c r="AS39" s="1439">
        <v>14</v>
      </c>
    </row>
    <row customHeight="1" ht="24">
      <c r="Q40" s="660"/>
      <c r="R40" s="660"/>
      <c r="S40" s="2557"/>
      <c r="T40" s="2493"/>
      <c r="U40" s="1315"/>
      <c r="V40" s="2576" t="s">
        <v>435</v>
      </c>
      <c r="W40" s="2578" t="s">
        <v>436</v>
      </c>
      <c r="X40" s="1660" t="s">
        <v>437</v>
      </c>
      <c r="Y40" s="1660"/>
      <c r="Z40" s="2553" t="s">
        <v>438</v>
      </c>
      <c r="AA40" s="2553"/>
      <c r="AB40" s="2547"/>
      <c r="AC40" s="2562"/>
      <c r="AD40" s="2576" t="s">
        <v>435</v>
      </c>
      <c r="AE40" s="2578" t="s">
        <v>436</v>
      </c>
      <c r="AF40" s="1660" t="s">
        <v>437</v>
      </c>
      <c r="AG40" s="1660"/>
      <c r="AH40" s="2553" t="s">
        <v>438</v>
      </c>
      <c r="AI40" s="2553"/>
      <c r="AJ40" s="2547"/>
      <c r="AK40" s="2562"/>
      <c r="AL40" s="2565"/>
      <c r="AM40" s="2411"/>
      <c r="AS40" s="1439">
        <v>23</v>
      </c>
    </row>
    <row s="14336" customFormat="1" customHeight="1" ht="24">
      <c r="A41" s="1654"/>
      <c r="B41" s="1654" t="s">
        <v>136</v>
      </c>
      <c r="C41" s="1654" t="s">
        <v>137</v>
      </c>
      <c r="D41" s="1654" t="s">
        <v>138</v>
      </c>
      <c r="E41" s="1648" t="s">
        <v>439</v>
      </c>
      <c r="F41" s="1648" t="s">
        <v>440</v>
      </c>
      <c r="G41" s="1648" t="s">
        <v>441</v>
      </c>
      <c r="H41" s="1648" t="s">
        <v>442</v>
      </c>
      <c r="I41" s="1648" t="s">
        <v>443</v>
      </c>
      <c r="J41" s="1648" t="s">
        <v>444</v>
      </c>
      <c r="K41" s="1648" t="s">
        <v>445</v>
      </c>
      <c r="L41" s="1648" t="s">
        <v>420</v>
      </c>
      <c r="M41" s="1646"/>
      <c r="N41" s="1646"/>
      <c r="O41" s="1646"/>
      <c r="P41" s="1612"/>
      <c r="Q41" s="660"/>
      <c r="R41" s="660"/>
      <c r="S41" s="2557"/>
      <c r="T41" s="2493"/>
      <c r="U41" s="586"/>
      <c r="V41" s="2577"/>
      <c r="W41" s="2579"/>
      <c r="X41" s="1657" t="s">
        <v>446</v>
      </c>
      <c r="Y41" s="1657" t="s">
        <v>447</v>
      </c>
      <c r="Z41" s="1618" t="s">
        <v>448</v>
      </c>
      <c r="AA41" s="2554" t="s">
        <v>449</v>
      </c>
      <c r="AB41" s="2555"/>
      <c r="AC41" s="2563"/>
      <c r="AD41" s="2577"/>
      <c r="AE41" s="2579"/>
      <c r="AF41" s="1657" t="s">
        <v>446</v>
      </c>
      <c r="AG41" s="1657" t="s">
        <v>447</v>
      </c>
      <c r="AH41" s="1618" t="s">
        <v>448</v>
      </c>
      <c r="AI41" s="2554" t="s">
        <v>449</v>
      </c>
      <c r="AJ41" s="2555"/>
      <c r="AK41" s="2563"/>
      <c r="AL41" s="2566"/>
      <c r="AM41" s="2411"/>
      <c r="AN41" s="795"/>
      <c r="AO41" s="784"/>
      <c r="AP41" s="784"/>
      <c r="AQ41" s="784"/>
      <c r="AR41" s="784"/>
      <c r="AS41" s="866">
        <v>23</v>
      </c>
    </row>
    <row s="14730" customFormat="1" customHeight="1" ht="11.25" hidden="1">
      <c r="A42" s="1654"/>
      <c r="B42" s="1654"/>
      <c r="C42" s="1654"/>
      <c r="D42" s="1654"/>
      <c r="E42" s="1654"/>
      <c r="F42" s="1654"/>
      <c r="G42" s="1654"/>
      <c r="H42" s="1654"/>
      <c r="I42" s="1654"/>
      <c r="J42" s="1654"/>
      <c r="K42" s="1654"/>
      <c r="L42" s="1648"/>
      <c r="M42" s="1646"/>
      <c r="N42" s="1646"/>
      <c r="O42" s="1646"/>
      <c r="P42" s="1530"/>
      <c r="Q42" s="1531"/>
      <c r="R42" s="1538">
        <v>1</v>
      </c>
      <c r="S42" s="1561" t="s">
        <v>110</v>
      </c>
      <c r="T42" s="1539" t="s">
        <v>111</v>
      </c>
      <c r="U42" s="1529" t="str">
        <f>OFFSET(U42,0,-1)</f>
        <v>2</v>
      </c>
      <c r="V42" s="1619">
        <f>OFFSET(V42,0,-1)+1</f>
        <v>3</v>
      </c>
      <c r="W42" s="1619"/>
      <c r="X42" s="1625">
        <f>OFFSET(X42,0,-1)+1</f>
        <v>1</v>
      </c>
      <c r="Y42" s="1625">
        <f>OFFSET(Y42,0,-1)+1</f>
        <v>2</v>
      </c>
      <c r="Z42" s="1619">
        <f>OFFSET(Z42,0,-1)+1</f>
        <v>3</v>
      </c>
      <c r="AA42" s="2556">
        <f>OFFSET(AA42,0,-1)+1</f>
        <v>4</v>
      </c>
      <c r="AB42" s="2556"/>
      <c r="AC42" s="1619">
        <f>OFFSET(AC42,0,-2)+1</f>
        <v>5</v>
      </c>
      <c r="AD42" s="1619">
        <f>OFFSET(AD42,0,-1)+1</f>
        <v>6</v>
      </c>
      <c r="AE42" s="1619"/>
      <c r="AF42" s="1625">
        <f>OFFSET(AF42,0,-1)+1</f>
        <v>1</v>
      </c>
      <c r="AG42" s="1625">
        <f>OFFSET(AG42,0,-1)+1</f>
        <v>2</v>
      </c>
      <c r="AH42" s="1619">
        <f>OFFSET(AH42,0,-1)+1</f>
        <v>3</v>
      </c>
      <c r="AI42" s="2556">
        <f>OFFSET(AI42,0,-1)+1</f>
        <v>4</v>
      </c>
      <c r="AJ42" s="2556"/>
      <c r="AK42" s="1619">
        <f>OFFSET(AK42,0,-2)+1</f>
        <v>5</v>
      </c>
      <c r="AL42" s="1529">
        <f>OFFSET(AL42,0,-1)</f>
        <v>5</v>
      </c>
      <c r="AM42" s="1619">
        <f>OFFSET(AM42,0,-1)+1</f>
        <v>6</v>
      </c>
      <c r="AN42" s="795"/>
      <c r="AO42" s="795"/>
      <c r="AP42" s="795"/>
      <c r="AQ42" s="795"/>
      <c r="AR42" s="795"/>
      <c r="AS42" s="780">
        <v>0</v>
      </c>
    </row>
    <row customHeight="1" ht="22.049999999999997">
      <c r="A43" s="1647" t="s">
        <v>199</v>
      </c>
      <c r="B43" s="1647"/>
      <c r="C43" s="1647"/>
      <c r="D43" s="1647"/>
      <c r="E43" s="2542">
        <v>1</v>
      </c>
      <c r="F43" s="1647"/>
      <c r="G43" s="1647"/>
      <c r="H43" s="1647"/>
      <c r="I43" s="1647"/>
      <c r="J43" s="1647"/>
      <c r="K43" s="1647"/>
      <c r="L43" s="1648"/>
      <c r="M43" s="1649"/>
      <c r="N43" s="1649"/>
      <c r="O43" s="1649"/>
      <c r="P43" s="645"/>
      <c r="Q43" s="644"/>
      <c r="R43" s="639"/>
      <c r="S43" s="1620">
        <f>INDEX(PT_DIFFERENTIATION_NUM_NTAR,MATCH(A43,PT_DIFFERENTIATION_NTAR_ID,0))</f>
        <v>0</v>
      </c>
      <c r="T43" s="582" t="s">
        <v>124</v>
      </c>
      <c r="U43" s="584"/>
      <c r="V43" s="2526"/>
      <c r="W43" s="2527"/>
      <c r="X43" s="2527"/>
      <c r="Y43" s="2527"/>
      <c r="Z43" s="2527"/>
      <c r="AA43" s="2527"/>
      <c r="AB43" s="2527"/>
      <c r="AC43" s="2528"/>
      <c r="AD43" s="2526" t="str">
        <f>INDEX(PT_DIFFERENTIATION_NTAR,MATCH(A43,PT_DIFFERENTIATION_NTAR_ID,0))</f>
        <v/>
      </c>
      <c r="AE43" s="2527"/>
      <c r="AF43" s="2527"/>
      <c r="AG43" s="2527"/>
      <c r="AH43" s="2527"/>
      <c r="AI43" s="2527"/>
      <c r="AJ43" s="2527"/>
      <c r="AK43" s="2527"/>
      <c r="AL43" s="2528"/>
      <c r="AM43" s="1542"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784"/>
      <c r="AP43" s="784" t="str">
        <f>IF(T43="","",T43)</f>
        <v>Наименование тарифа</v>
      </c>
      <c r="AQ43" s="784"/>
      <c r="AR43" s="784"/>
      <c r="AS43" s="1439">
        <v>21</v>
      </c>
    </row>
    <row customHeight="1" ht="22.049999999999997">
      <c r="A44" s="1647" t="s">
        <v>199</v>
      </c>
      <c r="B44" s="1647" t="s">
        <v>200</v>
      </c>
      <c r="C44" s="1647"/>
      <c r="D44" s="1647"/>
      <c r="E44" s="2543"/>
      <c r="F44" s="2542">
        <v>1</v>
      </c>
      <c r="G44" s="1647"/>
      <c r="H44" s="1647"/>
      <c r="I44" s="1647"/>
      <c r="J44" s="1647"/>
      <c r="K44" s="1647"/>
      <c r="L44" s="1648"/>
      <c r="M44" s="1649"/>
      <c r="N44" s="1649"/>
      <c r="O44" s="1649"/>
      <c r="P44" s="1616"/>
      <c r="Q44" s="636"/>
      <c r="R44" s="637"/>
      <c r="S44" s="1620" t="str">
        <f>INDEX(PT_DIFFERENTIATION_NUM_TER,MATCH(B44,PT_DIFFERENTIATION_TER_ID,0))</f>
        <v>.</v>
      </c>
      <c r="T44" s="592" t="s">
        <v>402</v>
      </c>
      <c r="U44" s="584"/>
      <c r="V44" s="2526"/>
      <c r="W44" s="2527"/>
      <c r="X44" s="2527"/>
      <c r="Y44" s="2527"/>
      <c r="Z44" s="2527"/>
      <c r="AA44" s="2527"/>
      <c r="AB44" s="2527"/>
      <c r="AC44" s="2528"/>
      <c r="AD44" s="2526" t="str">
        <f>INDEX(PT_DIFFERENTIATION_TER,MATCH(B44,PT_DIFFERENTIATION_TER_ID,0))</f>
        <v/>
      </c>
      <c r="AE44" s="2527"/>
      <c r="AF44" s="2527"/>
      <c r="AG44" s="2527"/>
      <c r="AH44" s="2527"/>
      <c r="AI44" s="2527"/>
      <c r="AJ44" s="2527"/>
      <c r="AK44" s="2527"/>
      <c r="AL44" s="2528"/>
      <c r="AM44" s="1542" t="s">
        <v>403</v>
      </c>
      <c r="AO44" s="784"/>
      <c r="AP44" s="784" t="str">
        <f>IF(T44="","",T44)</f>
        <v>Территория действия тарифа</v>
      </c>
      <c r="AQ44" s="784"/>
      <c r="AR44" s="784"/>
      <c r="AS44" s="1439">
        <v>21</v>
      </c>
    </row>
    <row customHeight="1" ht="24">
      <c r="A45" s="1647" t="s">
        <v>199</v>
      </c>
      <c r="B45" s="1647" t="s">
        <v>200</v>
      </c>
      <c r="C45" s="1647" t="s">
        <v>201</v>
      </c>
      <c r="D45" s="1647"/>
      <c r="E45" s="2543"/>
      <c r="F45" s="2543"/>
      <c r="G45" s="2542">
        <v>1</v>
      </c>
      <c r="H45" s="1647"/>
      <c r="I45" s="1647"/>
      <c r="J45" s="1647"/>
      <c r="K45" s="1647"/>
      <c r="L45" s="1648"/>
      <c r="M45" s="1649"/>
      <c r="N45" s="1649"/>
      <c r="O45" s="1649"/>
      <c r="P45" s="638"/>
      <c r="Q45" s="636"/>
      <c r="R45" s="637"/>
      <c r="S45" s="1620" t="str">
        <f>INDEX(PT_DIFFERENTIATION_NUM_CS,MATCH(C45,PT_DIFFERENTIATION_CS_ID,0))</f>
        <v>..</v>
      </c>
      <c r="T45" s="593" t="s">
        <v>404</v>
      </c>
      <c r="U45" s="584"/>
      <c r="V45" s="2526"/>
      <c r="W45" s="2527"/>
      <c r="X45" s="2527"/>
      <c r="Y45" s="2527"/>
      <c r="Z45" s="2527"/>
      <c r="AA45" s="2527"/>
      <c r="AB45" s="2527"/>
      <c r="AC45" s="2528"/>
      <c r="AD45" s="2526" t="str">
        <f>INDEX(PT_DIFFERENTIATION_CS,MATCH(C45,PT_DIFFERENTIATION_CS_ID,0))</f>
        <v/>
      </c>
      <c r="AE45" s="2527"/>
      <c r="AF45" s="2527"/>
      <c r="AG45" s="2527"/>
      <c r="AH45" s="2527"/>
      <c r="AI45" s="2527"/>
      <c r="AJ45" s="2527"/>
      <c r="AK45" s="2527"/>
      <c r="AL45" s="2528"/>
      <c r="AM45" s="1542" t="s">
        <v>405</v>
      </c>
      <c r="AO45" s="784"/>
      <c r="AP45" s="784" t="str">
        <f>IF(T45="","",T45)</f>
        <v>Наименование системы теплоснабжения </v>
      </c>
      <c r="AQ45" s="784"/>
      <c r="AR45" s="784"/>
      <c r="AS45" s="1439">
        <v>23</v>
      </c>
    </row>
    <row customHeight="1" ht="22.049999999999997">
      <c r="A46" s="1647" t="s">
        <v>199</v>
      </c>
      <c r="B46" s="1647" t="s">
        <v>200</v>
      </c>
      <c r="C46" s="1647" t="s">
        <v>201</v>
      </c>
      <c r="D46" s="1647" t="s">
        <v>202</v>
      </c>
      <c r="E46" s="2543"/>
      <c r="F46" s="2543"/>
      <c r="G46" s="2543"/>
      <c r="H46" s="2542">
        <v>1</v>
      </c>
      <c r="I46" s="1647"/>
      <c r="J46" s="1647"/>
      <c r="K46" s="1647"/>
      <c r="L46" s="1648"/>
      <c r="M46" s="1649"/>
      <c r="N46" s="1649"/>
      <c r="O46" s="1649"/>
      <c r="P46" s="638"/>
      <c r="Q46" s="636"/>
      <c r="R46" s="637"/>
      <c r="S46" s="1620" t="str">
        <f>INDEX(PT_DIFFERENTIATION_NUM_IST_TE,MATCH(D46,PT_DIFFERENTIATION_IST_TE_ID,0))</f>
        <v>...</v>
      </c>
      <c r="T46" s="594" t="s">
        <v>406</v>
      </c>
      <c r="U46" s="584"/>
      <c r="V46" s="2526"/>
      <c r="W46" s="2527"/>
      <c r="X46" s="2527"/>
      <c r="Y46" s="2527"/>
      <c r="Z46" s="2527"/>
      <c r="AA46" s="2527"/>
      <c r="AB46" s="2527"/>
      <c r="AC46" s="2528"/>
      <c r="AD46" s="2526" t="str">
        <f>INDEX(PT_DIFFERENTIATION_IST_TE,MATCH(D46,PT_DIFFERENTIATION_IST_TE_ID,0))</f>
        <v/>
      </c>
      <c r="AE46" s="2527"/>
      <c r="AF46" s="2527"/>
      <c r="AG46" s="2527"/>
      <c r="AH46" s="2527"/>
      <c r="AI46" s="2527"/>
      <c r="AJ46" s="2527"/>
      <c r="AK46" s="2527"/>
      <c r="AL46" s="2528"/>
      <c r="AM46" s="1542" t="s">
        <v>407</v>
      </c>
      <c r="AO46" s="784"/>
      <c r="AP46" s="784" t="str">
        <f>IF(T46="","",T46)</f>
        <v>Источник тепловой энергии  </v>
      </c>
      <c r="AQ46" s="784"/>
      <c r="AR46" s="784"/>
      <c r="AS46" s="1439">
        <v>21</v>
      </c>
    </row>
    <row customHeight="1" ht="49.5">
      <c r="A47" s="1647" t="s">
        <v>199</v>
      </c>
      <c r="B47" s="1647" t="s">
        <v>200</v>
      </c>
      <c r="C47" s="1647" t="s">
        <v>201</v>
      </c>
      <c r="D47" s="1647" t="s">
        <v>202</v>
      </c>
      <c r="E47" s="2543"/>
      <c r="F47" s="2543"/>
      <c r="G47" s="2543"/>
      <c r="H47" s="2543"/>
      <c r="I47" s="2540" t="str">
        <f>S46&amp;".1"</f>
        <v>....1</v>
      </c>
      <c r="J47" s="1647"/>
      <c r="K47" s="1647"/>
      <c r="L47" s="1648" t="s">
        <v>408</v>
      </c>
      <c r="P47" s="2541">
        <v>1</v>
      </c>
      <c r="Q47" s="1615"/>
      <c r="R47" s="640"/>
      <c r="S47" s="1620" t="str">
        <f>$I47</f>
        <v>....1</v>
      </c>
      <c r="T47" s="569" t="s">
        <v>409</v>
      </c>
      <c r="U47" s="584"/>
      <c r="V47" s="2529"/>
      <c r="W47" s="2530"/>
      <c r="X47" s="2530"/>
      <c r="Y47" s="2530"/>
      <c r="Z47" s="2530"/>
      <c r="AA47" s="2530"/>
      <c r="AB47" s="2530"/>
      <c r="AC47" s="2531"/>
      <c r="AD47" s="2529"/>
      <c r="AE47" s="2530"/>
      <c r="AF47" s="2530"/>
      <c r="AG47" s="2530"/>
      <c r="AH47" s="2530"/>
      <c r="AI47" s="2530"/>
      <c r="AJ47" s="2530"/>
      <c r="AK47" s="2530"/>
      <c r="AL47" s="2531"/>
      <c r="AM47" s="1542" t="s">
        <v>410</v>
      </c>
      <c r="AO47" s="784"/>
      <c r="AP47" s="784" t="str">
        <f>IF(T47="","",T47)</f>
        <v>Схема подключения теплопотребляющей установки к коллектору источника тепловой энергии</v>
      </c>
      <c r="AQ47" s="784"/>
      <c r="AR47" s="784"/>
      <c r="AS47" s="1439">
        <v>47</v>
      </c>
    </row>
    <row customHeight="1" ht="22.049999999999997">
      <c r="A48" s="1647" t="s">
        <v>199</v>
      </c>
      <c r="B48" s="1647" t="s">
        <v>200</v>
      </c>
      <c r="C48" s="1647" t="s">
        <v>201</v>
      </c>
      <c r="D48" s="1647" t="s">
        <v>202</v>
      </c>
      <c r="E48" s="2543"/>
      <c r="F48" s="2543"/>
      <c r="G48" s="2543"/>
      <c r="H48" s="2543"/>
      <c r="I48" s="2570"/>
      <c r="J48" s="2540" t="str">
        <f>I47&amp;".1"</f>
        <v>....1.1</v>
      </c>
      <c r="K48" s="1647"/>
      <c r="L48" s="1648" t="s">
        <v>411</v>
      </c>
      <c r="P48" s="2541"/>
      <c r="Q48" s="2541">
        <v>1</v>
      </c>
      <c r="R48" s="641"/>
      <c r="S48" s="1620" t="str">
        <f>$J48</f>
        <v>....1.1</v>
      </c>
      <c r="T48" s="570" t="s">
        <v>412</v>
      </c>
      <c r="U48" s="584"/>
      <c r="V48" s="2529"/>
      <c r="W48" s="2530"/>
      <c r="X48" s="2530"/>
      <c r="Y48" s="2530"/>
      <c r="Z48" s="2530"/>
      <c r="AA48" s="2530"/>
      <c r="AB48" s="2530"/>
      <c r="AC48" s="2531"/>
      <c r="AD48" s="2529"/>
      <c r="AE48" s="2530"/>
      <c r="AF48" s="2530"/>
      <c r="AG48" s="2530"/>
      <c r="AH48" s="2530"/>
      <c r="AI48" s="2530"/>
      <c r="AJ48" s="2530"/>
      <c r="AK48" s="2530"/>
      <c r="AL48" s="2531"/>
      <c r="AM48" s="1542" t="s">
        <v>413</v>
      </c>
      <c r="AO48" s="784"/>
      <c r="AP48" s="784" t="str">
        <f>IF(T48="","",T48)</f>
        <v>Группа потребителей</v>
      </c>
      <c r="AQ48" s="784"/>
      <c r="AR48" s="784"/>
      <c r="AS48" s="1439">
        <v>21</v>
      </c>
    </row>
    <row customHeight="1" ht="22.049999999999997">
      <c r="A49" s="1647" t="s">
        <v>199</v>
      </c>
      <c r="B49" s="1647" t="s">
        <v>200</v>
      </c>
      <c r="C49" s="1647" t="s">
        <v>201</v>
      </c>
      <c r="D49" s="1647" t="s">
        <v>202</v>
      </c>
      <c r="E49" s="2543"/>
      <c r="F49" s="2543"/>
      <c r="G49" s="2543"/>
      <c r="H49" s="2543"/>
      <c r="I49" s="2570"/>
      <c r="J49" s="2570"/>
      <c r="K49" s="2540" t="str">
        <f>J48&amp;".1"</f>
        <v>....1.1.1</v>
      </c>
      <c r="L49" s="1648" t="s">
        <v>414</v>
      </c>
      <c r="P49" s="2541"/>
      <c r="Q49" s="2541"/>
      <c r="R49" s="641">
        <v>1</v>
      </c>
      <c r="S49" s="1620" t="str">
        <f>$K49</f>
        <v>....1.1.1</v>
      </c>
      <c r="T49" s="1631"/>
      <c r="U49" s="584"/>
      <c r="V49" s="609"/>
      <c r="W49" s="1035"/>
      <c r="X49" s="609"/>
      <c r="Y49" s="668"/>
      <c r="Z49" s="2549"/>
      <c r="AA49" s="2391" t="s">
        <v>67</v>
      </c>
      <c r="AB49" s="2549"/>
      <c r="AC49" s="2391" t="s">
        <v>67</v>
      </c>
      <c r="AD49" s="609"/>
      <c r="AE49" s="1035"/>
      <c r="AF49" s="609"/>
      <c r="AG49" s="668"/>
      <c r="AH49" s="2549"/>
      <c r="AI49" s="2391" t="s">
        <v>67</v>
      </c>
      <c r="AJ49" s="2571"/>
      <c r="AK49" s="2391" t="s">
        <v>67</v>
      </c>
      <c r="AL49" s="1632"/>
      <c r="AM49" s="2537" t="s">
        <v>415</v>
      </c>
      <c r="AN49" s="795">
        <f>STRCHECKDATE(V50:AL50)</f>
      </c>
      <c r="AO49" s="784"/>
      <c r="AP49" s="784" t="str">
        <f>IF(T49="","",T49)</f>
        <v/>
      </c>
      <c r="AQ49" s="784"/>
      <c r="AR49" s="784"/>
      <c r="AS49" s="1439">
        <v>21</v>
      </c>
    </row>
    <row customHeight="1" ht="1.05">
      <c r="A50" s="1647" t="s">
        <v>199</v>
      </c>
      <c r="B50" s="1647" t="s">
        <v>200</v>
      </c>
      <c r="C50" s="1647" t="s">
        <v>201</v>
      </c>
      <c r="D50" s="1647" t="s">
        <v>202</v>
      </c>
      <c r="E50" s="2543"/>
      <c r="F50" s="2543"/>
      <c r="G50" s="2543"/>
      <c r="H50" s="2543"/>
      <c r="I50" s="2570"/>
      <c r="J50" s="2570"/>
      <c r="K50" s="2540"/>
      <c r="L50" s="1648"/>
      <c r="P50" s="2541"/>
      <c r="Q50" s="2541"/>
      <c r="R50" s="641"/>
      <c r="S50" s="1626"/>
      <c r="T50" s="584"/>
      <c r="U50" s="584"/>
      <c r="V50" s="609"/>
      <c r="W50" s="609"/>
      <c r="X50" s="609"/>
      <c r="Y50" s="612" t="str">
        <f>Z49&amp;"-"&amp;AB49</f>
        <v>-</v>
      </c>
      <c r="Z50" s="2550"/>
      <c r="AA50" s="2391"/>
      <c r="AB50" s="2550"/>
      <c r="AC50" s="2391"/>
      <c r="AD50" s="609"/>
      <c r="AE50" s="609"/>
      <c r="AF50" s="609"/>
      <c r="AG50" s="612" t="str">
        <f>AH49&amp;"-"&amp;AJ49</f>
        <v>-</v>
      </c>
      <c r="AH50" s="2550"/>
      <c r="AI50" s="2391"/>
      <c r="AJ50" s="2572"/>
      <c r="AK50" s="2391"/>
      <c r="AL50" s="1633"/>
      <c r="AM50" s="2538"/>
      <c r="AO50" s="784"/>
      <c r="AP50" s="784" t="str">
        <f>IF(T50="","",T50)</f>
        <v/>
      </c>
      <c r="AQ50" s="784"/>
      <c r="AR50" s="784"/>
      <c r="AS50" s="1439">
        <v>1</v>
      </c>
    </row>
    <row customHeight="1" ht="11.549999999999999">
      <c r="A51" s="1647" t="s">
        <v>199</v>
      </c>
      <c r="B51" s="1647" t="s">
        <v>200</v>
      </c>
      <c r="C51" s="1647" t="s">
        <v>201</v>
      </c>
      <c r="D51" s="1647" t="s">
        <v>202</v>
      </c>
      <c r="E51" s="2543"/>
      <c r="F51" s="2543"/>
      <c r="G51" s="2543"/>
      <c r="H51" s="2543"/>
      <c r="I51" s="2570"/>
      <c r="J51" s="2540"/>
      <c r="K51" s="1647"/>
      <c r="L51" s="1648"/>
      <c r="P51" s="2541"/>
      <c r="Q51" s="2541"/>
      <c r="R51" s="640"/>
      <c r="S51" s="1562"/>
      <c r="T51" s="572" t="s">
        <v>416</v>
      </c>
      <c r="U51" s="651"/>
      <c r="V51" s="651"/>
      <c r="W51" s="651"/>
      <c r="X51" s="651"/>
      <c r="Y51" s="651"/>
      <c r="Z51" s="651"/>
      <c r="AA51" s="651"/>
      <c r="AB51" s="651"/>
      <c r="AC51" s="651"/>
      <c r="AD51" s="651"/>
      <c r="AE51" s="651"/>
      <c r="AF51" s="651"/>
      <c r="AG51" s="651"/>
      <c r="AH51" s="651"/>
      <c r="AI51" s="651"/>
      <c r="AJ51" s="651"/>
      <c r="AK51" s="651"/>
      <c r="AL51" s="608"/>
      <c r="AM51" s="2539"/>
      <c r="AO51" s="784"/>
      <c r="AP51" s="784" t="str">
        <f>IF(T51="","",T51)</f>
        <v>Добавить вид теплоносителя (параметры теплоносителя)</v>
      </c>
      <c r="AQ51" s="784"/>
      <c r="AR51" s="784"/>
      <c r="AS51" s="1439">
        <v>11</v>
      </c>
    </row>
    <row customHeight="1" ht="11.549999999999999">
      <c r="A52" s="1647" t="s">
        <v>199</v>
      </c>
      <c r="B52" s="1647" t="s">
        <v>200</v>
      </c>
      <c r="C52" s="1647" t="s">
        <v>201</v>
      </c>
      <c r="D52" s="1647" t="s">
        <v>202</v>
      </c>
      <c r="E52" s="2543"/>
      <c r="F52" s="2543"/>
      <c r="G52" s="2543"/>
      <c r="H52" s="2543"/>
      <c r="I52" s="2540"/>
      <c r="J52" s="1647"/>
      <c r="K52" s="1647"/>
      <c r="L52" s="1648"/>
      <c r="P52" s="2541"/>
      <c r="Q52" s="1615"/>
      <c r="R52" s="640"/>
      <c r="S52" s="1562"/>
      <c r="T52" s="571" t="s">
        <v>417</v>
      </c>
      <c r="U52" s="651"/>
      <c r="V52" s="651"/>
      <c r="W52" s="651"/>
      <c r="X52" s="651"/>
      <c r="Y52" s="651"/>
      <c r="Z52" s="651"/>
      <c r="AA52" s="651"/>
      <c r="AB52" s="651"/>
      <c r="AC52" s="650"/>
      <c r="AD52" s="651"/>
      <c r="AE52" s="651"/>
      <c r="AF52" s="651"/>
      <c r="AG52" s="651"/>
      <c r="AH52" s="651"/>
      <c r="AI52" s="651"/>
      <c r="AJ52" s="651"/>
      <c r="AK52" s="650"/>
      <c r="AL52" s="651"/>
      <c r="AM52" s="587"/>
      <c r="AO52" s="784"/>
      <c r="AP52" s="784" t="str">
        <f>IF(T52="","",T52)</f>
        <v>Добавить группу потребителей</v>
      </c>
      <c r="AQ52" s="784"/>
      <c r="AR52" s="784"/>
      <c r="AS52" s="1439">
        <v>11</v>
      </c>
    </row>
    <row customHeight="1" ht="14.699999999999998">
      <c r="A53" s="1647" t="s">
        <v>199</v>
      </c>
      <c r="B53" s="1647" t="s">
        <v>200</v>
      </c>
      <c r="C53" s="1647" t="s">
        <v>201</v>
      </c>
      <c r="D53" s="1647" t="s">
        <v>202</v>
      </c>
      <c r="E53" s="2543"/>
      <c r="F53" s="2543"/>
      <c r="G53" s="2543"/>
      <c r="H53" s="2542"/>
      <c r="I53" s="1647"/>
      <c r="J53" s="1647"/>
      <c r="K53" s="1647"/>
      <c r="L53" s="1648"/>
      <c r="M53" s="1649"/>
      <c r="N53" s="1649"/>
      <c r="O53" s="821"/>
      <c r="P53" s="644"/>
      <c r="Q53" s="659"/>
      <c r="R53" s="639"/>
      <c r="S53" s="1562"/>
      <c r="T53" s="649" t="s">
        <v>418</v>
      </c>
      <c r="U53" s="651"/>
      <c r="V53" s="651"/>
      <c r="W53" s="651"/>
      <c r="X53" s="651"/>
      <c r="Y53" s="651"/>
      <c r="Z53" s="651"/>
      <c r="AA53" s="651"/>
      <c r="AB53" s="651"/>
      <c r="AC53" s="650"/>
      <c r="AD53" s="651"/>
      <c r="AE53" s="651"/>
      <c r="AF53" s="651"/>
      <c r="AG53" s="651"/>
      <c r="AH53" s="651"/>
      <c r="AI53" s="651"/>
      <c r="AJ53" s="651"/>
      <c r="AK53" s="650"/>
      <c r="AL53" s="651"/>
      <c r="AM53" s="587"/>
      <c r="AO53" s="784"/>
      <c r="AP53" s="784" t="str">
        <f>IF(T53="","",T53)</f>
        <v>Добавить схему подключения</v>
      </c>
      <c r="AQ53" s="784"/>
      <c r="AR53" s="784"/>
      <c r="AS53" s="1439">
        <v>14</v>
      </c>
    </row>
    <row s="14158" customFormat="1" customHeight="1" ht="1.05">
      <c r="A54" s="1627" t="s">
        <v>199</v>
      </c>
      <c r="B54" s="1627" t="s">
        <v>200</v>
      </c>
      <c r="C54" s="1627" t="s">
        <v>201</v>
      </c>
      <c r="D54" s="1598"/>
      <c r="E54" s="2543"/>
      <c r="F54" s="2543"/>
      <c r="G54" s="2542"/>
      <c r="H54" s="1598"/>
      <c r="I54" s="1598"/>
      <c r="J54" s="1598"/>
      <c r="K54" s="1598"/>
      <c r="L54" s="1623"/>
      <c r="M54" s="1599"/>
      <c r="N54" s="1599"/>
      <c r="P54" s="1600"/>
      <c r="Q54" s="1601"/>
      <c r="R54" s="1600"/>
      <c r="S54" s="1606"/>
      <c r="T54" s="1609" t="s">
        <v>169</v>
      </c>
      <c r="U54" s="1608"/>
      <c r="V54" s="1608"/>
      <c r="W54" s="1608"/>
      <c r="X54" s="1608"/>
      <c r="Y54" s="1608"/>
      <c r="Z54" s="1608"/>
      <c r="AA54" s="1608"/>
      <c r="AB54" s="1608"/>
      <c r="AC54" s="1608"/>
      <c r="AD54" s="1608"/>
      <c r="AE54" s="1608"/>
      <c r="AF54" s="1608"/>
      <c r="AG54" s="1608"/>
      <c r="AH54" s="1608"/>
      <c r="AI54" s="1608"/>
      <c r="AJ54" s="1608"/>
      <c r="AK54" s="1608"/>
      <c r="AL54" s="1608"/>
      <c r="AM54" s="1608"/>
      <c r="AO54" s="1073"/>
      <c r="AP54" s="1073" t="str">
        <f>IF(T54="","",T54)</f>
        <v>Добавить источник для дифференциации</v>
      </c>
      <c r="AQ54" s="1073"/>
      <c r="AR54" s="1073"/>
      <c r="AS54" s="802">
        <v>1</v>
      </c>
    </row>
    <row s="14158" customFormat="1" customHeight="1" ht="1.05">
      <c r="A55" s="1627" t="s">
        <v>199</v>
      </c>
      <c r="B55" s="1627" t="s">
        <v>200</v>
      </c>
      <c r="C55" s="1598"/>
      <c r="D55" s="1598"/>
      <c r="E55" s="2543"/>
      <c r="F55" s="2542"/>
      <c r="G55" s="1598"/>
      <c r="H55" s="1598"/>
      <c r="I55" s="1598"/>
      <c r="J55" s="1598"/>
      <c r="K55" s="1598"/>
      <c r="L55" s="1623"/>
      <c r="M55" s="1605"/>
      <c r="N55" s="1605"/>
      <c r="P55" s="1600"/>
      <c r="Q55" s="1601"/>
      <c r="R55" s="1600"/>
      <c r="S55" s="1606"/>
      <c r="T55" s="1609" t="s">
        <v>170</v>
      </c>
      <c r="U55" s="1608"/>
      <c r="V55" s="1608"/>
      <c r="W55" s="1608"/>
      <c r="X55" s="1608"/>
      <c r="Y55" s="1608"/>
      <c r="Z55" s="1608"/>
      <c r="AA55" s="1608"/>
      <c r="AB55" s="1608"/>
      <c r="AC55" s="1608"/>
      <c r="AD55" s="1608"/>
      <c r="AE55" s="1608"/>
      <c r="AF55" s="1608"/>
      <c r="AG55" s="1608"/>
      <c r="AH55" s="1608"/>
      <c r="AI55" s="1608"/>
      <c r="AJ55" s="1608"/>
      <c r="AK55" s="1608"/>
      <c r="AL55" s="1608"/>
      <c r="AM55" s="1608"/>
      <c r="AO55" s="1073"/>
      <c r="AP55" s="1073" t="str">
        <f>IF(T55="","",T55)</f>
        <v>Добавить централизованную систему для дифференциации</v>
      </c>
      <c r="AQ55" s="1073"/>
      <c r="AR55" s="1073"/>
      <c r="AS55" s="802">
        <v>1</v>
      </c>
    </row>
    <row s="14158" customFormat="1" customHeight="1" ht="1.05">
      <c r="A56" s="1627" t="s">
        <v>199</v>
      </c>
      <c r="B56" s="1627"/>
      <c r="C56" s="1627"/>
      <c r="D56" s="1627"/>
      <c r="E56" s="2542"/>
      <c r="F56" s="1627"/>
      <c r="G56" s="1627"/>
      <c r="H56" s="1627"/>
      <c r="I56" s="1627"/>
      <c r="J56" s="1627"/>
      <c r="K56" s="1627"/>
      <c r="L56" s="1630"/>
      <c r="M56" s="1605"/>
      <c r="N56" s="1605"/>
      <c r="O56" s="802"/>
      <c r="P56" s="664"/>
      <c r="Q56" s="1628"/>
      <c r="R56" s="664"/>
      <c r="S56" s="1606"/>
      <c r="T56" s="1609" t="s">
        <v>171</v>
      </c>
      <c r="U56" s="1608"/>
      <c r="V56" s="1608"/>
      <c r="W56" s="1608"/>
      <c r="X56" s="1608"/>
      <c r="Y56" s="1608"/>
      <c r="Z56" s="1608"/>
      <c r="AA56" s="1608"/>
      <c r="AB56" s="1608"/>
      <c r="AC56" s="1608"/>
      <c r="AD56" s="1608"/>
      <c r="AE56" s="1608"/>
      <c r="AF56" s="1608"/>
      <c r="AG56" s="1608"/>
      <c r="AH56" s="1608"/>
      <c r="AI56" s="1608"/>
      <c r="AJ56" s="1608"/>
      <c r="AK56" s="1608"/>
      <c r="AL56" s="1608"/>
      <c r="AM56" s="1608"/>
      <c r="AO56" s="784"/>
      <c r="AP56" s="784" t="str">
        <f>IF(T56="","",T56)</f>
        <v>Добавить территорию для дифференциации</v>
      </c>
      <c r="AQ56" s="784"/>
      <c r="AR56" s="784"/>
      <c r="AS56" s="795">
        <v>1</v>
      </c>
    </row>
    <row s="14158" customFormat="1" customHeight="1" ht="1.05">
      <c r="A57" s="1598"/>
      <c r="B57" s="1598"/>
      <c r="C57" s="1598"/>
      <c r="D57" s="1598"/>
      <c r="E57" s="1627"/>
      <c r="F57" s="1598"/>
      <c r="G57" s="1598"/>
      <c r="H57" s="1598"/>
      <c r="I57" s="1598"/>
      <c r="J57" s="1598"/>
      <c r="K57" s="1598"/>
      <c r="L57" s="1623"/>
      <c r="M57" s="1605"/>
      <c r="N57" s="1605"/>
      <c r="P57" s="1600"/>
      <c r="Q57" s="1601"/>
      <c r="R57" s="1600"/>
      <c r="S57" s="1606"/>
      <c r="T57" s="1609" t="s">
        <v>172</v>
      </c>
      <c r="U57" s="1608"/>
      <c r="V57" s="1608"/>
      <c r="W57" s="1608"/>
      <c r="X57" s="1608"/>
      <c r="Y57" s="1608"/>
      <c r="Z57" s="1608"/>
      <c r="AA57" s="1608"/>
      <c r="AB57" s="1608"/>
      <c r="AC57" s="1608"/>
      <c r="AD57" s="1608"/>
      <c r="AE57" s="1608"/>
      <c r="AF57" s="1608"/>
      <c r="AG57" s="1608"/>
      <c r="AH57" s="1608"/>
      <c r="AI57" s="1608"/>
      <c r="AJ57" s="1608"/>
      <c r="AK57" s="1608"/>
      <c r="AL57" s="1608"/>
      <c r="AM57" s="1608"/>
      <c r="AO57" s="1073"/>
      <c r="AP57" s="1073" t="str">
        <f>IF(T57="","",T57)</f>
        <v>Добавить наименование тарифа</v>
      </c>
      <c r="AQ57" s="1073"/>
      <c r="AR57" s="1073"/>
      <c r="AS57" s="802">
        <v>1</v>
      </c>
    </row>
    <row customHeight="1" ht="11.549999999999999">
      <c r="M58" s="1444"/>
      <c r="N58" s="1444"/>
      <c r="O58" s="821"/>
      <c r="P58" s="1439"/>
      <c r="Q58" s="1439"/>
      <c r="R58" s="1439"/>
      <c r="S58" s="1439"/>
      <c r="AN58" s="1439"/>
      <c r="AO58" s="1439"/>
      <c r="AP58" s="1439"/>
      <c r="AQ58" s="1439"/>
      <c r="AR58" s="1439"/>
      <c r="AS58" s="1439">
        <v>11</v>
      </c>
    </row>
    <row customHeight="1" ht="28.5">
      <c r="O59" s="821"/>
      <c r="S59" s="1537"/>
      <c r="T59" s="2569"/>
      <c r="U59" s="2569"/>
      <c r="V59" s="2569"/>
      <c r="W59" s="2569"/>
      <c r="X59" s="2569"/>
      <c r="Y59" s="2569"/>
      <c r="Z59" s="2569"/>
      <c r="AA59" s="2569"/>
      <c r="AB59" s="2569"/>
      <c r="AC59" s="2569"/>
      <c r="AD59" s="2569"/>
      <c r="AE59" s="2569"/>
      <c r="AF59" s="2569"/>
      <c r="AG59" s="2569"/>
      <c r="AH59" s="2569"/>
      <c r="AI59" s="2569"/>
      <c r="AJ59" s="2569"/>
      <c r="AK59" s="2569"/>
      <c r="AL59" s="2569"/>
      <c r="AM59" s="2569"/>
      <c r="AS59" s="1439">
        <v>27</v>
      </c>
    </row>
    <row customHeight="1" ht="78.75">
      <c r="O60" s="821"/>
      <c r="T60" s="2569"/>
      <c r="U60" s="2569"/>
      <c r="V60" s="2569"/>
      <c r="W60" s="2569"/>
      <c r="X60" s="2569"/>
      <c r="Y60" s="2569"/>
      <c r="Z60" s="2569"/>
      <c r="AA60" s="2569"/>
      <c r="AB60" s="2569"/>
      <c r="AC60" s="2569"/>
      <c r="AD60" s="2569"/>
      <c r="AE60" s="2569"/>
      <c r="AF60" s="2569"/>
      <c r="AG60" s="2569"/>
      <c r="AH60" s="2569"/>
      <c r="AI60" s="2569"/>
      <c r="AJ60" s="2569"/>
      <c r="AK60" s="2569"/>
      <c r="AL60" s="2569"/>
      <c r="AM60" s="2569"/>
      <c r="AS60" s="1439">
        <v>75</v>
      </c>
    </row>
    <row customHeight="1" ht="14.699999999999998">
      <c r="O61" s="821"/>
      <c r="AS61" s="1439">
        <v>14</v>
      </c>
    </row>
    <row customHeight="1" ht="18.75">
      <c r="O62" s="821"/>
      <c r="S62" s="1537"/>
      <c r="T62" s="2569"/>
      <c r="U62" s="2569"/>
      <c r="V62" s="2569"/>
      <c r="W62" s="2569"/>
      <c r="X62" s="2569"/>
      <c r="Y62" s="2569"/>
      <c r="Z62" s="2569"/>
      <c r="AA62" s="2569"/>
      <c r="AB62" s="2569"/>
      <c r="AC62" s="2569"/>
      <c r="AD62" s="2569"/>
      <c r="AE62" s="2569"/>
      <c r="AF62" s="2569"/>
      <c r="AG62" s="2569"/>
      <c r="AH62" s="2569"/>
      <c r="AI62" s="2569"/>
      <c r="AJ62" s="2569"/>
      <c r="AK62" s="2569"/>
      <c r="AL62" s="2569"/>
      <c r="AM62" s="2569"/>
      <c r="AS62" s="1439">
        <v>18</v>
      </c>
    </row>
    <row customHeight="1" ht="18.75">
      <c r="O63" s="821"/>
      <c r="T63" s="2569"/>
      <c r="U63" s="2569"/>
      <c r="V63" s="2569"/>
      <c r="W63" s="2569"/>
      <c r="X63" s="2569"/>
      <c r="Y63" s="2569"/>
      <c r="Z63" s="2569"/>
      <c r="AA63" s="2569"/>
      <c r="AB63" s="2569"/>
      <c r="AC63" s="2569"/>
      <c r="AD63" s="2569"/>
      <c r="AE63" s="2569"/>
      <c r="AF63" s="2569"/>
      <c r="AG63" s="2569"/>
      <c r="AH63" s="2569"/>
      <c r="AI63" s="2569"/>
      <c r="AJ63" s="2569"/>
      <c r="AK63" s="2569"/>
      <c r="AL63" s="2569"/>
      <c r="AM63" s="2569"/>
      <c r="AS63" s="1439">
        <v>18</v>
      </c>
    </row>
    <row customHeight="1" ht="39.75">
      <c r="O64" s="821"/>
      <c r="S64" s="1537"/>
      <c r="T64" s="2569"/>
      <c r="U64" s="2569"/>
      <c r="V64" s="2569"/>
      <c r="W64" s="2569"/>
      <c r="X64" s="2569"/>
      <c r="Y64" s="2569"/>
      <c r="Z64" s="2569"/>
      <c r="AA64" s="2569"/>
      <c r="AB64" s="2569"/>
      <c r="AC64" s="2569"/>
      <c r="AD64" s="2569"/>
      <c r="AE64" s="2569"/>
      <c r="AF64" s="2569"/>
      <c r="AG64" s="2569"/>
      <c r="AH64" s="2569"/>
      <c r="AI64" s="2569"/>
      <c r="AJ64" s="2569"/>
      <c r="AK64" s="2569"/>
      <c r="AL64" s="2569"/>
      <c r="AM64" s="2569"/>
      <c r="AS64" s="1439">
        <v>38</v>
      </c>
    </row>
    <row customHeight="1" ht="22.5" hidden="1">
      <c r="A65" s="1444" t="s">
        <v>83</v>
      </c>
      <c r="B65" s="1444">
        <v>0</v>
      </c>
      <c r="C65" s="1444">
        <v>0</v>
      </c>
      <c r="D65" s="1444">
        <v>0</v>
      </c>
      <c r="E65" s="1444">
        <v>0</v>
      </c>
      <c r="F65" s="1444">
        <v>0</v>
      </c>
      <c r="G65" s="1444">
        <v>0</v>
      </c>
      <c r="H65" s="1444">
        <v>0</v>
      </c>
      <c r="I65" s="1444">
        <v>0</v>
      </c>
      <c r="J65" s="1444">
        <v>0</v>
      </c>
      <c r="K65" s="1444">
        <v>0</v>
      </c>
      <c r="L65" s="1613">
        <v>0</v>
      </c>
      <c r="M65" s="1646">
        <v>0</v>
      </c>
      <c r="N65" s="1646">
        <v>0</v>
      </c>
      <c r="O65" s="1646">
        <v>0</v>
      </c>
      <c r="P65" s="1612">
        <v>3</v>
      </c>
      <c r="Q65" s="628">
        <v>3</v>
      </c>
      <c r="R65" s="628">
        <v>3</v>
      </c>
      <c r="S65" s="865">
        <v>12</v>
      </c>
      <c r="T65" s="1439">
        <v>31</v>
      </c>
      <c r="U65" s="1439">
        <v>0</v>
      </c>
      <c r="V65" s="1439">
        <v>0</v>
      </c>
      <c r="W65" s="1439">
        <v>0</v>
      </c>
      <c r="X65" s="1439">
        <v>0</v>
      </c>
      <c r="Y65" s="1439">
        <v>0</v>
      </c>
      <c r="Z65" s="1439">
        <v>0</v>
      </c>
      <c r="AA65" s="1439">
        <v>0</v>
      </c>
      <c r="AB65" s="1439">
        <v>0</v>
      </c>
      <c r="AC65" s="1439">
        <v>0</v>
      </c>
      <c r="AD65" s="1439">
        <v>0</v>
      </c>
      <c r="AE65" s="1439">
        <v>24</v>
      </c>
      <c r="AF65" s="1439">
        <v>0</v>
      </c>
      <c r="AG65" s="1439">
        <v>0</v>
      </c>
      <c r="AH65" s="1439">
        <v>11</v>
      </c>
      <c r="AI65" s="1439">
        <v>3</v>
      </c>
      <c r="AJ65" s="1439">
        <v>11</v>
      </c>
      <c r="AK65" s="1439">
        <v>0</v>
      </c>
      <c r="AL65" s="1439">
        <v>4</v>
      </c>
      <c r="AM65" s="1439">
        <v>115</v>
      </c>
      <c r="AN65" s="795">
        <v>10</v>
      </c>
      <c r="AO65" s="795">
        <v>10</v>
      </c>
      <c r="AP65" s="795">
        <v>10</v>
      </c>
      <c r="AQ65" s="795">
        <v>10</v>
      </c>
      <c r="AR65" s="795">
        <v>10</v>
      </c>
      <c r="AS65" s="1439">
        <v>23</v>
      </c>
    </row>
  </sheetData>
  <sheetProtection formatColumns="0" formatRows="0" autoFilter="0" sort="0" insertRows="0" insertColumns="1" deleteRows="0" deleteColumns="0"/>
  <mergeCells count="110">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M38:AM41"/>
    <mergeCell ref="S39:S41"/>
    <mergeCell ref="T39:T41"/>
    <mergeCell ref="V39:AB39"/>
    <mergeCell ref="AC39:AC41"/>
    <mergeCell ref="AD39:AJ39"/>
    <mergeCell ref="AK39:AK41"/>
    <mergeCell ref="AL39:AL41"/>
    <mergeCell ref="V40:V41"/>
    <mergeCell ref="W40:W41"/>
    <mergeCell ref="Z40:AB40"/>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E2:E15"/>
    <mergeCell ref="F3:F14"/>
    <mergeCell ref="G4:G13"/>
    <mergeCell ref="H5:H12"/>
    <mergeCell ref="I6:I11"/>
    <mergeCell ref="P6:P11"/>
    <mergeCell ref="J7:J10"/>
    <mergeCell ref="Q7:Q10"/>
    <mergeCell ref="K8:K9"/>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D034148-6034-AAB8-05F5-93B623F85A78}" mc:Ignorable="x14ac xr xr2 xr3">
  <sheetPr>
    <tabColor theme="6" tint="0.4"/>
  </sheetPr>
  <dimension ref="A1:AS66"/>
  <sheetViews>
    <sheetView topLeftCell="A1" showGridLines="0" zoomScale="90" workbookViewId="0">
      <selection activeCell="A1" sqref="A1"/>
    </sheetView>
  </sheetViews>
  <sheetFormatPr defaultColWidth="10.57421875" customHeight="1" defaultRowHeight="14.25"/>
  <cols>
    <col min="1" max="1" style="14157" width="10.57421875" hidden="1"/>
    <col min="2" max="2" style="14157" width="11.00390625" hidden="1" customWidth="1"/>
    <col min="3" max="3" style="14157" width="10.57421875" hidden="1"/>
    <col min="4" max="4" style="14157" width="11.8515625" hidden="1" customWidth="1"/>
    <col min="5" max="5" style="14157" width="10.00390625" hidden="1" customWidth="1"/>
    <col min="6" max="6" style="14157" width="8.7109375" hidden="1" customWidth="1"/>
    <col min="7" max="7" style="14157" width="7.57421875" hidden="1" customWidth="1"/>
    <col min="8" max="8" style="14157" width="11.421875" hidden="1" customWidth="1"/>
    <col min="9" max="9" style="14157" width="12.00390625" hidden="1" customWidth="1"/>
    <col min="10" max="10" style="14157" width="9.8515625" hidden="1" customWidth="1"/>
    <col min="11" max="11" style="14157" width="11.421875" hidden="1" customWidth="1"/>
    <col min="12" max="12" style="14974" width="19.140625" hidden="1" customWidth="1"/>
    <col min="13" max="14" style="14975" width="12.28125" hidden="1" customWidth="1"/>
    <col min="15" max="15" style="14975" width="23.421875" hidden="1" customWidth="1"/>
    <col min="16" max="16" style="14976" width="3.7109375" hidden="1" customWidth="1"/>
    <col min="17" max="18" style="14977" width="3.00390625" customWidth="1"/>
    <col min="19" max="19" style="14978" width="12.00390625" customWidth="1"/>
    <col min="20" max="20" style="14077" width="31.00390625" customWidth="1"/>
    <col min="21" max="21" style="14077" width="0.140625" customWidth="1"/>
    <col min="22" max="22" style="14077" width="24.7109375" hidden="1" customWidth="1"/>
    <col min="23" max="23" style="14077" width="0.140625" hidden="1" customWidth="1"/>
    <col min="24" max="25" style="14077" width="24.7109375" hidden="1" customWidth="1"/>
    <col min="26" max="26" style="14077" width="11.7109375" hidden="1" customWidth="1"/>
    <col min="27" max="27" style="14077" width="3.7109375" hidden="1" customWidth="1"/>
    <col min="28" max="28" style="14077" width="11.7109375" hidden="1" customWidth="1"/>
    <col min="29" max="29" style="14077" width="8.57421875" hidden="1" customWidth="1"/>
    <col min="30" max="30" style="14077" width="24.7109375" customWidth="1"/>
    <col min="31" max="31" style="14077" width="0.140625" customWidth="1"/>
    <col min="32" max="33" style="14077" width="24.00390625" customWidth="1"/>
    <col min="34" max="34" style="14077" width="11.00390625" customWidth="1"/>
    <col min="35" max="35" style="14077" width="3.7109375" customWidth="1"/>
    <col min="36" max="36" style="14077" width="11.00390625" customWidth="1"/>
    <col min="37" max="37" style="14077" width="8.57421875" hidden="1" customWidth="1"/>
    <col min="38" max="38" style="14077" width="4.00390625" customWidth="1"/>
    <col min="39" max="39" style="14077" width="115.00390625" customWidth="1"/>
    <col min="40" max="44" style="14158" width="10.00390625" customWidth="1"/>
    <col min="45" max="45" style="14077" width="8.421875" hidden="1" customWidth="1"/>
  </cols>
  <sheetData>
    <row customHeight="1" ht="22.5" hidden="1">
      <c r="Y1" s="611"/>
      <c r="Z1" s="611"/>
      <c r="AG1" s="611"/>
      <c r="AH1" s="611"/>
      <c r="AS1" s="1439" t="s">
        <v>14</v>
      </c>
    </row>
    <row customHeight="1" ht="21" hidden="1">
      <c r="A2" s="1647"/>
      <c r="B2" s="1647"/>
      <c r="C2" s="1647"/>
      <c r="D2" s="1647"/>
      <c r="E2" s="2542">
        <v>1</v>
      </c>
      <c r="F2" s="1647"/>
      <c r="G2" s="1647"/>
      <c r="H2" s="1647"/>
      <c r="I2" s="1647"/>
      <c r="J2" s="1647"/>
      <c r="K2" s="1647"/>
      <c r="L2" s="1648"/>
      <c r="M2" s="1649"/>
      <c r="N2" s="1649"/>
      <c r="O2" s="1649"/>
      <c r="P2" s="645"/>
      <c r="Q2" s="644"/>
      <c r="R2" s="639"/>
      <c r="S2" s="1620">
        <f>INDEX(PT_DIFFERENTIATION_NUM_NTAR,MATCH(A2,PT_DIFFERENTIATION_NTAR_ID,0))</f>
      </c>
      <c r="T2" s="582" t="s">
        <v>124</v>
      </c>
      <c r="U2" s="584"/>
      <c r="V2" s="2526"/>
      <c r="W2" s="2527"/>
      <c r="X2" s="2527"/>
      <c r="Y2" s="2527"/>
      <c r="Z2" s="2527"/>
      <c r="AA2" s="2527"/>
      <c r="AB2" s="2527"/>
      <c r="AC2" s="2528"/>
      <c r="AD2" s="2526">
        <f>INDEX(PT_DIFFERENTIATION_NTAR,MATCH(A2,PT_DIFFERENTIATION_NTAR_ID,0))</f>
      </c>
      <c r="AE2" s="2527"/>
      <c r="AF2" s="2527"/>
      <c r="AG2" s="2527"/>
      <c r="AH2" s="2527"/>
      <c r="AI2" s="2527"/>
      <c r="AJ2" s="2527"/>
      <c r="AK2" s="2527"/>
      <c r="AL2" s="2528"/>
      <c r="AM2" s="1542" t="s">
        <v>401</v>
      </c>
      <c r="AO2" s="784"/>
      <c r="AP2" s="784" t="str">
        <f>IF(T2="","",T2)</f>
        <v>Наименование тарифа</v>
      </c>
      <c r="AQ2" s="784"/>
      <c r="AR2" s="784"/>
      <c r="AS2" s="1439">
        <v>0</v>
      </c>
    </row>
    <row customHeight="1" ht="21" hidden="1">
      <c r="A3" s="1647"/>
      <c r="B3" s="1647"/>
      <c r="C3" s="1647"/>
      <c r="D3" s="1647"/>
      <c r="E3" s="2543"/>
      <c r="F3" s="2542">
        <v>1</v>
      </c>
      <c r="G3" s="1647"/>
      <c r="H3" s="1647"/>
      <c r="I3" s="1647"/>
      <c r="J3" s="1647"/>
      <c r="K3" s="1647"/>
      <c r="L3" s="1648"/>
      <c r="M3" s="1649"/>
      <c r="N3" s="1649"/>
      <c r="O3" s="1649"/>
      <c r="P3" s="1616"/>
      <c r="Q3" s="636"/>
      <c r="R3" s="637"/>
      <c r="S3" s="1620">
        <f>INDEX(PT_DIFFERENTIATION_NUM_TER,MATCH(B3,PT_DIFFERENTIATION_TER_ID,0))</f>
      </c>
      <c r="T3" s="592" t="s">
        <v>402</v>
      </c>
      <c r="U3" s="584"/>
      <c r="V3" s="2526"/>
      <c r="W3" s="2527"/>
      <c r="X3" s="2527"/>
      <c r="Y3" s="2527"/>
      <c r="Z3" s="2527"/>
      <c r="AA3" s="2527"/>
      <c r="AB3" s="2527"/>
      <c r="AC3" s="2528"/>
      <c r="AD3" s="2526">
        <f>INDEX(PT_DIFFERENTIATION_TER,MATCH(B3,PT_DIFFERENTIATION_TER_ID,0))</f>
      </c>
      <c r="AE3" s="2527"/>
      <c r="AF3" s="2527"/>
      <c r="AG3" s="2527"/>
      <c r="AH3" s="2527"/>
      <c r="AI3" s="2527"/>
      <c r="AJ3" s="2527"/>
      <c r="AK3" s="2527"/>
      <c r="AL3" s="2528"/>
      <c r="AM3" s="1542" t="s">
        <v>403</v>
      </c>
      <c r="AO3" s="784"/>
      <c r="AP3" s="784" t="str">
        <f>IF(T3="","",T3)</f>
        <v>Территория действия тарифа</v>
      </c>
      <c r="AQ3" s="784"/>
      <c r="AR3" s="784"/>
      <c r="AS3" s="1439">
        <v>0</v>
      </c>
    </row>
    <row customHeight="1" ht="23.25" hidden="1">
      <c r="A4" s="1647"/>
      <c r="B4" s="1647"/>
      <c r="C4" s="1647"/>
      <c r="D4" s="1647"/>
      <c r="E4" s="2543"/>
      <c r="F4" s="2543"/>
      <c r="G4" s="2542">
        <v>1</v>
      </c>
      <c r="H4" s="1647"/>
      <c r="I4" s="1647"/>
      <c r="J4" s="1647"/>
      <c r="K4" s="1647"/>
      <c r="L4" s="1648"/>
      <c r="M4" s="1649"/>
      <c r="N4" s="1649"/>
      <c r="O4" s="1649"/>
      <c r="P4" s="638"/>
      <c r="Q4" s="636"/>
      <c r="R4" s="637"/>
      <c r="S4" s="1620">
        <f>INDEX(PT_DIFFERENTIATION_NUM_CS,MATCH(C4,PT_DIFFERENTIATION_CS_ID,0))</f>
      </c>
      <c r="T4" s="593" t="s">
        <v>404</v>
      </c>
      <c r="U4" s="584"/>
      <c r="V4" s="2526"/>
      <c r="W4" s="2527"/>
      <c r="X4" s="2527"/>
      <c r="Y4" s="2527"/>
      <c r="Z4" s="2527"/>
      <c r="AA4" s="2527"/>
      <c r="AB4" s="2527"/>
      <c r="AC4" s="2528"/>
      <c r="AD4" s="2526">
        <f>INDEX(PT_DIFFERENTIATION_CS,MATCH(C4,PT_DIFFERENTIATION_CS_ID,0))</f>
      </c>
      <c r="AE4" s="2527"/>
      <c r="AF4" s="2527"/>
      <c r="AG4" s="2527"/>
      <c r="AH4" s="2527"/>
      <c r="AI4" s="2527"/>
      <c r="AJ4" s="2527"/>
      <c r="AK4" s="2527"/>
      <c r="AL4" s="2528"/>
      <c r="AM4" s="1542" t="s">
        <v>405</v>
      </c>
      <c r="AO4" s="784"/>
      <c r="AP4" s="784" t="str">
        <f>IF(T4="","",T4)</f>
        <v>Наименование системы теплоснабжения </v>
      </c>
      <c r="AQ4" s="784"/>
      <c r="AR4" s="784"/>
      <c r="AS4" s="1439">
        <v>0</v>
      </c>
    </row>
    <row customHeight="1" ht="21" hidden="1">
      <c r="A5" s="1647"/>
      <c r="B5" s="1647"/>
      <c r="C5" s="1647"/>
      <c r="D5" s="1647"/>
      <c r="E5" s="2543"/>
      <c r="F5" s="2543"/>
      <c r="G5" s="2543"/>
      <c r="H5" s="2542">
        <v>1</v>
      </c>
      <c r="I5" s="1647"/>
      <c r="J5" s="1647"/>
      <c r="K5" s="1647"/>
      <c r="L5" s="1648"/>
      <c r="M5" s="1649"/>
      <c r="N5" s="1649"/>
      <c r="O5" s="1649"/>
      <c r="P5" s="638"/>
      <c r="Q5" s="636"/>
      <c r="R5" s="637"/>
      <c r="S5" s="1620">
        <f>INDEX(PT_DIFFERENTIATION_NUM_IST_TE,MATCH(D5,PT_DIFFERENTIATION_IST_TE_ID,0))</f>
      </c>
      <c r="T5" s="594" t="s">
        <v>406</v>
      </c>
      <c r="U5" s="584"/>
      <c r="V5" s="2526"/>
      <c r="W5" s="2527"/>
      <c r="X5" s="2527"/>
      <c r="Y5" s="2527"/>
      <c r="Z5" s="2527"/>
      <c r="AA5" s="2527"/>
      <c r="AB5" s="2527"/>
      <c r="AC5" s="2528"/>
      <c r="AD5" s="2526">
        <f>INDEX(PT_DIFFERENTIATION_IST_TE,MATCH(D5,PT_DIFFERENTIATION_IST_TE_ID,0))</f>
      </c>
      <c r="AE5" s="2527"/>
      <c r="AF5" s="2527"/>
      <c r="AG5" s="2527"/>
      <c r="AH5" s="2527"/>
      <c r="AI5" s="2527"/>
      <c r="AJ5" s="2527"/>
      <c r="AK5" s="2527"/>
      <c r="AL5" s="2528"/>
      <c r="AM5" s="1542" t="s">
        <v>407</v>
      </c>
      <c r="AO5" s="784"/>
      <c r="AP5" s="784" t="str">
        <f>IF(T5="","",T5)</f>
        <v>Источник тепловой энергии  </v>
      </c>
      <c r="AQ5" s="784"/>
      <c r="AR5" s="784"/>
      <c r="AS5" s="1439">
        <v>0</v>
      </c>
    </row>
    <row customHeight="1" ht="14.25" hidden="1">
      <c r="A6" s="1647"/>
      <c r="B6" s="1647"/>
      <c r="C6" s="1647"/>
      <c r="D6" s="1647"/>
      <c r="E6" s="2543"/>
      <c r="F6" s="2543"/>
      <c r="G6" s="2543"/>
      <c r="H6" s="2543"/>
      <c r="I6" s="2540">
        <f>S5&amp;".1"</f>
      </c>
      <c r="J6" s="1647"/>
      <c r="K6" s="1647"/>
      <c r="L6" s="1648" t="s">
        <v>408</v>
      </c>
      <c r="M6" s="821"/>
      <c r="P6" s="2541">
        <v>1</v>
      </c>
      <c r="Q6" s="1615"/>
      <c r="R6" s="640"/>
      <c r="S6" s="1326"/>
      <c r="T6" s="1667"/>
      <c r="U6" s="1668"/>
      <c r="V6" s="2580"/>
      <c r="W6" s="2581"/>
      <c r="X6" s="2581"/>
      <c r="Y6" s="2581"/>
      <c r="Z6" s="2581"/>
      <c r="AA6" s="2581"/>
      <c r="AB6" s="2581"/>
      <c r="AC6" s="2582"/>
      <c r="AD6" s="2580"/>
      <c r="AE6" s="2581"/>
      <c r="AF6" s="2581"/>
      <c r="AG6" s="2581"/>
      <c r="AH6" s="2581"/>
      <c r="AI6" s="2581"/>
      <c r="AJ6" s="2581"/>
      <c r="AK6" s="2581"/>
      <c r="AL6" s="2582"/>
      <c r="AM6" s="1669"/>
      <c r="AO6" s="784"/>
      <c r="AP6" s="784" t="str">
        <f>IF(T6="","",T6)</f>
        <v/>
      </c>
      <c r="AQ6" s="784"/>
      <c r="AR6" s="784"/>
      <c r="AS6" s="1439">
        <v>0</v>
      </c>
    </row>
    <row customHeight="1" ht="21" hidden="1">
      <c r="A7" s="1647"/>
      <c r="B7" s="1647"/>
      <c r="C7" s="1647"/>
      <c r="D7" s="1647"/>
      <c r="E7" s="2543"/>
      <c r="F7" s="2543"/>
      <c r="G7" s="2543"/>
      <c r="H7" s="2543"/>
      <c r="I7" s="2570"/>
      <c r="J7" s="2540">
        <f>I6&amp;".1"</f>
      </c>
      <c r="K7" s="1647"/>
      <c r="L7" s="1648" t="s">
        <v>411</v>
      </c>
      <c r="M7" s="821"/>
      <c r="N7" s="1650"/>
      <c r="P7" s="2541"/>
      <c r="Q7" s="2541">
        <v>1</v>
      </c>
      <c r="R7" s="641"/>
      <c r="S7" s="1620">
        <f>$J7</f>
      </c>
      <c r="T7" s="570" t="s">
        <v>412</v>
      </c>
      <c r="U7" s="584"/>
      <c r="V7" s="2529"/>
      <c r="W7" s="2530"/>
      <c r="X7" s="2530"/>
      <c r="Y7" s="2530"/>
      <c r="Z7" s="2530"/>
      <c r="AA7" s="2530"/>
      <c r="AB7" s="2530"/>
      <c r="AC7" s="2531"/>
      <c r="AD7" s="2529"/>
      <c r="AE7" s="2530"/>
      <c r="AF7" s="2530"/>
      <c r="AG7" s="2530"/>
      <c r="AH7" s="2530"/>
      <c r="AI7" s="2530"/>
      <c r="AJ7" s="2530"/>
      <c r="AK7" s="2530"/>
      <c r="AL7" s="2531"/>
      <c r="AM7" s="1542" t="s">
        <v>413</v>
      </c>
      <c r="AO7" s="784"/>
      <c r="AP7" s="784" t="str">
        <f>IF(T7="","",T7)</f>
        <v>Группа потребителей</v>
      </c>
      <c r="AQ7" s="784"/>
      <c r="AR7" s="784"/>
      <c r="AS7" s="1439">
        <v>0</v>
      </c>
    </row>
    <row customHeight="1" ht="21" hidden="1">
      <c r="A8" s="1647"/>
      <c r="B8" s="1647"/>
      <c r="C8" s="1647"/>
      <c r="D8" s="1647"/>
      <c r="E8" s="2543"/>
      <c r="F8" s="2543"/>
      <c r="G8" s="2543"/>
      <c r="H8" s="2543"/>
      <c r="I8" s="2570"/>
      <c r="J8" s="2570"/>
      <c r="K8" s="2540">
        <f>J7&amp;".1"</f>
      </c>
      <c r="L8" s="1648" t="s">
        <v>414</v>
      </c>
      <c r="M8" s="821"/>
      <c r="N8" s="1650"/>
      <c r="O8" s="1650"/>
      <c r="P8" s="2541"/>
      <c r="Q8" s="2541"/>
      <c r="R8" s="641">
        <v>1</v>
      </c>
      <c r="S8" s="1620">
        <f>$K8</f>
      </c>
      <c r="T8" s="1631"/>
      <c r="U8" s="584"/>
      <c r="V8" s="1035"/>
      <c r="W8" s="609"/>
      <c r="X8" s="1035"/>
      <c r="Y8" s="1541"/>
      <c r="Z8" s="2549"/>
      <c r="AA8" s="2391" t="s">
        <v>67</v>
      </c>
      <c r="AB8" s="2549"/>
      <c r="AC8" s="2391" t="s">
        <v>67</v>
      </c>
      <c r="AD8" s="1035"/>
      <c r="AE8" s="609"/>
      <c r="AF8" s="1035"/>
      <c r="AG8" s="1541"/>
      <c r="AH8" s="2549"/>
      <c r="AI8" s="2391" t="s">
        <v>67</v>
      </c>
      <c r="AJ8" s="2549"/>
      <c r="AK8" s="2391" t="s">
        <v>67</v>
      </c>
      <c r="AL8" s="609"/>
      <c r="AM8" s="2537" t="s">
        <v>415</v>
      </c>
      <c r="AN8" s="795">
        <f>STRCHECKDATE(V9:AL9)</f>
      </c>
      <c r="AO8" s="784"/>
      <c r="AP8" s="784" t="str">
        <f>IF(T8="","",T8)</f>
        <v/>
      </c>
      <c r="AQ8" s="784"/>
      <c r="AR8" s="784"/>
      <c r="AS8" s="1439">
        <v>0</v>
      </c>
    </row>
    <row customHeight="1" ht="0.75" hidden="1">
      <c r="A9" s="1647"/>
      <c r="B9" s="1647"/>
      <c r="C9" s="1647"/>
      <c r="D9" s="1647"/>
      <c r="E9" s="2543"/>
      <c r="F9" s="2543"/>
      <c r="G9" s="2543"/>
      <c r="H9" s="2543"/>
      <c r="I9" s="2570"/>
      <c r="J9" s="2570"/>
      <c r="K9" s="2540"/>
      <c r="L9" s="1648"/>
      <c r="M9" s="821"/>
      <c r="N9" s="1650"/>
      <c r="O9" s="1650"/>
      <c r="P9" s="2541"/>
      <c r="Q9" s="2541"/>
      <c r="R9" s="641"/>
      <c r="S9" s="1626"/>
      <c r="T9" s="584"/>
      <c r="U9" s="584"/>
      <c r="V9" s="609"/>
      <c r="W9" s="609"/>
      <c r="X9" s="609"/>
      <c r="Y9" s="612" t="str">
        <f>Z8&amp;"-"&amp;AB8</f>
        <v>-</v>
      </c>
      <c r="Z9" s="2550"/>
      <c r="AA9" s="2391"/>
      <c r="AB9" s="2550"/>
      <c r="AC9" s="2391"/>
      <c r="AD9" s="609"/>
      <c r="AE9" s="609"/>
      <c r="AF9" s="609"/>
      <c r="AG9" s="612" t="str">
        <f>AH8&amp;"-"&amp;AJ8</f>
        <v>-</v>
      </c>
      <c r="AH9" s="2550"/>
      <c r="AI9" s="2391"/>
      <c r="AJ9" s="2550"/>
      <c r="AK9" s="2391"/>
      <c r="AL9" s="609"/>
      <c r="AM9" s="2538"/>
      <c r="AO9" s="784"/>
      <c r="AP9" s="784" t="str">
        <f>IF(T9="","",T9)</f>
        <v/>
      </c>
      <c r="AQ9" s="784"/>
      <c r="AR9" s="784"/>
      <c r="AS9" s="1439">
        <v>0</v>
      </c>
    </row>
    <row customHeight="1" ht="15" hidden="1">
      <c r="A10" s="1647"/>
      <c r="B10" s="1647"/>
      <c r="C10" s="1647"/>
      <c r="D10" s="1647"/>
      <c r="E10" s="2543"/>
      <c r="F10" s="2543"/>
      <c r="G10" s="2543"/>
      <c r="H10" s="2543"/>
      <c r="I10" s="2570"/>
      <c r="J10" s="2540"/>
      <c r="K10" s="1647"/>
      <c r="L10" s="1648"/>
      <c r="M10" s="821"/>
      <c r="N10" s="1650"/>
      <c r="P10" s="2541"/>
      <c r="Q10" s="2541"/>
      <c r="R10" s="640"/>
      <c r="S10" s="1562"/>
      <c r="T10" s="571" t="s">
        <v>416</v>
      </c>
      <c r="U10" s="651"/>
      <c r="V10" s="651"/>
      <c r="W10" s="651"/>
      <c r="X10" s="651"/>
      <c r="Y10" s="651"/>
      <c r="Z10" s="651"/>
      <c r="AA10" s="651"/>
      <c r="AB10" s="651"/>
      <c r="AC10" s="651"/>
      <c r="AD10" s="651"/>
      <c r="AE10" s="651"/>
      <c r="AF10" s="651"/>
      <c r="AG10" s="651"/>
      <c r="AH10" s="651"/>
      <c r="AI10" s="651"/>
      <c r="AJ10" s="651"/>
      <c r="AK10" s="651"/>
      <c r="AL10" s="608"/>
      <c r="AM10" s="2539"/>
      <c r="AO10" s="784"/>
      <c r="AP10" s="784" t="str">
        <f>IF(T10="","",T10)</f>
        <v>Добавить вид теплоносителя (параметры теплоносителя)</v>
      </c>
      <c r="AQ10" s="784"/>
      <c r="AR10" s="784"/>
      <c r="AS10" s="1439">
        <v>0</v>
      </c>
    </row>
    <row customHeight="1" ht="15" hidden="1">
      <c r="A11" s="1647"/>
      <c r="B11" s="1647"/>
      <c r="C11" s="1647"/>
      <c r="D11" s="1647"/>
      <c r="E11" s="2543"/>
      <c r="F11" s="2543"/>
      <c r="G11" s="2543"/>
      <c r="H11" s="2543"/>
      <c r="I11" s="2540"/>
      <c r="J11" s="1647"/>
      <c r="K11" s="1647"/>
      <c r="L11" s="1648"/>
      <c r="M11" s="821"/>
      <c r="P11" s="2541"/>
      <c r="Q11" s="1615"/>
      <c r="R11" s="640"/>
      <c r="S11" s="1562"/>
      <c r="T11" s="649" t="s">
        <v>417</v>
      </c>
      <c r="U11" s="651"/>
      <c r="V11" s="651"/>
      <c r="W11" s="651"/>
      <c r="X11" s="651"/>
      <c r="Y11" s="651"/>
      <c r="Z11" s="651"/>
      <c r="AA11" s="651"/>
      <c r="AB11" s="651"/>
      <c r="AC11" s="650"/>
      <c r="AD11" s="651"/>
      <c r="AE11" s="651"/>
      <c r="AF11" s="651"/>
      <c r="AG11" s="651"/>
      <c r="AH11" s="651"/>
      <c r="AI11" s="651"/>
      <c r="AJ11" s="651"/>
      <c r="AK11" s="650"/>
      <c r="AL11" s="651"/>
      <c r="AM11" s="587"/>
      <c r="AO11" s="784"/>
      <c r="AP11" s="784" t="str">
        <f>IF(T11="","",T11)</f>
        <v>Добавить группу потребителей</v>
      </c>
      <c r="AQ11" s="784"/>
      <c r="AR11" s="784"/>
      <c r="AS11" s="1439">
        <v>0</v>
      </c>
    </row>
    <row customHeight="1" ht="14.25" hidden="1">
      <c r="A12" s="1647"/>
      <c r="B12" s="1647"/>
      <c r="C12" s="1647"/>
      <c r="D12" s="1647"/>
      <c r="E12" s="2543"/>
      <c r="F12" s="2543"/>
      <c r="G12" s="2543"/>
      <c r="H12" s="2542"/>
      <c r="I12" s="1647"/>
      <c r="J12" s="1647"/>
      <c r="K12" s="1647"/>
      <c r="L12" s="1648"/>
      <c r="M12" s="1649"/>
      <c r="N12" s="1649"/>
      <c r="O12" s="821"/>
      <c r="P12" s="644"/>
      <c r="Q12" s="659"/>
      <c r="R12" s="639"/>
      <c r="S12" s="1670"/>
      <c r="T12" s="1671"/>
      <c r="U12" s="1672"/>
      <c r="V12" s="1672"/>
      <c r="W12" s="1672"/>
      <c r="X12" s="1672"/>
      <c r="Y12" s="1672"/>
      <c r="Z12" s="1672"/>
      <c r="AA12" s="1672"/>
      <c r="AB12" s="1672"/>
      <c r="AC12" s="1672"/>
      <c r="AD12" s="1672"/>
      <c r="AE12" s="1672"/>
      <c r="AF12" s="1672"/>
      <c r="AG12" s="1672"/>
      <c r="AH12" s="1672"/>
      <c r="AI12" s="1672"/>
      <c r="AJ12" s="1672"/>
      <c r="AK12" s="1672"/>
      <c r="AL12" s="1672"/>
      <c r="AM12" s="1673"/>
      <c r="AO12" s="784"/>
      <c r="AP12" s="784" t="str">
        <f>IF(T12="","",T12)</f>
        <v/>
      </c>
      <c r="AQ12" s="784"/>
      <c r="AR12" s="784"/>
      <c r="AS12" s="1439">
        <v>0</v>
      </c>
    </row>
    <row s="14158" customFormat="1" customHeight="1" ht="0.75" hidden="1">
      <c r="A13" s="1598"/>
      <c r="B13" s="1598"/>
      <c r="C13" s="1598"/>
      <c r="D13" s="1598"/>
      <c r="E13" s="2543"/>
      <c r="F13" s="2543"/>
      <c r="G13" s="2542"/>
      <c r="H13" s="1598"/>
      <c r="I13" s="1598"/>
      <c r="J13" s="1598"/>
      <c r="K13" s="1598"/>
      <c r="L13" s="1623"/>
      <c r="M13" s="1599"/>
      <c r="N13" s="1599"/>
      <c r="P13" s="1600"/>
      <c r="Q13" s="1601"/>
      <c r="R13" s="1600"/>
      <c r="S13" s="1602"/>
      <c r="T13" s="1603" t="s">
        <v>169</v>
      </c>
      <c r="U13" s="1604"/>
      <c r="V13" s="1604"/>
      <c r="W13" s="1604"/>
      <c r="X13" s="1604"/>
      <c r="Y13" s="1604"/>
      <c r="Z13" s="1604"/>
      <c r="AA13" s="1604"/>
      <c r="AB13" s="1604"/>
      <c r="AC13" s="1604"/>
      <c r="AD13" s="1604"/>
      <c r="AE13" s="1604"/>
      <c r="AF13" s="1604"/>
      <c r="AG13" s="1604"/>
      <c r="AH13" s="1604"/>
      <c r="AI13" s="1604"/>
      <c r="AJ13" s="1604"/>
      <c r="AK13" s="1604"/>
      <c r="AL13" s="1604"/>
      <c r="AM13" s="1604"/>
      <c r="AO13" s="1073"/>
      <c r="AP13" s="1073" t="str">
        <f>IF(T13="","",T13)</f>
        <v>Добавить источник для дифференциации</v>
      </c>
      <c r="AQ13" s="1073"/>
      <c r="AR13" s="1073"/>
      <c r="AS13" s="802">
        <v>0</v>
      </c>
    </row>
    <row s="14158" customFormat="1" customHeight="1" ht="0.75" hidden="1">
      <c r="A14" s="1598"/>
      <c r="B14" s="1598"/>
      <c r="C14" s="1598"/>
      <c r="D14" s="1598"/>
      <c r="E14" s="2543"/>
      <c r="F14" s="2542"/>
      <c r="G14" s="1598"/>
      <c r="H14" s="1598"/>
      <c r="I14" s="1598"/>
      <c r="J14" s="1598"/>
      <c r="K14" s="1598"/>
      <c r="L14" s="1623"/>
      <c r="M14" s="1605"/>
      <c r="N14" s="1605"/>
      <c r="P14" s="1600"/>
      <c r="Q14" s="1601"/>
      <c r="R14" s="1600"/>
      <c r="S14" s="1606"/>
      <c r="T14" s="1607" t="s">
        <v>170</v>
      </c>
      <c r="U14" s="1608"/>
      <c r="V14" s="1608"/>
      <c r="W14" s="1608"/>
      <c r="X14" s="1608"/>
      <c r="Y14" s="1608"/>
      <c r="Z14" s="1608"/>
      <c r="AA14" s="1608"/>
      <c r="AB14" s="1608"/>
      <c r="AC14" s="1608"/>
      <c r="AD14" s="1608"/>
      <c r="AE14" s="1608"/>
      <c r="AF14" s="1608"/>
      <c r="AG14" s="1608"/>
      <c r="AH14" s="1608"/>
      <c r="AI14" s="1608"/>
      <c r="AJ14" s="1608"/>
      <c r="AK14" s="1608"/>
      <c r="AL14" s="1608"/>
      <c r="AM14" s="1608"/>
      <c r="AO14" s="1073"/>
      <c r="AP14" s="1073" t="str">
        <f>IF(T14="","",T14)</f>
        <v>Добавить централизованную систему для дифференциации</v>
      </c>
      <c r="AQ14" s="1073"/>
      <c r="AR14" s="1073"/>
      <c r="AS14" s="802">
        <v>0</v>
      </c>
    </row>
    <row s="14158" customFormat="1" customHeight="1" ht="0.75" hidden="1">
      <c r="A15" s="1598"/>
      <c r="B15" s="1598"/>
      <c r="C15" s="1598"/>
      <c r="D15" s="1598"/>
      <c r="E15" s="2542"/>
      <c r="F15" s="1598"/>
      <c r="G15" s="1598"/>
      <c r="H15" s="1598"/>
      <c r="I15" s="1598"/>
      <c r="J15" s="1598"/>
      <c r="K15" s="1598"/>
      <c r="L15" s="1623"/>
      <c r="M15" s="1605"/>
      <c r="N15" s="1605"/>
      <c r="P15" s="1600"/>
      <c r="Q15" s="1601"/>
      <c r="R15" s="1600"/>
      <c r="S15" s="1606"/>
      <c r="T15" s="1609" t="s">
        <v>171</v>
      </c>
      <c r="U15" s="1608"/>
      <c r="V15" s="1608"/>
      <c r="W15" s="1608"/>
      <c r="X15" s="1608"/>
      <c r="Y15" s="1608"/>
      <c r="Z15" s="1608"/>
      <c r="AA15" s="1608"/>
      <c r="AB15" s="1608"/>
      <c r="AC15" s="1608"/>
      <c r="AD15" s="1608"/>
      <c r="AE15" s="1608"/>
      <c r="AF15" s="1608"/>
      <c r="AG15" s="1608"/>
      <c r="AH15" s="1608"/>
      <c r="AI15" s="1608"/>
      <c r="AJ15" s="1608"/>
      <c r="AK15" s="1608"/>
      <c r="AL15" s="1608"/>
      <c r="AM15" s="1608"/>
      <c r="AO15" s="1073"/>
      <c r="AP15" s="1073" t="str">
        <f>IF(T15="","",T15)</f>
        <v>Добавить территорию для дифференциации</v>
      </c>
      <c r="AQ15" s="1073"/>
      <c r="AR15" s="1073"/>
      <c r="AS15" s="802">
        <v>0</v>
      </c>
    </row>
    <row customHeight="1" ht="14.25" hidden="1">
      <c r="AC16" s="611"/>
      <c r="AK16" s="611"/>
      <c r="AS16" s="1439">
        <v>0</v>
      </c>
    </row>
    <row customHeight="1" ht="14.25" hidden="1">
      <c r="AD17" s="1644"/>
      <c r="AE17" s="1644"/>
      <c r="AF17" s="1644"/>
      <c r="AG17" s="1645"/>
      <c r="AH17" s="2551"/>
      <c r="AI17" s="2552" t="s">
        <v>67</v>
      </c>
      <c r="AJ17" s="2551"/>
      <c r="AK17" s="2552" t="s">
        <v>67</v>
      </c>
      <c r="AS17" s="1439">
        <v>0</v>
      </c>
    </row>
    <row customHeight="1" ht="14.25" hidden="1">
      <c r="AD18" s="1644"/>
      <c r="AE18" s="1644"/>
      <c r="AF18" s="1644"/>
      <c r="AG18" s="612" t="str">
        <f>AH17&amp;"-"&amp;AJ17</f>
        <v>-</v>
      </c>
      <c r="AH18" s="2552"/>
      <c r="AI18" s="2552"/>
      <c r="AJ18" s="2552"/>
      <c r="AK18" s="2552"/>
      <c r="AS18" s="1439">
        <v>0</v>
      </c>
    </row>
    <row customHeight="1" ht="14.25" hidden="1">
      <c r="AK19" s="611"/>
      <c r="AS19" s="1439">
        <v>0</v>
      </c>
    </row>
    <row s="14157" customFormat="1" customHeight="1" ht="22.5" hidden="1">
      <c r="L20" s="1613"/>
      <c r="M20" s="1646"/>
      <c r="N20" s="1646"/>
      <c r="O20" s="1651" t="s">
        <v>419</v>
      </c>
      <c r="P20" s="1646"/>
      <c r="Q20" s="1655"/>
      <c r="R20" s="1655"/>
      <c r="S20" s="1013"/>
      <c r="Z20" s="1651"/>
      <c r="AB20" s="1651"/>
      <c r="AC20" s="1650"/>
      <c r="AH20" s="1651"/>
      <c r="AJ20" s="1651"/>
      <c r="AK20" s="1650"/>
      <c r="AN20" s="795"/>
      <c r="AO20" s="795"/>
      <c r="AP20" s="795"/>
      <c r="AQ20" s="795"/>
      <c r="AR20" s="795"/>
      <c r="AS20" s="1444">
        <v>0</v>
      </c>
    </row>
    <row s="14157" customFormat="1" customHeight="1" ht="14.25" hidden="1">
      <c r="L21" s="1613"/>
      <c r="M21" s="1646"/>
      <c r="N21" s="1646"/>
      <c r="O21" s="1646"/>
      <c r="P21" s="1646"/>
      <c r="Q21" s="1655"/>
      <c r="R21" s="1655"/>
      <c r="S21" s="1013"/>
      <c r="AC21" s="1650"/>
      <c r="AK21" s="1650"/>
      <c r="AN21" s="795"/>
      <c r="AO21" s="795"/>
      <c r="AP21" s="795"/>
      <c r="AQ21" s="795"/>
      <c r="AR21" s="795"/>
      <c r="AS21" s="1444">
        <v>0</v>
      </c>
    </row>
    <row s="14157" customFormat="1" customHeight="1" ht="14.25" hidden="1">
      <c r="L22" s="1613"/>
      <c r="M22" s="1646"/>
      <c r="N22" s="1646"/>
      <c r="O22" s="1648" t="s">
        <v>420</v>
      </c>
      <c r="P22" s="1646"/>
      <c r="Q22" s="1655"/>
      <c r="R22" s="1655"/>
      <c r="S22" s="1013"/>
      <c r="T22" s="1444" t="s">
        <v>421</v>
      </c>
      <c r="AA22" s="470" t="s">
        <v>422</v>
      </c>
      <c r="AC22" s="470" t="s">
        <v>423</v>
      </c>
      <c r="AD22" s="1444" t="s">
        <v>421</v>
      </c>
      <c r="AI22" s="470" t="s">
        <v>424</v>
      </c>
      <c r="AK22" s="470" t="s">
        <v>423</v>
      </c>
      <c r="AN22" s="795"/>
      <c r="AO22" s="795"/>
      <c r="AP22" s="795"/>
      <c r="AQ22" s="795"/>
      <c r="AR22" s="795"/>
      <c r="AS22" s="1444">
        <v>0</v>
      </c>
    </row>
    <row customHeight="1" ht="14.25" hidden="1">
      <c r="O23" s="1648"/>
      <c r="AS23" s="1439">
        <v>0</v>
      </c>
    </row>
    <row customHeight="1" ht="14.25" hidden="1">
      <c r="O24" s="1648"/>
      <c r="AS24" s="1439">
        <v>0</v>
      </c>
    </row>
    <row customHeight="1" ht="14.699999999999998">
      <c r="Q25" s="660"/>
      <c r="R25" s="660"/>
      <c r="S25" s="1559"/>
      <c r="T25" s="647"/>
      <c r="U25" s="647"/>
      <c r="V25" s="793"/>
      <c r="W25" s="793"/>
      <c r="X25" s="793"/>
      <c r="Y25" s="793"/>
      <c r="Z25" s="793"/>
      <c r="AA25" s="793"/>
      <c r="AB25" s="793"/>
      <c r="AC25" s="793"/>
      <c r="AD25" s="793"/>
      <c r="AE25" s="793"/>
      <c r="AF25" s="793"/>
      <c r="AG25" s="793"/>
      <c r="AH25" s="793"/>
      <c r="AI25" s="793"/>
      <c r="AJ25" s="793"/>
      <c r="AK25" s="793"/>
      <c r="AS25" s="1439">
        <v>14</v>
      </c>
    </row>
    <row customHeight="1" ht="63">
      <c r="Q26" s="660"/>
      <c r="R26" s="660"/>
      <c r="S26" s="2532"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532"/>
      <c r="U26" s="2532"/>
      <c r="V26" s="2532"/>
      <c r="W26" s="2532"/>
      <c r="X26" s="2532"/>
      <c r="Y26" s="2532"/>
      <c r="Z26" s="2532"/>
      <c r="AA26" s="2532"/>
      <c r="AB26" s="2532"/>
      <c r="AC26" s="2532"/>
      <c r="AD26" s="2532"/>
      <c r="AE26" s="2532"/>
      <c r="AF26" s="2532"/>
      <c r="AG26" s="2532"/>
      <c r="AH26" s="2532"/>
      <c r="AI26" s="2532"/>
      <c r="AJ26" s="2532"/>
      <c r="AK26" s="1527"/>
      <c r="AS26" s="1439">
        <v>60</v>
      </c>
    </row>
    <row customHeight="1" ht="14.699999999999998">
      <c r="Q27" s="660"/>
      <c r="R27" s="660"/>
      <c r="S27" s="2533" t="str">
        <f>IF(org=0,"Не определено",org)</f>
        <v>МУП г. Азова "Теплоэнерго"</v>
      </c>
      <c r="T27" s="2533"/>
      <c r="U27" s="2533"/>
      <c r="V27" s="2533"/>
      <c r="W27" s="2533"/>
      <c r="X27" s="2533"/>
      <c r="Y27" s="2533"/>
      <c r="Z27" s="2533"/>
      <c r="AA27" s="2533"/>
      <c r="AB27" s="2533"/>
      <c r="AC27" s="2533"/>
      <c r="AD27" s="2533"/>
      <c r="AE27" s="2533"/>
      <c r="AF27" s="2533"/>
      <c r="AG27" s="2533"/>
      <c r="AH27" s="2533"/>
      <c r="AI27" s="2533"/>
      <c r="AJ27" s="2533"/>
      <c r="AK27" s="1527"/>
      <c r="AS27" s="1439">
        <v>14</v>
      </c>
    </row>
    <row customHeight="1" ht="14.25" hidden="1">
      <c r="Q28" s="660"/>
      <c r="R28" s="660"/>
      <c r="S28" s="1559"/>
      <c r="T28" s="647"/>
      <c r="U28" s="647"/>
      <c r="V28" s="606"/>
      <c r="W28" s="606"/>
      <c r="X28" s="606"/>
      <c r="Y28" s="606"/>
      <c r="Z28" s="606"/>
      <c r="AA28" s="606"/>
      <c r="AB28" s="606"/>
      <c r="AC28" s="606"/>
      <c r="AD28" s="606"/>
      <c r="AE28" s="606"/>
      <c r="AF28" s="606"/>
      <c r="AG28" s="606"/>
      <c r="AH28" s="606"/>
      <c r="AI28" s="606"/>
      <c r="AJ28" s="606"/>
      <c r="AK28" s="606"/>
      <c r="AL28" s="793"/>
      <c r="AS28" s="1439">
        <v>0</v>
      </c>
    </row>
    <row s="14284" customFormat="1" customHeight="1" ht="25.5" hidden="1">
      <c r="A29" s="1652"/>
      <c r="B29" s="1652"/>
      <c r="C29" s="1652"/>
      <c r="D29" s="1652"/>
      <c r="E29" s="1652"/>
      <c r="F29" s="1652"/>
      <c r="G29" s="1652"/>
      <c r="H29" s="1652"/>
      <c r="I29" s="1652"/>
      <c r="J29" s="1652"/>
      <c r="K29" s="1652"/>
      <c r="L29" s="1653"/>
      <c r="M29" s="1652"/>
      <c r="N29" s="1652"/>
      <c r="O29" s="1652"/>
      <c r="S29" s="2534" t="s">
        <v>42</v>
      </c>
      <c r="T29" s="2534"/>
      <c r="U29" s="1656"/>
      <c r="V29" s="2535" t="str">
        <f>IF(TITLE_NAME_OR_PR_CHANGE="",IF(TITLE_NAME_OR_PR="","",TITLE_NAME_OR_PR),TITLE_NAME_OR_PR_CHANGE)</f>
        <v/>
      </c>
      <c r="W29" s="2535"/>
      <c r="X29" s="2535"/>
      <c r="Y29" s="2535"/>
      <c r="Z29" s="2535"/>
      <c r="AA29" s="2535"/>
      <c r="AB29" s="2535"/>
      <c r="AC29" s="610"/>
      <c r="AD29" s="2535" t="str">
        <f>IF(TITLE_NAME_OR_PR_CHANGE="",IF(TITLE_NAME_OR_PR="","",TITLE_NAME_OR_PR),TITLE_NAME_OR_PR_CHANGE)</f>
        <v/>
      </c>
      <c r="AE29" s="2535"/>
      <c r="AF29" s="2535"/>
      <c r="AG29" s="2535"/>
      <c r="AH29" s="2535"/>
      <c r="AI29" s="2535"/>
      <c r="AJ29" s="2535"/>
      <c r="AK29" s="610"/>
      <c r="AL29" s="610"/>
      <c r="AM29" s="564"/>
      <c r="AN29" s="652"/>
      <c r="AO29" s="652"/>
      <c r="AP29" s="652"/>
      <c r="AQ29" s="652"/>
      <c r="AR29" s="652"/>
      <c r="AS29" s="702">
        <v>0</v>
      </c>
    </row>
    <row s="14284" customFormat="1" customHeight="1" ht="18.75" hidden="1">
      <c r="A30" s="1652"/>
      <c r="B30" s="1652"/>
      <c r="C30" s="1652"/>
      <c r="D30" s="1652"/>
      <c r="E30" s="1652"/>
      <c r="F30" s="1652"/>
      <c r="G30" s="1652"/>
      <c r="H30" s="1652"/>
      <c r="I30" s="1652"/>
      <c r="J30" s="1652"/>
      <c r="K30" s="1652"/>
      <c r="L30" s="1653"/>
      <c r="M30" s="1652"/>
      <c r="N30" s="1652"/>
      <c r="O30" s="1652"/>
      <c r="S30" s="2534" t="s">
        <v>425</v>
      </c>
      <c r="T30" s="2534"/>
      <c r="U30" s="1656"/>
      <c r="V30" s="2548" t="str">
        <f>IF(TITLE_DATE_PR_CHANGE="",IF(TITLE_DATE_PR="","",TITLE_DATE_PR),TITLE_DATE_PR_CHANGE)</f>
        <v>45471</v>
      </c>
      <c r="W30" s="2548"/>
      <c r="X30" s="2548"/>
      <c r="Y30" s="2548"/>
      <c r="Z30" s="2548"/>
      <c r="AA30" s="2548"/>
      <c r="AB30" s="2548"/>
      <c r="AC30" s="610"/>
      <c r="AD30" s="2548" t="str">
        <f>IF(TITLE_DATE_PR_CHANGE="",IF(TITLE_DATE_PR="","",TITLE_DATE_PR),TITLE_DATE_PR_CHANGE)</f>
        <v>45471</v>
      </c>
      <c r="AE30" s="2548"/>
      <c r="AF30" s="2548"/>
      <c r="AG30" s="2548"/>
      <c r="AH30" s="2548"/>
      <c r="AI30" s="2548"/>
      <c r="AJ30" s="2548"/>
      <c r="AK30" s="610"/>
      <c r="AL30" s="610"/>
      <c r="AM30" s="564"/>
      <c r="AN30" s="652"/>
      <c r="AO30" s="652"/>
      <c r="AP30" s="652"/>
      <c r="AQ30" s="652"/>
      <c r="AR30" s="652"/>
      <c r="AS30" s="702">
        <v>0</v>
      </c>
    </row>
    <row s="14284" customFormat="1" customHeight="1" ht="18.75" hidden="1">
      <c r="A31" s="1652"/>
      <c r="B31" s="1652"/>
      <c r="C31" s="1652"/>
      <c r="D31" s="1652"/>
      <c r="E31" s="1652"/>
      <c r="F31" s="1652"/>
      <c r="G31" s="1652"/>
      <c r="H31" s="1652"/>
      <c r="I31" s="1652"/>
      <c r="J31" s="1652"/>
      <c r="K31" s="1652"/>
      <c r="L31" s="1653"/>
      <c r="M31" s="1652"/>
      <c r="N31" s="1652"/>
      <c r="O31" s="1652"/>
      <c r="S31" s="2534" t="s">
        <v>426</v>
      </c>
      <c r="T31" s="2534"/>
      <c r="U31" s="1656"/>
      <c r="V31" s="2535" t="str">
        <f>IF(TITLE_NUMBER_PR_CHANGE="",IF(TITLE_NUMBER_PR="","",TITLE_NUMBER_PR),TITLE_NUMBER_PR_CHANGE)</f>
        <v>50/18-01/261</v>
      </c>
      <c r="W31" s="2535"/>
      <c r="X31" s="2535"/>
      <c r="Y31" s="2535"/>
      <c r="Z31" s="2535"/>
      <c r="AA31" s="2535"/>
      <c r="AB31" s="2535"/>
      <c r="AC31" s="610"/>
      <c r="AD31" s="2535" t="str">
        <f>IF(TITLE_NUMBER_PR_CHANGE="",IF(TITLE_NUMBER_PR="","",TITLE_NUMBER_PR),TITLE_NUMBER_PR_CHANGE)</f>
        <v>50/18-01/261</v>
      </c>
      <c r="AE31" s="2535"/>
      <c r="AF31" s="2535"/>
      <c r="AG31" s="2535"/>
      <c r="AH31" s="2535"/>
      <c r="AI31" s="2535"/>
      <c r="AJ31" s="2535"/>
      <c r="AK31" s="610"/>
      <c r="AL31" s="610"/>
      <c r="AM31" s="564"/>
      <c r="AN31" s="652"/>
      <c r="AO31" s="652"/>
      <c r="AP31" s="652"/>
      <c r="AQ31" s="652"/>
      <c r="AR31" s="652"/>
      <c r="AS31" s="702">
        <v>0</v>
      </c>
    </row>
    <row s="14284" customFormat="1" customHeight="1" ht="18.75" hidden="1">
      <c r="A32" s="1652"/>
      <c r="B32" s="1652"/>
      <c r="C32" s="1652"/>
      <c r="D32" s="1652"/>
      <c r="E32" s="1652"/>
      <c r="F32" s="1652"/>
      <c r="G32" s="1652"/>
      <c r="H32" s="1652"/>
      <c r="I32" s="1652"/>
      <c r="J32" s="1652"/>
      <c r="K32" s="1652"/>
      <c r="L32" s="1653"/>
      <c r="M32" s="1652"/>
      <c r="N32" s="1652"/>
      <c r="O32" s="1652"/>
      <c r="S32" s="2534" t="s">
        <v>43</v>
      </c>
      <c r="T32" s="2534"/>
      <c r="U32" s="1656"/>
      <c r="V32" s="2535" t="str">
        <f>IF(TITLE_IST_PUB_CHANGE="",IF(TITLE_IST_PUB="","",TITLE_IST_PUB),TITLE_IST_PUB_CHANGE)</f>
        <v/>
      </c>
      <c r="W32" s="2535"/>
      <c r="X32" s="2535"/>
      <c r="Y32" s="2535"/>
      <c r="Z32" s="2535"/>
      <c r="AA32" s="2535"/>
      <c r="AB32" s="2535"/>
      <c r="AC32" s="610"/>
      <c r="AD32" s="2535" t="str">
        <f>IF(TITLE_IST_PUB_CHANGE="",IF(TITLE_IST_PUB="","",TITLE_IST_PUB),TITLE_IST_PUB_CHANGE)</f>
        <v/>
      </c>
      <c r="AE32" s="2535"/>
      <c r="AF32" s="2535"/>
      <c r="AG32" s="2535"/>
      <c r="AH32" s="2535"/>
      <c r="AI32" s="2535"/>
      <c r="AJ32" s="2535"/>
      <c r="AK32" s="610"/>
      <c r="AL32" s="610"/>
      <c r="AM32" s="564"/>
      <c r="AN32" s="652"/>
      <c r="AO32" s="652"/>
      <c r="AP32" s="652"/>
      <c r="AQ32" s="652"/>
      <c r="AR32" s="652"/>
      <c r="AS32" s="702">
        <v>0</v>
      </c>
    </row>
    <row customHeight="1" ht="14.25">
      <c r="Q33" s="660"/>
      <c r="R33" s="660"/>
      <c r="S33" s="1559"/>
      <c r="T33" s="647"/>
      <c r="U33" s="647"/>
      <c r="V33" s="606"/>
      <c r="W33" s="606"/>
      <c r="X33" s="606"/>
      <c r="Y33" s="606"/>
      <c r="Z33" s="606"/>
      <c r="AA33" s="606"/>
      <c r="AB33" s="606"/>
      <c r="AC33" s="606"/>
      <c r="AD33" s="606"/>
      <c r="AE33" s="606"/>
      <c r="AF33" s="606"/>
      <c r="AG33" s="606"/>
      <c r="AH33" s="606"/>
      <c r="AI33" s="606"/>
      <c r="AJ33" s="606"/>
      <c r="AK33" s="606"/>
      <c r="AL33" s="793"/>
      <c r="AS33" s="1439">
        <v>0</v>
      </c>
    </row>
    <row s="14284" customFormat="1" customHeight="1" ht="18.75">
      <c r="A34" s="1652"/>
      <c r="B34" s="1652"/>
      <c r="C34" s="1652"/>
      <c r="D34" s="1652"/>
      <c r="E34" s="1652"/>
      <c r="F34" s="1652"/>
      <c r="G34" s="1652"/>
      <c r="H34" s="1652"/>
      <c r="I34" s="1652"/>
      <c r="J34" s="1652"/>
      <c r="K34" s="1652"/>
      <c r="L34" s="1653"/>
      <c r="M34" s="1652"/>
      <c r="N34" s="1652"/>
      <c r="O34" s="1652"/>
      <c r="S34" s="2534" t="s">
        <v>427</v>
      </c>
      <c r="T34" s="2534"/>
      <c r="U34" s="1656"/>
      <c r="V34" s="2548" t="str">
        <f>IF(TITLE_DATE_PR_CHANGE="",IF(TITLE_DATE_PR="","",TITLE_DATE_PR),TITLE_DATE_PR_CHANGE)</f>
        <v>45471</v>
      </c>
      <c r="W34" s="2548"/>
      <c r="X34" s="2548"/>
      <c r="Y34" s="2548"/>
      <c r="Z34" s="2548"/>
      <c r="AA34" s="2548"/>
      <c r="AB34" s="2548"/>
      <c r="AC34" s="610"/>
      <c r="AD34" s="2548" t="str">
        <f>IF(TITLE_DATE_PR_CHANGE="",IF(TITLE_DATE_PR="","",TITLE_DATE_PR),TITLE_DATE_PR_CHANGE)</f>
        <v>45471</v>
      </c>
      <c r="AE34" s="2548"/>
      <c r="AF34" s="2548"/>
      <c r="AG34" s="2548"/>
      <c r="AH34" s="2548"/>
      <c r="AI34" s="2548"/>
      <c r="AJ34" s="2548"/>
      <c r="AK34" s="610"/>
      <c r="AL34" s="610"/>
      <c r="AM34" s="564"/>
      <c r="AN34" s="652"/>
      <c r="AO34" s="652"/>
      <c r="AP34" s="652"/>
      <c r="AQ34" s="652"/>
      <c r="AR34" s="652"/>
      <c r="AS34" s="702">
        <v>0</v>
      </c>
    </row>
    <row s="14284" customFormat="1" customHeight="1" ht="18.75">
      <c r="A35" s="1652"/>
      <c r="B35" s="1652"/>
      <c r="C35" s="1652"/>
      <c r="D35" s="1652"/>
      <c r="E35" s="1652"/>
      <c r="F35" s="1652"/>
      <c r="G35" s="1652"/>
      <c r="H35" s="1652"/>
      <c r="I35" s="1652"/>
      <c r="J35" s="1652"/>
      <c r="K35" s="1652"/>
      <c r="L35" s="1653"/>
      <c r="M35" s="1652"/>
      <c r="N35" s="1652"/>
      <c r="O35" s="1652"/>
      <c r="S35" s="2534" t="s">
        <v>428</v>
      </c>
      <c r="T35" s="2534"/>
      <c r="U35" s="1656"/>
      <c r="V35" s="2535" t="str">
        <f>IF(TITLE_NUMBER_PR_CHANGE="",IF(TITLE_NUMBER_PR="","",TITLE_NUMBER_PR),TITLE_NUMBER_PR_CHANGE)</f>
        <v>50/18-01/261</v>
      </c>
      <c r="W35" s="2535"/>
      <c r="X35" s="2535"/>
      <c r="Y35" s="2535"/>
      <c r="Z35" s="2535"/>
      <c r="AA35" s="2535"/>
      <c r="AB35" s="2535"/>
      <c r="AC35" s="610"/>
      <c r="AD35" s="2535" t="str">
        <f>IF(TITLE_NUMBER_PR_CHANGE="",IF(TITLE_NUMBER_PR="","",TITLE_NUMBER_PR),TITLE_NUMBER_PR_CHANGE)</f>
        <v>50/18-01/261</v>
      </c>
      <c r="AE35" s="2535"/>
      <c r="AF35" s="2535"/>
      <c r="AG35" s="2535"/>
      <c r="AH35" s="2535"/>
      <c r="AI35" s="2535"/>
      <c r="AJ35" s="2535"/>
      <c r="AK35" s="610"/>
      <c r="AL35" s="610"/>
      <c r="AM35" s="564"/>
      <c r="AN35" s="652"/>
      <c r="AO35" s="652"/>
      <c r="AP35" s="652"/>
      <c r="AQ35" s="652"/>
      <c r="AR35" s="652"/>
      <c r="AS35" s="702">
        <v>0</v>
      </c>
    </row>
    <row s="14284" customFormat="1" customHeight="1" ht="0">
      <c r="A36" s="1652"/>
      <c r="B36" s="1652"/>
      <c r="C36" s="1652"/>
      <c r="D36" s="1652"/>
      <c r="E36" s="1652"/>
      <c r="F36" s="1652"/>
      <c r="G36" s="1652"/>
      <c r="H36" s="1652"/>
      <c r="I36" s="1652"/>
      <c r="J36" s="1652"/>
      <c r="K36" s="1652"/>
      <c r="L36" s="1653"/>
      <c r="M36" s="1652"/>
      <c r="N36" s="1652"/>
      <c r="O36" s="1652"/>
      <c r="S36" s="607"/>
      <c r="T36" s="607"/>
      <c r="U36" s="1624"/>
      <c r="V36" s="610"/>
      <c r="W36" s="610"/>
      <c r="X36" s="610"/>
      <c r="Y36" s="610"/>
      <c r="Z36" s="610"/>
      <c r="AA36" s="610"/>
      <c r="AB36" s="610"/>
      <c r="AC36" s="562" t="s">
        <v>429</v>
      </c>
      <c r="AD36" s="610"/>
      <c r="AE36" s="610"/>
      <c r="AF36" s="610"/>
      <c r="AG36" s="610"/>
      <c r="AH36" s="610"/>
      <c r="AI36" s="610"/>
      <c r="AJ36" s="610"/>
      <c r="AK36" s="562" t="s">
        <v>429</v>
      </c>
      <c r="AN36" s="652"/>
      <c r="AO36" s="652"/>
      <c r="AP36" s="652"/>
      <c r="AQ36" s="652"/>
      <c r="AR36" s="652"/>
      <c r="AS36" s="702">
        <v>0</v>
      </c>
    </row>
    <row customHeight="1" ht="14.699999999999998">
      <c r="Q37" s="660"/>
      <c r="R37" s="660"/>
      <c r="S37" s="1559"/>
      <c r="T37" s="647"/>
      <c r="U37" s="1528"/>
      <c r="V37" s="2536"/>
      <c r="W37" s="2536"/>
      <c r="X37" s="2536"/>
      <c r="Y37" s="2536"/>
      <c r="Z37" s="2536"/>
      <c r="AA37" s="2536"/>
      <c r="AB37" s="2536"/>
      <c r="AC37" s="2536"/>
      <c r="AD37" s="2536"/>
      <c r="AE37" s="2536"/>
      <c r="AF37" s="2536"/>
      <c r="AG37" s="2536"/>
      <c r="AH37" s="2536"/>
      <c r="AI37" s="2536"/>
      <c r="AJ37" s="2536"/>
      <c r="AK37" s="2536"/>
      <c r="AS37" s="1439">
        <v>14</v>
      </c>
    </row>
    <row customHeight="1" ht="14.699999999999998">
      <c r="Q38" s="660"/>
      <c r="R38" s="660"/>
      <c r="S38" s="2411" t="s">
        <v>305</v>
      </c>
      <c r="T38" s="2411"/>
      <c r="U38" s="2411"/>
      <c r="V38" s="2411"/>
      <c r="W38" s="2411"/>
      <c r="X38" s="2411"/>
      <c r="Y38" s="2411"/>
      <c r="Z38" s="2411"/>
      <c r="AA38" s="2411"/>
      <c r="AB38" s="2411"/>
      <c r="AC38" s="2411"/>
      <c r="AD38" s="2411"/>
      <c r="AE38" s="2411"/>
      <c r="AF38" s="2411"/>
      <c r="AG38" s="2411"/>
      <c r="AH38" s="2411"/>
      <c r="AI38" s="2411"/>
      <c r="AJ38" s="2411"/>
      <c r="AK38" s="2411"/>
      <c r="AL38" s="2411"/>
      <c r="AM38" s="2411" t="s">
        <v>306</v>
      </c>
      <c r="AS38" s="1439">
        <v>14</v>
      </c>
    </row>
    <row customHeight="1" ht="14.699999999999998">
      <c r="Q39" s="660"/>
      <c r="R39" s="660"/>
      <c r="S39" s="2557" t="s">
        <v>89</v>
      </c>
      <c r="T39" s="2493" t="s">
        <v>430</v>
      </c>
      <c r="U39" s="585"/>
      <c r="V39" s="2558" t="s">
        <v>431</v>
      </c>
      <c r="W39" s="2559"/>
      <c r="X39" s="2559"/>
      <c r="Y39" s="2559"/>
      <c r="Z39" s="2559"/>
      <c r="AA39" s="2559"/>
      <c r="AB39" s="2560"/>
      <c r="AC39" s="2561" t="s">
        <v>432</v>
      </c>
      <c r="AD39" s="2558" t="s">
        <v>431</v>
      </c>
      <c r="AE39" s="2559"/>
      <c r="AF39" s="2559"/>
      <c r="AG39" s="2559"/>
      <c r="AH39" s="2559"/>
      <c r="AI39" s="2559"/>
      <c r="AJ39" s="2560"/>
      <c r="AK39" s="2561" t="s">
        <v>433</v>
      </c>
      <c r="AL39" s="2564" t="s">
        <v>434</v>
      </c>
      <c r="AM39" s="2411"/>
      <c r="AS39" s="1439">
        <v>14</v>
      </c>
    </row>
    <row customHeight="1" ht="35.699999999999996">
      <c r="Q40" s="660"/>
      <c r="R40" s="660"/>
      <c r="S40" s="2557"/>
      <c r="T40" s="2493"/>
      <c r="U40" s="1315"/>
      <c r="V40" s="2544" t="s">
        <v>435</v>
      </c>
      <c r="W40" s="2567"/>
      <c r="X40" s="2546" t="s">
        <v>437</v>
      </c>
      <c r="Y40" s="2547"/>
      <c r="Z40" s="2546" t="s">
        <v>438</v>
      </c>
      <c r="AA40" s="2553"/>
      <c r="AB40" s="2547"/>
      <c r="AC40" s="2562"/>
      <c r="AD40" s="2544" t="s">
        <v>458</v>
      </c>
      <c r="AE40" s="2567"/>
      <c r="AF40" s="2546" t="s">
        <v>437</v>
      </c>
      <c r="AG40" s="2547"/>
      <c r="AH40" s="2546" t="s">
        <v>438</v>
      </c>
      <c r="AI40" s="2553"/>
      <c r="AJ40" s="2547"/>
      <c r="AK40" s="2562"/>
      <c r="AL40" s="2565"/>
      <c r="AM40" s="2411"/>
      <c r="AS40" s="1439">
        <v>34</v>
      </c>
    </row>
    <row customHeight="1" ht="35.699999999999996">
      <c r="A41" s="1654"/>
      <c r="B41" s="1654" t="s">
        <v>136</v>
      </c>
      <c r="C41" s="1654" t="s">
        <v>137</v>
      </c>
      <c r="D41" s="1654" t="s">
        <v>138</v>
      </c>
      <c r="E41" s="1648" t="s">
        <v>439</v>
      </c>
      <c r="F41" s="1648" t="s">
        <v>440</v>
      </c>
      <c r="G41" s="1648" t="s">
        <v>441</v>
      </c>
      <c r="H41" s="1648" t="s">
        <v>442</v>
      </c>
      <c r="I41" s="1648" t="s">
        <v>443</v>
      </c>
      <c r="J41" s="1648" t="s">
        <v>444</v>
      </c>
      <c r="K41" s="1648" t="s">
        <v>445</v>
      </c>
      <c r="L41" s="1648" t="s">
        <v>420</v>
      </c>
      <c r="Q41" s="660"/>
      <c r="R41" s="660"/>
      <c r="S41" s="2557"/>
      <c r="T41" s="2493"/>
      <c r="U41" s="586"/>
      <c r="V41" s="2545"/>
      <c r="W41" s="2568"/>
      <c r="X41" s="1506" t="s">
        <v>446</v>
      </c>
      <c r="Y41" s="1506" t="s">
        <v>447</v>
      </c>
      <c r="Z41" s="1622" t="s">
        <v>448</v>
      </c>
      <c r="AA41" s="2554" t="s">
        <v>449</v>
      </c>
      <c r="AB41" s="2555"/>
      <c r="AC41" s="2563"/>
      <c r="AD41" s="2545"/>
      <c r="AE41" s="2568"/>
      <c r="AF41" s="1506" t="s">
        <v>446</v>
      </c>
      <c r="AG41" s="1506" t="s">
        <v>447</v>
      </c>
      <c r="AH41" s="1622" t="s">
        <v>448</v>
      </c>
      <c r="AI41" s="2554" t="s">
        <v>449</v>
      </c>
      <c r="AJ41" s="2555"/>
      <c r="AK41" s="2563"/>
      <c r="AL41" s="2566"/>
      <c r="AM41" s="2411"/>
      <c r="AS41" s="1439">
        <v>34</v>
      </c>
    </row>
    <row s="14730" customFormat="1" customHeight="1" ht="11.25" hidden="1">
      <c r="A42" s="1654"/>
      <c r="B42" s="1654"/>
      <c r="C42" s="1654"/>
      <c r="D42" s="1654"/>
      <c r="E42" s="1654"/>
      <c r="F42" s="1654"/>
      <c r="G42" s="1654"/>
      <c r="H42" s="1654"/>
      <c r="I42" s="1654"/>
      <c r="J42" s="1654"/>
      <c r="K42" s="1654"/>
      <c r="L42" s="1648"/>
      <c r="M42" s="1646"/>
      <c r="N42" s="1646"/>
      <c r="O42" s="1646"/>
      <c r="P42" s="1530"/>
      <c r="Q42" s="1531"/>
      <c r="R42" s="1538">
        <v>1</v>
      </c>
      <c r="S42" s="1561" t="s">
        <v>110</v>
      </c>
      <c r="T42" s="1539" t="s">
        <v>111</v>
      </c>
      <c r="U42" s="1529" t="str">
        <f>OFFSET(U42,0,-1)</f>
        <v>2</v>
      </c>
      <c r="V42" s="1619">
        <f>OFFSET(V42,0,-1)+1</f>
        <v>3</v>
      </c>
      <c r="W42" s="1619"/>
      <c r="X42" s="1619">
        <f>OFFSET(X42,0,-1)+1</f>
        <v>1</v>
      </c>
      <c r="Y42" s="1619">
        <f>OFFSET(Y42,0,-1)+1</f>
        <v>2</v>
      </c>
      <c r="Z42" s="1619">
        <f>OFFSET(Z42,0,-1)+1</f>
        <v>3</v>
      </c>
      <c r="AA42" s="2556">
        <f>OFFSET(AA42,0,-1)+1</f>
        <v>4</v>
      </c>
      <c r="AB42" s="2556"/>
      <c r="AC42" s="1619">
        <f>OFFSET(AC42,0,-2)+1</f>
        <v>5</v>
      </c>
      <c r="AD42" s="1619">
        <f>OFFSET(AD42,0,-1)+1</f>
        <v>6</v>
      </c>
      <c r="AE42" s="1619"/>
      <c r="AF42" s="1619">
        <f>OFFSET(AF42,0,-1)+1</f>
        <v>1</v>
      </c>
      <c r="AG42" s="1619">
        <f>OFFSET(AG42,0,-1)+1</f>
        <v>2</v>
      </c>
      <c r="AH42" s="1619">
        <f>OFFSET(AH42,0,-1)+1</f>
        <v>3</v>
      </c>
      <c r="AI42" s="2556">
        <f>OFFSET(AI42,0,-1)+1</f>
        <v>4</v>
      </c>
      <c r="AJ42" s="2556"/>
      <c r="AK42" s="1619">
        <f>OFFSET(AK42,0,-2)+1</f>
        <v>5</v>
      </c>
      <c r="AL42" s="1529">
        <f>OFFSET(AL42,0,-1)</f>
        <v>5</v>
      </c>
      <c r="AM42" s="1619">
        <f>OFFSET(AM42,0,-1)+1</f>
        <v>6</v>
      </c>
      <c r="AN42" s="795"/>
      <c r="AO42" s="795"/>
      <c r="AP42" s="795"/>
      <c r="AQ42" s="795"/>
      <c r="AR42" s="795"/>
      <c r="AS42" s="780">
        <v>0</v>
      </c>
    </row>
    <row customHeight="1" ht="22.049999999999997">
      <c r="A43" s="1647" t="s">
        <v>175</v>
      </c>
      <c r="B43" s="1647"/>
      <c r="C43" s="1647"/>
      <c r="D43" s="1647"/>
      <c r="E43" s="2542">
        <v>1</v>
      </c>
      <c r="F43" s="1647"/>
      <c r="G43" s="1647"/>
      <c r="H43" s="1647"/>
      <c r="I43" s="1647"/>
      <c r="J43" s="1647"/>
      <c r="K43" s="1647"/>
      <c r="L43" s="1648"/>
      <c r="M43" s="1649"/>
      <c r="N43" s="1649"/>
      <c r="O43" s="1649"/>
      <c r="P43" s="645"/>
      <c r="Q43" s="644"/>
      <c r="R43" s="639"/>
      <c r="S43" s="1620">
        <f>INDEX(PT_DIFFERENTIATION_NUM_NTAR,MATCH(A43,PT_DIFFERENTIATION_NTAR_ID,0))</f>
        <v>0</v>
      </c>
      <c r="T43" s="582" t="s">
        <v>124</v>
      </c>
      <c r="U43" s="584"/>
      <c r="V43" s="2526"/>
      <c r="W43" s="2527"/>
      <c r="X43" s="2527"/>
      <c r="Y43" s="2527"/>
      <c r="Z43" s="2527"/>
      <c r="AA43" s="2527"/>
      <c r="AB43" s="2527"/>
      <c r="AC43" s="2528"/>
      <c r="AD43" s="2526" t="str">
        <f>INDEX(PT_DIFFERENTIATION_NTAR,MATCH(A43,PT_DIFFERENTIATION_NTAR_ID,0))</f>
        <v/>
      </c>
      <c r="AE43" s="2527"/>
      <c r="AF43" s="2527"/>
      <c r="AG43" s="2527"/>
      <c r="AH43" s="2527"/>
      <c r="AI43" s="2527"/>
      <c r="AJ43" s="2527"/>
      <c r="AK43" s="2527"/>
      <c r="AL43" s="2528"/>
      <c r="AM43" s="1542"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784"/>
      <c r="AP43" s="784" t="str">
        <f>IF(T43="","",T43)</f>
        <v>Наименование тарифа</v>
      </c>
      <c r="AQ43" s="784"/>
      <c r="AR43" s="784"/>
      <c r="AS43" s="1439">
        <v>21</v>
      </c>
    </row>
    <row customHeight="1" ht="22.049999999999997">
      <c r="A44" s="1647" t="s">
        <v>175</v>
      </c>
      <c r="B44" s="1647" t="s">
        <v>176</v>
      </c>
      <c r="C44" s="1647"/>
      <c r="D44" s="1647"/>
      <c r="E44" s="2543"/>
      <c r="F44" s="2542">
        <v>1</v>
      </c>
      <c r="G44" s="1647"/>
      <c r="H44" s="1647"/>
      <c r="I44" s="1647"/>
      <c r="J44" s="1647"/>
      <c r="K44" s="1647"/>
      <c r="L44" s="1648"/>
      <c r="M44" s="1649"/>
      <c r="N44" s="1649"/>
      <c r="O44" s="1649"/>
      <c r="P44" s="1616"/>
      <c r="Q44" s="636"/>
      <c r="R44" s="637"/>
      <c r="S44" s="1620" t="str">
        <f>INDEX(PT_DIFFERENTIATION_NUM_TER,MATCH(B44,PT_DIFFERENTIATION_TER_ID,0))</f>
        <v>.</v>
      </c>
      <c r="T44" s="592" t="s">
        <v>402</v>
      </c>
      <c r="U44" s="584"/>
      <c r="V44" s="2526"/>
      <c r="W44" s="2527"/>
      <c r="X44" s="2527"/>
      <c r="Y44" s="2527"/>
      <c r="Z44" s="2527"/>
      <c r="AA44" s="2527"/>
      <c r="AB44" s="2527"/>
      <c r="AC44" s="2528"/>
      <c r="AD44" s="2526" t="str">
        <f>INDEX(PT_DIFFERENTIATION_TER,MATCH(B44,PT_DIFFERENTIATION_TER_ID,0))</f>
        <v/>
      </c>
      <c r="AE44" s="2527"/>
      <c r="AF44" s="2527"/>
      <c r="AG44" s="2527"/>
      <c r="AH44" s="2527"/>
      <c r="AI44" s="2527"/>
      <c r="AJ44" s="2527"/>
      <c r="AK44" s="2527"/>
      <c r="AL44" s="2528"/>
      <c r="AM44" s="1542" t="s">
        <v>403</v>
      </c>
      <c r="AO44" s="784"/>
      <c r="AP44" s="784" t="str">
        <f>IF(T44="","",T44)</f>
        <v>Территория действия тарифа</v>
      </c>
      <c r="AQ44" s="784"/>
      <c r="AR44" s="784"/>
      <c r="AS44" s="1439">
        <v>21</v>
      </c>
    </row>
    <row customHeight="1" ht="24">
      <c r="A45" s="1647" t="s">
        <v>175</v>
      </c>
      <c r="B45" s="1647" t="s">
        <v>176</v>
      </c>
      <c r="C45" s="1647" t="s">
        <v>177</v>
      </c>
      <c r="D45" s="1647"/>
      <c r="E45" s="2543"/>
      <c r="F45" s="2543"/>
      <c r="G45" s="2542">
        <v>1</v>
      </c>
      <c r="H45" s="1647"/>
      <c r="I45" s="1647"/>
      <c r="J45" s="1647"/>
      <c r="K45" s="1647"/>
      <c r="L45" s="1648"/>
      <c r="M45" s="1649"/>
      <c r="N45" s="1649"/>
      <c r="O45" s="1649"/>
      <c r="P45" s="638"/>
      <c r="Q45" s="636"/>
      <c r="R45" s="637"/>
      <c r="S45" s="1620" t="str">
        <f>INDEX(PT_DIFFERENTIATION_NUM_CS,MATCH(C45,PT_DIFFERENTIATION_CS_ID,0))</f>
        <v>..</v>
      </c>
      <c r="T45" s="593" t="s">
        <v>404</v>
      </c>
      <c r="U45" s="584"/>
      <c r="V45" s="2526"/>
      <c r="W45" s="2527"/>
      <c r="X45" s="2527"/>
      <c r="Y45" s="2527"/>
      <c r="Z45" s="2527"/>
      <c r="AA45" s="2527"/>
      <c r="AB45" s="2527"/>
      <c r="AC45" s="2528"/>
      <c r="AD45" s="2526" t="str">
        <f>INDEX(PT_DIFFERENTIATION_CS,MATCH(C45,PT_DIFFERENTIATION_CS_ID,0))</f>
        <v/>
      </c>
      <c r="AE45" s="2527"/>
      <c r="AF45" s="2527"/>
      <c r="AG45" s="2527"/>
      <c r="AH45" s="2527"/>
      <c r="AI45" s="2527"/>
      <c r="AJ45" s="2527"/>
      <c r="AK45" s="2527"/>
      <c r="AL45" s="2528"/>
      <c r="AM45" s="1542" t="s">
        <v>405</v>
      </c>
      <c r="AO45" s="784"/>
      <c r="AP45" s="784" t="str">
        <f>IF(T45="","",T45)</f>
        <v>Наименование системы теплоснабжения </v>
      </c>
      <c r="AQ45" s="784"/>
      <c r="AR45" s="784"/>
      <c r="AS45" s="1439">
        <v>23</v>
      </c>
    </row>
    <row customHeight="1" ht="22.049999999999997">
      <c r="A46" s="1647" t="s">
        <v>175</v>
      </c>
      <c r="B46" s="1647" t="s">
        <v>176</v>
      </c>
      <c r="C46" s="1647" t="s">
        <v>177</v>
      </c>
      <c r="D46" s="1647" t="s">
        <v>178</v>
      </c>
      <c r="E46" s="2543"/>
      <c r="F46" s="2543"/>
      <c r="G46" s="2543"/>
      <c r="H46" s="2542">
        <v>1</v>
      </c>
      <c r="I46" s="1647"/>
      <c r="J46" s="1647"/>
      <c r="K46" s="1647"/>
      <c r="L46" s="1648"/>
      <c r="M46" s="1649"/>
      <c r="N46" s="1649"/>
      <c r="O46" s="1649"/>
      <c r="P46" s="638"/>
      <c r="Q46" s="636"/>
      <c r="R46" s="637"/>
      <c r="S46" s="1620" t="str">
        <f>INDEX(PT_DIFFERENTIATION_NUM_IST_TE,MATCH(D46,PT_DIFFERENTIATION_IST_TE_ID,0))</f>
        <v>...</v>
      </c>
      <c r="T46" s="594" t="s">
        <v>406</v>
      </c>
      <c r="U46" s="584"/>
      <c r="V46" s="2526"/>
      <c r="W46" s="2527"/>
      <c r="X46" s="2527"/>
      <c r="Y46" s="2527"/>
      <c r="Z46" s="2527"/>
      <c r="AA46" s="2527"/>
      <c r="AB46" s="2527"/>
      <c r="AC46" s="2528"/>
      <c r="AD46" s="2526" t="str">
        <f>INDEX(PT_DIFFERENTIATION_IST_TE,MATCH(D46,PT_DIFFERENTIATION_IST_TE_ID,0))</f>
        <v/>
      </c>
      <c r="AE46" s="2527"/>
      <c r="AF46" s="2527"/>
      <c r="AG46" s="2527"/>
      <c r="AH46" s="2527"/>
      <c r="AI46" s="2527"/>
      <c r="AJ46" s="2527"/>
      <c r="AK46" s="2527"/>
      <c r="AL46" s="2528"/>
      <c r="AM46" s="1542" t="s">
        <v>407</v>
      </c>
      <c r="AO46" s="784"/>
      <c r="AP46" s="784" t="str">
        <f>IF(T46="","",T46)</f>
        <v>Источник тепловой энергии  </v>
      </c>
      <c r="AQ46" s="784"/>
      <c r="AR46" s="784"/>
      <c r="AS46" s="1439">
        <v>21</v>
      </c>
    </row>
    <row s="14158" customFormat="1" customHeight="1" ht="0">
      <c r="A47" s="1627" t="s">
        <v>175</v>
      </c>
      <c r="B47" s="1627" t="s">
        <v>176</v>
      </c>
      <c r="C47" s="1627" t="s">
        <v>177</v>
      </c>
      <c r="D47" s="1627" t="s">
        <v>178</v>
      </c>
      <c r="E47" s="2543"/>
      <c r="F47" s="2543"/>
      <c r="G47" s="2543"/>
      <c r="H47" s="2543"/>
      <c r="I47" s="2540" t="str">
        <f>S46&amp;".1"</f>
        <v>....1</v>
      </c>
      <c r="J47" s="1627"/>
      <c r="K47" s="1627"/>
      <c r="L47" s="1630" t="s">
        <v>408</v>
      </c>
      <c r="M47" s="794"/>
      <c r="N47" s="794"/>
      <c r="O47" s="794"/>
      <c r="P47" s="2541">
        <v>1</v>
      </c>
      <c r="Q47" s="1615"/>
      <c r="R47" s="640"/>
      <c r="S47" s="1326"/>
      <c r="T47" s="1667"/>
      <c r="U47" s="1668"/>
      <c r="V47" s="2580"/>
      <c r="W47" s="2581"/>
      <c r="X47" s="2581"/>
      <c r="Y47" s="2581"/>
      <c r="Z47" s="2581"/>
      <c r="AA47" s="2581"/>
      <c r="AB47" s="2581"/>
      <c r="AC47" s="2582"/>
      <c r="AD47" s="2580"/>
      <c r="AE47" s="2581"/>
      <c r="AF47" s="2581"/>
      <c r="AG47" s="2581"/>
      <c r="AH47" s="2581"/>
      <c r="AI47" s="2581"/>
      <c r="AJ47" s="2581"/>
      <c r="AK47" s="2581"/>
      <c r="AL47" s="2582"/>
      <c r="AM47" s="1669"/>
      <c r="AO47" s="784"/>
      <c r="AP47" s="784" t="str">
        <f>IF(T47="","",T47)</f>
        <v/>
      </c>
      <c r="AQ47" s="784"/>
      <c r="AR47" s="784"/>
      <c r="AS47" s="795">
        <v>0</v>
      </c>
    </row>
    <row customHeight="1" ht="22.049999999999997">
      <c r="A48" s="1647" t="s">
        <v>175</v>
      </c>
      <c r="B48" s="1647" t="s">
        <v>176</v>
      </c>
      <c r="C48" s="1647" t="s">
        <v>177</v>
      </c>
      <c r="D48" s="1647" t="s">
        <v>178</v>
      </c>
      <c r="E48" s="2543"/>
      <c r="F48" s="2543"/>
      <c r="G48" s="2543"/>
      <c r="H48" s="2543"/>
      <c r="I48" s="2570"/>
      <c r="J48" s="2540" t="str">
        <f>S46&amp;".1"</f>
        <v>....1</v>
      </c>
      <c r="K48" s="1647"/>
      <c r="L48" s="1648" t="s">
        <v>411</v>
      </c>
      <c r="P48" s="2541"/>
      <c r="Q48" s="2541">
        <v>1</v>
      </c>
      <c r="R48" s="641"/>
      <c r="S48" s="1620" t="str">
        <f>$J48</f>
        <v>....1</v>
      </c>
      <c r="T48" s="570" t="s">
        <v>412</v>
      </c>
      <c r="U48" s="584"/>
      <c r="V48" s="2529"/>
      <c r="W48" s="2530"/>
      <c r="X48" s="2530"/>
      <c r="Y48" s="2530"/>
      <c r="Z48" s="2530"/>
      <c r="AA48" s="2530"/>
      <c r="AB48" s="2530"/>
      <c r="AC48" s="2531"/>
      <c r="AD48" s="2529"/>
      <c r="AE48" s="2530"/>
      <c r="AF48" s="2530"/>
      <c r="AG48" s="2530"/>
      <c r="AH48" s="2530"/>
      <c r="AI48" s="2530"/>
      <c r="AJ48" s="2530"/>
      <c r="AK48" s="2530"/>
      <c r="AL48" s="2531"/>
      <c r="AM48" s="1542" t="s">
        <v>413</v>
      </c>
      <c r="AO48" s="784"/>
      <c r="AP48" s="784" t="str">
        <f>IF(T48="","",T48)</f>
        <v>Группа потребителей</v>
      </c>
      <c r="AQ48" s="784"/>
      <c r="AR48" s="784"/>
      <c r="AS48" s="1439">
        <v>21</v>
      </c>
    </row>
    <row customHeight="1" ht="22.049999999999997">
      <c r="A49" s="1647" t="s">
        <v>175</v>
      </c>
      <c r="B49" s="1647" t="s">
        <v>176</v>
      </c>
      <c r="C49" s="1647" t="s">
        <v>177</v>
      </c>
      <c r="D49" s="1647" t="s">
        <v>178</v>
      </c>
      <c r="E49" s="2543"/>
      <c r="F49" s="2543"/>
      <c r="G49" s="2543"/>
      <c r="H49" s="2543"/>
      <c r="I49" s="2570"/>
      <c r="J49" s="2570"/>
      <c r="K49" s="2540" t="str">
        <f>J48&amp;".1"</f>
        <v>....1.1</v>
      </c>
      <c r="L49" s="1648" t="s">
        <v>414</v>
      </c>
      <c r="P49" s="2541"/>
      <c r="Q49" s="2541"/>
      <c r="R49" s="641">
        <v>1</v>
      </c>
      <c r="S49" s="1620" t="str">
        <f>$K49</f>
        <v>....1.1</v>
      </c>
      <c r="T49" s="1631"/>
      <c r="U49" s="584"/>
      <c r="V49" s="1035"/>
      <c r="W49" s="609"/>
      <c r="X49" s="1035"/>
      <c r="Y49" s="1541"/>
      <c r="Z49" s="2549"/>
      <c r="AA49" s="2391" t="s">
        <v>67</v>
      </c>
      <c r="AB49" s="2549"/>
      <c r="AC49" s="2391" t="s">
        <v>67</v>
      </c>
      <c r="AD49" s="1035"/>
      <c r="AE49" s="609"/>
      <c r="AF49" s="1035"/>
      <c r="AG49" s="1541"/>
      <c r="AH49" s="2549"/>
      <c r="AI49" s="2391" t="s">
        <v>67</v>
      </c>
      <c r="AJ49" s="2571"/>
      <c r="AK49" s="2391" t="s">
        <v>67</v>
      </c>
      <c r="AL49" s="1632"/>
      <c r="AM49" s="2537" t="s">
        <v>459</v>
      </c>
      <c r="AN49" s="795">
        <f>STRCHECKDATE(V50:AL50)</f>
      </c>
      <c r="AO49" s="784"/>
      <c r="AP49" s="784" t="str">
        <f>IF(T49="","",T49)</f>
        <v/>
      </c>
      <c r="AQ49" s="784"/>
      <c r="AR49" s="784"/>
      <c r="AS49" s="1439">
        <v>21</v>
      </c>
    </row>
    <row customHeight="1" ht="1.05">
      <c r="A50" s="1647" t="s">
        <v>175</v>
      </c>
      <c r="B50" s="1647" t="s">
        <v>176</v>
      </c>
      <c r="C50" s="1647" t="s">
        <v>177</v>
      </c>
      <c r="D50" s="1647" t="s">
        <v>178</v>
      </c>
      <c r="E50" s="2543"/>
      <c r="F50" s="2543"/>
      <c r="G50" s="2543"/>
      <c r="H50" s="2543"/>
      <c r="I50" s="2570"/>
      <c r="J50" s="2570"/>
      <c r="K50" s="2540"/>
      <c r="L50" s="1648"/>
      <c r="P50" s="2541"/>
      <c r="Q50" s="2541"/>
      <c r="R50" s="641"/>
      <c r="S50" s="1626"/>
      <c r="T50" s="584"/>
      <c r="U50" s="584"/>
      <c r="V50" s="609"/>
      <c r="W50" s="609"/>
      <c r="X50" s="609"/>
      <c r="Y50" s="612" t="str">
        <f>Z49&amp;"-"&amp;AB49</f>
        <v>-</v>
      </c>
      <c r="Z50" s="2550"/>
      <c r="AA50" s="2391"/>
      <c r="AB50" s="2550"/>
      <c r="AC50" s="2391"/>
      <c r="AD50" s="609"/>
      <c r="AE50" s="609"/>
      <c r="AF50" s="609"/>
      <c r="AG50" s="612" t="str">
        <f>AH49&amp;"-"&amp;AJ49</f>
        <v>-</v>
      </c>
      <c r="AH50" s="2550"/>
      <c r="AI50" s="2391"/>
      <c r="AJ50" s="2572"/>
      <c r="AK50" s="2391"/>
      <c r="AL50" s="1633"/>
      <c r="AM50" s="2538"/>
      <c r="AO50" s="784"/>
      <c r="AP50" s="784" t="str">
        <f>IF(T50="","",T50)</f>
        <v/>
      </c>
      <c r="AQ50" s="784"/>
      <c r="AR50" s="784"/>
      <c r="AS50" s="1439">
        <v>1</v>
      </c>
    </row>
    <row customHeight="1" ht="11.549999999999999">
      <c r="A51" s="1647" t="s">
        <v>175</v>
      </c>
      <c r="B51" s="1647" t="s">
        <v>176</v>
      </c>
      <c r="C51" s="1647" t="s">
        <v>177</v>
      </c>
      <c r="D51" s="1647" t="s">
        <v>178</v>
      </c>
      <c r="E51" s="2543"/>
      <c r="F51" s="2543"/>
      <c r="G51" s="2543"/>
      <c r="H51" s="2543"/>
      <c r="I51" s="2570"/>
      <c r="J51" s="2540"/>
      <c r="K51" s="1647"/>
      <c r="L51" s="1648"/>
      <c r="P51" s="2541"/>
      <c r="Q51" s="2541"/>
      <c r="R51" s="640"/>
      <c r="S51" s="1562"/>
      <c r="T51" s="571" t="s">
        <v>416</v>
      </c>
      <c r="U51" s="651"/>
      <c r="V51" s="651"/>
      <c r="W51" s="651"/>
      <c r="X51" s="651"/>
      <c r="Y51" s="651"/>
      <c r="Z51" s="651"/>
      <c r="AA51" s="651"/>
      <c r="AB51" s="651"/>
      <c r="AC51" s="651"/>
      <c r="AD51" s="651"/>
      <c r="AE51" s="651"/>
      <c r="AF51" s="651"/>
      <c r="AG51" s="651"/>
      <c r="AH51" s="651"/>
      <c r="AI51" s="651"/>
      <c r="AJ51" s="651"/>
      <c r="AK51" s="651"/>
      <c r="AL51" s="608"/>
      <c r="AM51" s="2539"/>
      <c r="AO51" s="784"/>
      <c r="AP51" s="784" t="str">
        <f>IF(T51="","",T51)</f>
        <v>Добавить вид теплоносителя (параметры теплоносителя)</v>
      </c>
      <c r="AQ51" s="784"/>
      <c r="AR51" s="784"/>
      <c r="AS51" s="1439">
        <v>11</v>
      </c>
    </row>
    <row customHeight="1" ht="11.549999999999999">
      <c r="A52" s="1647" t="s">
        <v>175</v>
      </c>
      <c r="B52" s="1647" t="s">
        <v>176</v>
      </c>
      <c r="C52" s="1647" t="s">
        <v>177</v>
      </c>
      <c r="D52" s="1647" t="s">
        <v>178</v>
      </c>
      <c r="E52" s="2543"/>
      <c r="F52" s="2543"/>
      <c r="G52" s="2543"/>
      <c r="H52" s="2543"/>
      <c r="I52" s="2540"/>
      <c r="J52" s="1647"/>
      <c r="K52" s="1647"/>
      <c r="L52" s="1648"/>
      <c r="P52" s="2541"/>
      <c r="Q52" s="1615"/>
      <c r="R52" s="640"/>
      <c r="S52" s="1562"/>
      <c r="T52" s="649" t="s">
        <v>417</v>
      </c>
      <c r="U52" s="651"/>
      <c r="V52" s="651"/>
      <c r="W52" s="651"/>
      <c r="X52" s="651"/>
      <c r="Y52" s="651"/>
      <c r="Z52" s="651"/>
      <c r="AA52" s="651"/>
      <c r="AB52" s="651"/>
      <c r="AC52" s="650"/>
      <c r="AD52" s="651"/>
      <c r="AE52" s="651"/>
      <c r="AF52" s="651"/>
      <c r="AG52" s="651"/>
      <c r="AH52" s="651"/>
      <c r="AI52" s="651"/>
      <c r="AJ52" s="651"/>
      <c r="AK52" s="650"/>
      <c r="AL52" s="651"/>
      <c r="AM52" s="587"/>
      <c r="AO52" s="784"/>
      <c r="AP52" s="784" t="str">
        <f>IF(T52="","",T52)</f>
        <v>Добавить группу потребителей</v>
      </c>
      <c r="AQ52" s="784"/>
      <c r="AR52" s="784"/>
      <c r="AS52" s="1439">
        <v>11</v>
      </c>
    </row>
    <row customHeight="1" ht="0">
      <c r="A53" s="1647" t="s">
        <v>175</v>
      </c>
      <c r="B53" s="1647" t="s">
        <v>176</v>
      </c>
      <c r="C53" s="1647" t="s">
        <v>177</v>
      </c>
      <c r="D53" s="1647" t="s">
        <v>178</v>
      </c>
      <c r="E53" s="2543"/>
      <c r="F53" s="2543"/>
      <c r="G53" s="2543"/>
      <c r="H53" s="2542"/>
      <c r="I53" s="1647"/>
      <c r="J53" s="1647"/>
      <c r="K53" s="1647"/>
      <c r="L53" s="1648"/>
      <c r="M53" s="1649"/>
      <c r="N53" s="1649"/>
      <c r="O53" s="821"/>
      <c r="P53" s="644"/>
      <c r="Q53" s="659"/>
      <c r="R53" s="639"/>
      <c r="S53" s="1670"/>
      <c r="T53" s="1671"/>
      <c r="U53" s="1672"/>
      <c r="V53" s="1672"/>
      <c r="W53" s="1672"/>
      <c r="X53" s="1672"/>
      <c r="Y53" s="1672"/>
      <c r="Z53" s="1672"/>
      <c r="AA53" s="1672"/>
      <c r="AB53" s="1672"/>
      <c r="AC53" s="1672"/>
      <c r="AD53" s="1672"/>
      <c r="AE53" s="1672"/>
      <c r="AF53" s="1672"/>
      <c r="AG53" s="1672"/>
      <c r="AH53" s="1672"/>
      <c r="AI53" s="1672"/>
      <c r="AJ53" s="1672"/>
      <c r="AK53" s="1672"/>
      <c r="AL53" s="1672"/>
      <c r="AM53" s="1673"/>
      <c r="AO53" s="784"/>
      <c r="AP53" s="784" t="str">
        <f>IF(T53="","",T53)</f>
        <v/>
      </c>
      <c r="AQ53" s="784"/>
      <c r="AR53" s="784"/>
      <c r="AS53" s="1439">
        <v>0</v>
      </c>
    </row>
    <row s="14158" customFormat="1" customHeight="1" ht="1.05">
      <c r="A54" s="1627" t="s">
        <v>175</v>
      </c>
      <c r="B54" s="1627" t="s">
        <v>176</v>
      </c>
      <c r="C54" s="1627" t="s">
        <v>177</v>
      </c>
      <c r="D54" s="1598"/>
      <c r="E54" s="2543"/>
      <c r="F54" s="2543"/>
      <c r="G54" s="2542"/>
      <c r="H54" s="1598"/>
      <c r="I54" s="1598"/>
      <c r="J54" s="1598"/>
      <c r="K54" s="1598"/>
      <c r="L54" s="1623"/>
      <c r="M54" s="1599"/>
      <c r="N54" s="1599"/>
      <c r="P54" s="1600"/>
      <c r="Q54" s="1601"/>
      <c r="R54" s="1600"/>
      <c r="S54" s="1606"/>
      <c r="T54" s="1609" t="s">
        <v>169</v>
      </c>
      <c r="U54" s="1608"/>
      <c r="V54" s="1608"/>
      <c r="W54" s="1608"/>
      <c r="X54" s="1608"/>
      <c r="Y54" s="1608"/>
      <c r="Z54" s="1608"/>
      <c r="AA54" s="1608"/>
      <c r="AB54" s="1608"/>
      <c r="AC54" s="1608"/>
      <c r="AD54" s="1608"/>
      <c r="AE54" s="1608"/>
      <c r="AF54" s="1608"/>
      <c r="AG54" s="1608"/>
      <c r="AH54" s="1608"/>
      <c r="AI54" s="1608"/>
      <c r="AJ54" s="1608"/>
      <c r="AK54" s="1608"/>
      <c r="AL54" s="1608"/>
      <c r="AM54" s="1608"/>
      <c r="AO54" s="1073"/>
      <c r="AP54" s="1073" t="str">
        <f>IF(T54="","",T54)</f>
        <v>Добавить источник для дифференциации</v>
      </c>
      <c r="AQ54" s="1073"/>
      <c r="AR54" s="1073"/>
      <c r="AS54" s="802">
        <v>1</v>
      </c>
    </row>
    <row s="14158" customFormat="1" customHeight="1" ht="1.05">
      <c r="A55" s="1627" t="s">
        <v>175</v>
      </c>
      <c r="B55" s="1627" t="s">
        <v>176</v>
      </c>
      <c r="C55" s="1598"/>
      <c r="D55" s="1598"/>
      <c r="E55" s="2543"/>
      <c r="F55" s="2542"/>
      <c r="G55" s="1598"/>
      <c r="H55" s="1598"/>
      <c r="I55" s="1598"/>
      <c r="J55" s="1598"/>
      <c r="K55" s="1598"/>
      <c r="L55" s="1623"/>
      <c r="M55" s="1605"/>
      <c r="N55" s="1605"/>
      <c r="P55" s="1600"/>
      <c r="Q55" s="1601"/>
      <c r="R55" s="1600"/>
      <c r="S55" s="1606"/>
      <c r="T55" s="1609" t="s">
        <v>170</v>
      </c>
      <c r="U55" s="1608"/>
      <c r="V55" s="1608"/>
      <c r="W55" s="1608"/>
      <c r="X55" s="1608"/>
      <c r="Y55" s="1608"/>
      <c r="Z55" s="1608"/>
      <c r="AA55" s="1608"/>
      <c r="AB55" s="1608"/>
      <c r="AC55" s="1608"/>
      <c r="AD55" s="1608"/>
      <c r="AE55" s="1608"/>
      <c r="AF55" s="1608"/>
      <c r="AG55" s="1608"/>
      <c r="AH55" s="1608"/>
      <c r="AI55" s="1608"/>
      <c r="AJ55" s="1608"/>
      <c r="AK55" s="1608"/>
      <c r="AL55" s="1608"/>
      <c r="AM55" s="1608"/>
      <c r="AO55" s="1073"/>
      <c r="AP55" s="1073" t="str">
        <f>IF(T55="","",T55)</f>
        <v>Добавить централизованную систему для дифференциации</v>
      </c>
      <c r="AQ55" s="1073"/>
      <c r="AR55" s="1073"/>
      <c r="AS55" s="802">
        <v>1</v>
      </c>
    </row>
    <row s="14158" customFormat="1" customHeight="1" ht="1.05">
      <c r="A56" s="1627" t="s">
        <v>175</v>
      </c>
      <c r="B56" s="1627"/>
      <c r="C56" s="1627"/>
      <c r="D56" s="1627"/>
      <c r="E56" s="2542"/>
      <c r="F56" s="1627"/>
      <c r="G56" s="1627"/>
      <c r="H56" s="1627"/>
      <c r="I56" s="1627"/>
      <c r="J56" s="1627"/>
      <c r="K56" s="1627"/>
      <c r="L56" s="1630"/>
      <c r="M56" s="1605"/>
      <c r="N56" s="1605"/>
      <c r="O56" s="802"/>
      <c r="P56" s="664"/>
      <c r="Q56" s="1628"/>
      <c r="R56" s="664"/>
      <c r="S56" s="1606"/>
      <c r="T56" s="1609" t="s">
        <v>171</v>
      </c>
      <c r="U56" s="1608"/>
      <c r="V56" s="1608"/>
      <c r="W56" s="1608"/>
      <c r="X56" s="1608"/>
      <c r="Y56" s="1608"/>
      <c r="Z56" s="1608"/>
      <c r="AA56" s="1608"/>
      <c r="AB56" s="1608"/>
      <c r="AC56" s="1608"/>
      <c r="AD56" s="1608"/>
      <c r="AE56" s="1608"/>
      <c r="AF56" s="1608"/>
      <c r="AG56" s="1608"/>
      <c r="AH56" s="1608"/>
      <c r="AI56" s="1608"/>
      <c r="AJ56" s="1608"/>
      <c r="AK56" s="1608"/>
      <c r="AL56" s="1608"/>
      <c r="AM56" s="1608"/>
      <c r="AO56" s="784"/>
      <c r="AP56" s="784" t="str">
        <f>IF(T56="","",T56)</f>
        <v>Добавить территорию для дифференциации</v>
      </c>
      <c r="AQ56" s="784"/>
      <c r="AR56" s="784"/>
      <c r="AS56" s="795">
        <v>1</v>
      </c>
    </row>
    <row s="14158" customFormat="1" customHeight="1" ht="1.05">
      <c r="A57" s="1598"/>
      <c r="B57" s="1598"/>
      <c r="C57" s="1598"/>
      <c r="D57" s="1598"/>
      <c r="E57" s="1627"/>
      <c r="F57" s="1598"/>
      <c r="G57" s="1598"/>
      <c r="H57" s="1598"/>
      <c r="I57" s="1598"/>
      <c r="J57" s="1598"/>
      <c r="K57" s="1598"/>
      <c r="L57" s="1623"/>
      <c r="M57" s="1605"/>
      <c r="N57" s="1605"/>
      <c r="P57" s="1600"/>
      <c r="Q57" s="1601"/>
      <c r="R57" s="1600"/>
      <c r="S57" s="1606"/>
      <c r="T57" s="1609" t="s">
        <v>172</v>
      </c>
      <c r="U57" s="1608"/>
      <c r="V57" s="1608"/>
      <c r="W57" s="1608"/>
      <c r="X57" s="1608"/>
      <c r="Y57" s="1608"/>
      <c r="Z57" s="1608"/>
      <c r="AA57" s="1608"/>
      <c r="AB57" s="1608"/>
      <c r="AC57" s="1608"/>
      <c r="AD57" s="1608"/>
      <c r="AE57" s="1608"/>
      <c r="AF57" s="1608"/>
      <c r="AG57" s="1608"/>
      <c r="AH57" s="1608"/>
      <c r="AI57" s="1608"/>
      <c r="AJ57" s="1608"/>
      <c r="AK57" s="1608"/>
      <c r="AL57" s="1608"/>
      <c r="AM57" s="1608"/>
      <c r="AO57" s="1073"/>
      <c r="AP57" s="1073" t="str">
        <f>IF(T57="","",T57)</f>
        <v>Добавить наименование тарифа</v>
      </c>
      <c r="AQ57" s="1073"/>
      <c r="AR57" s="1073"/>
      <c r="AS57" s="802">
        <v>1</v>
      </c>
    </row>
    <row customHeight="1" ht="11.549999999999999">
      <c r="M58" s="1444"/>
      <c r="N58" s="1444"/>
      <c r="O58" s="821"/>
      <c r="P58" s="1439"/>
      <c r="Q58" s="1439"/>
      <c r="R58" s="1439"/>
      <c r="S58" s="1439"/>
      <c r="AN58" s="1439"/>
      <c r="AO58" s="1439"/>
      <c r="AP58" s="1439"/>
      <c r="AQ58" s="1439"/>
      <c r="AR58" s="1439"/>
      <c r="AS58" s="1439">
        <v>11</v>
      </c>
    </row>
    <row customHeight="1" ht="19.95">
      <c r="O59" s="821"/>
      <c r="S59" s="1537"/>
      <c r="T59" s="2569"/>
      <c r="U59" s="2569"/>
      <c r="V59" s="2569"/>
      <c r="W59" s="2569"/>
      <c r="X59" s="2569"/>
      <c r="Y59" s="2569"/>
      <c r="Z59" s="2569"/>
      <c r="AA59" s="2569"/>
      <c r="AB59" s="2569"/>
      <c r="AC59" s="2569"/>
      <c r="AD59" s="2569"/>
      <c r="AE59" s="2569"/>
      <c r="AF59" s="2569"/>
      <c r="AG59" s="2569"/>
      <c r="AH59" s="2569"/>
      <c r="AI59" s="2569"/>
      <c r="AJ59" s="2569"/>
      <c r="AK59" s="2569"/>
      <c r="AL59" s="2569"/>
      <c r="AM59" s="2569"/>
      <c r="AS59" s="1439">
        <v>19</v>
      </c>
    </row>
    <row customHeight="1" ht="29.25">
      <c r="O60" s="821"/>
      <c r="T60" s="2569"/>
      <c r="U60" s="2569"/>
      <c r="V60" s="2569"/>
      <c r="W60" s="2569"/>
      <c r="X60" s="2569"/>
      <c r="Y60" s="2569"/>
      <c r="Z60" s="2569"/>
      <c r="AA60" s="2569"/>
      <c r="AB60" s="2569"/>
      <c r="AC60" s="2569"/>
      <c r="AD60" s="2569"/>
      <c r="AE60" s="2569"/>
      <c r="AF60" s="2569"/>
      <c r="AG60" s="2569"/>
      <c r="AH60" s="2569"/>
      <c r="AI60" s="2569"/>
      <c r="AJ60" s="2569"/>
      <c r="AK60" s="2569"/>
      <c r="AL60" s="2569"/>
      <c r="AM60" s="2569"/>
      <c r="AS60" s="1439">
        <v>28</v>
      </c>
    </row>
    <row customHeight="1" ht="42">
      <c r="O61" s="821"/>
      <c r="T61" s="2569"/>
      <c r="U61" s="2569"/>
      <c r="V61" s="2569"/>
      <c r="W61" s="2569"/>
      <c r="X61" s="2569"/>
      <c r="Y61" s="2569"/>
      <c r="Z61" s="2569"/>
      <c r="AA61" s="2569"/>
      <c r="AB61" s="2569"/>
      <c r="AC61" s="2569"/>
      <c r="AD61" s="2569"/>
      <c r="AE61" s="2569"/>
      <c r="AF61" s="2569"/>
      <c r="AG61" s="2569"/>
      <c r="AH61" s="2569"/>
      <c r="AI61" s="2569"/>
      <c r="AJ61" s="2569"/>
      <c r="AK61" s="2569"/>
      <c r="AL61" s="2569"/>
      <c r="AM61" s="2569"/>
      <c r="AS61" s="1439">
        <v>40</v>
      </c>
    </row>
    <row customHeight="1" ht="14.699999999999998">
      <c r="O62" s="821"/>
      <c r="AS62" s="1439">
        <v>14</v>
      </c>
    </row>
    <row customHeight="1" ht="21">
      <c r="O63" s="821"/>
      <c r="S63" s="1537"/>
      <c r="T63" s="2583"/>
      <c r="U63" s="2569"/>
      <c r="V63" s="2569"/>
      <c r="W63" s="2569"/>
      <c r="X63" s="2569"/>
      <c r="Y63" s="2569"/>
      <c r="Z63" s="2569"/>
      <c r="AA63" s="2569"/>
      <c r="AB63" s="2569"/>
      <c r="AC63" s="2569"/>
      <c r="AD63" s="2569"/>
      <c r="AE63" s="2569"/>
      <c r="AF63" s="2569"/>
      <c r="AG63" s="2569"/>
      <c r="AH63" s="2569"/>
      <c r="AI63" s="2569"/>
      <c r="AJ63" s="2569"/>
      <c r="AK63" s="2569"/>
      <c r="AL63" s="2569"/>
      <c r="AM63" s="2569"/>
      <c r="AS63" s="1439">
        <v>20</v>
      </c>
    </row>
    <row customHeight="1" ht="29.25">
      <c r="O64" s="821"/>
      <c r="T64" s="2569"/>
      <c r="U64" s="2569"/>
      <c r="V64" s="2569"/>
      <c r="W64" s="2569"/>
      <c r="X64" s="2569"/>
      <c r="Y64" s="2569"/>
      <c r="Z64" s="2569"/>
      <c r="AA64" s="2569"/>
      <c r="AB64" s="2569"/>
      <c r="AC64" s="2569"/>
      <c r="AD64" s="2569"/>
      <c r="AE64" s="2569"/>
      <c r="AF64" s="2569"/>
      <c r="AG64" s="2569"/>
      <c r="AH64" s="2569"/>
      <c r="AI64" s="2569"/>
      <c r="AJ64" s="2569"/>
      <c r="AK64" s="2569"/>
      <c r="AL64" s="2569"/>
      <c r="AM64" s="2569"/>
      <c r="AS64" s="1439">
        <v>28</v>
      </c>
    </row>
    <row customHeight="1" ht="35.699999999999996">
      <c r="T65" s="2569"/>
      <c r="U65" s="2569"/>
      <c r="V65" s="2569"/>
      <c r="W65" s="2569"/>
      <c r="X65" s="2569"/>
      <c r="Y65" s="2569"/>
      <c r="Z65" s="2569"/>
      <c r="AA65" s="2569"/>
      <c r="AB65" s="2569"/>
      <c r="AC65" s="2569"/>
      <c r="AD65" s="2569"/>
      <c r="AE65" s="2569"/>
      <c r="AF65" s="2569"/>
      <c r="AG65" s="2569"/>
      <c r="AH65" s="2569"/>
      <c r="AI65" s="2569"/>
      <c r="AJ65" s="2569"/>
      <c r="AK65" s="2569"/>
      <c r="AL65" s="2569"/>
      <c r="AM65" s="2569"/>
      <c r="AS65" s="1439">
        <v>34</v>
      </c>
    </row>
    <row customHeight="1" ht="22.5" hidden="1">
      <c r="A66" s="1444" t="s">
        <v>83</v>
      </c>
      <c r="B66" s="1444">
        <v>0</v>
      </c>
      <c r="C66" s="1444">
        <v>0</v>
      </c>
      <c r="D66" s="1444">
        <v>0</v>
      </c>
      <c r="E66" s="1444">
        <v>0</v>
      </c>
      <c r="F66" s="1444">
        <v>0</v>
      </c>
      <c r="G66" s="1444">
        <v>0</v>
      </c>
      <c r="H66" s="1444">
        <v>0</v>
      </c>
      <c r="I66" s="1444">
        <v>0</v>
      </c>
      <c r="J66" s="1444">
        <v>0</v>
      </c>
      <c r="K66" s="1444">
        <v>0</v>
      </c>
      <c r="L66" s="1613">
        <v>0</v>
      </c>
      <c r="M66" s="1646">
        <v>0</v>
      </c>
      <c r="N66" s="1646">
        <v>0</v>
      </c>
      <c r="O66" s="1646">
        <v>0</v>
      </c>
      <c r="P66" s="1612">
        <v>0</v>
      </c>
      <c r="Q66" s="628">
        <v>3</v>
      </c>
      <c r="R66" s="628">
        <v>3</v>
      </c>
      <c r="S66" s="865">
        <v>12</v>
      </c>
      <c r="T66" s="1439">
        <v>31</v>
      </c>
      <c r="U66" s="1439">
        <v>0</v>
      </c>
      <c r="V66" s="1439">
        <v>0</v>
      </c>
      <c r="W66" s="1439">
        <v>0</v>
      </c>
      <c r="X66" s="1439">
        <v>0</v>
      </c>
      <c r="Y66" s="1439">
        <v>0</v>
      </c>
      <c r="Z66" s="1439">
        <v>0</v>
      </c>
      <c r="AA66" s="1439">
        <v>0</v>
      </c>
      <c r="AB66" s="1439">
        <v>0</v>
      </c>
      <c r="AC66" s="1439">
        <v>0</v>
      </c>
      <c r="AD66" s="1439">
        <v>24</v>
      </c>
      <c r="AE66" s="1439">
        <v>0</v>
      </c>
      <c r="AF66" s="1439">
        <v>24</v>
      </c>
      <c r="AG66" s="1439">
        <v>24</v>
      </c>
      <c r="AH66" s="1439">
        <v>11</v>
      </c>
      <c r="AI66" s="1439">
        <v>3</v>
      </c>
      <c r="AJ66" s="1439">
        <v>11</v>
      </c>
      <c r="AK66" s="1439">
        <v>0</v>
      </c>
      <c r="AL66" s="1439">
        <v>4</v>
      </c>
      <c r="AM66" s="1439">
        <v>115</v>
      </c>
      <c r="AN66" s="795">
        <v>10</v>
      </c>
      <c r="AO66" s="795">
        <v>10</v>
      </c>
      <c r="AP66" s="795">
        <v>10</v>
      </c>
      <c r="AQ66" s="795">
        <v>10</v>
      </c>
      <c r="AR66" s="795">
        <v>10</v>
      </c>
      <c r="AS66" s="1439">
        <v>23</v>
      </c>
    </row>
  </sheetData>
  <sheetProtection formatColumns="0" formatRows="0" autoFilter="0" sort="0" insertRows="0" insertColumns="1" deleteRows="0" deleteColumns="0"/>
  <mergeCells count="113">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V47:AC47"/>
    <mergeCell ref="AD47:AL47"/>
    <mergeCell ref="AD31:AJ31"/>
    <mergeCell ref="AD32:AJ32"/>
    <mergeCell ref="AE40:AE41"/>
    <mergeCell ref="AF40:AG40"/>
    <mergeCell ref="AH40:AJ40"/>
    <mergeCell ref="AI41:AJ41"/>
    <mergeCell ref="AD37:AK37"/>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A760858-EE18-6D28-A5A8-94D19250D588}" mc:Ignorable="x14ac xr xr2 xr3">
  <sheetPr>
    <tabColor theme="6" tint="0.4"/>
  </sheetPr>
  <dimension ref="A1:AS66"/>
  <sheetViews>
    <sheetView topLeftCell="A1" showGridLines="0" zoomScale="90" workbookViewId="0">
      <selection activeCell="A1" sqref="A1"/>
    </sheetView>
  </sheetViews>
  <sheetFormatPr defaultColWidth="10.57421875" customHeight="1" defaultRowHeight="14.25"/>
  <cols>
    <col min="1" max="1" style="14157" width="10.57421875" hidden="1"/>
    <col min="2" max="2" style="14157" width="11.00390625" hidden="1" customWidth="1"/>
    <col min="3" max="3" style="14157" width="10.57421875" hidden="1"/>
    <col min="4" max="4" style="14157" width="11.8515625" hidden="1" customWidth="1"/>
    <col min="5" max="5" style="14157" width="10.00390625" hidden="1" customWidth="1"/>
    <col min="6" max="6" style="14157" width="8.7109375" hidden="1" customWidth="1"/>
    <col min="7" max="7" style="14157" width="7.57421875" hidden="1" customWidth="1"/>
    <col min="8" max="8" style="14157" width="11.421875" hidden="1" customWidth="1"/>
    <col min="9" max="9" style="14157" width="12.00390625" hidden="1" customWidth="1"/>
    <col min="10" max="10" style="14157" width="9.8515625" hidden="1" customWidth="1"/>
    <col min="11" max="11" style="14157" width="11.421875" hidden="1" customWidth="1"/>
    <col min="12" max="12" style="14974" width="19.140625" hidden="1" customWidth="1"/>
    <col min="13" max="14" style="14975" width="12.28125" hidden="1" customWidth="1"/>
    <col min="15" max="15" style="14975" width="23.421875" hidden="1" customWidth="1"/>
    <col min="16" max="16" style="14976" width="3.7109375" hidden="1" customWidth="1"/>
    <col min="17" max="18" style="14977" width="3.00390625" customWidth="1"/>
    <col min="19" max="19" style="14978" width="12.00390625" customWidth="1"/>
    <col min="20" max="20" style="14077" width="31.00390625" customWidth="1"/>
    <col min="21" max="21" style="14077" width="0.140625" customWidth="1"/>
    <col min="22" max="22" style="14077" width="24.7109375" hidden="1" customWidth="1"/>
    <col min="23" max="23" style="14077" width="0.140625" hidden="1" customWidth="1"/>
    <col min="24" max="25" style="14077" width="24.7109375" hidden="1" customWidth="1"/>
    <col min="26" max="26" style="14077" width="11.7109375" hidden="1" customWidth="1"/>
    <col min="27" max="27" style="14077" width="3.7109375" hidden="1" customWidth="1"/>
    <col min="28" max="28" style="14077" width="11.7109375" hidden="1" customWidth="1"/>
    <col min="29" max="29" style="14077" width="8.57421875" hidden="1" customWidth="1"/>
    <col min="30" max="30" style="14077" width="24.7109375" customWidth="1"/>
    <col min="31" max="31" style="14077" width="0.140625" customWidth="1"/>
    <col min="32" max="33" style="14077" width="24.00390625" customWidth="1"/>
    <col min="34" max="34" style="14077" width="11.00390625" customWidth="1"/>
    <col min="35" max="35" style="14077" width="3.7109375" customWidth="1"/>
    <col min="36" max="36" style="14077" width="11.00390625" customWidth="1"/>
    <col min="37" max="37" style="14077" width="8.57421875" hidden="1" customWidth="1"/>
    <col min="38" max="38" style="14077" width="4.00390625" customWidth="1"/>
    <col min="39" max="39" style="14077" width="115.00390625" customWidth="1"/>
    <col min="40" max="44" style="14158" width="10.00390625" customWidth="1"/>
    <col min="45" max="45" style="14077" width="10.57421875" hidden="1"/>
  </cols>
  <sheetData>
    <row customHeight="1" ht="22.5" hidden="1">
      <c r="A1" s="2155"/>
      <c r="Y1" s="611"/>
      <c r="Z1" s="611"/>
      <c r="AG1" s="611"/>
      <c r="AH1" s="611"/>
      <c r="AS1" s="1439" t="s">
        <v>14</v>
      </c>
    </row>
    <row customHeight="1" ht="21" hidden="1">
      <c r="A2" s="1647"/>
      <c r="B2" s="1647"/>
      <c r="C2" s="1647"/>
      <c r="D2" s="1647"/>
      <c r="E2" s="2542">
        <v>1</v>
      </c>
      <c r="F2" s="1647"/>
      <c r="G2" s="1647"/>
      <c r="H2" s="1647"/>
      <c r="I2" s="1647"/>
      <c r="J2" s="1647"/>
      <c r="K2" s="1647"/>
      <c r="L2" s="1648"/>
      <c r="M2" s="1649"/>
      <c r="N2" s="1649"/>
      <c r="O2" s="1649"/>
      <c r="P2" s="645"/>
      <c r="Q2" s="644"/>
      <c r="R2" s="639"/>
      <c r="S2" s="1620">
        <f>INDEX(PT_DIFFERENTIATION_NUM_NTAR,MATCH(A2,PT_DIFFERENTIATION_NTAR_ID,0))</f>
      </c>
      <c r="T2" s="582" t="s">
        <v>124</v>
      </c>
      <c r="U2" s="584"/>
      <c r="V2" s="2526"/>
      <c r="W2" s="2527"/>
      <c r="X2" s="2527"/>
      <c r="Y2" s="2527"/>
      <c r="Z2" s="2527"/>
      <c r="AA2" s="2527"/>
      <c r="AB2" s="2527"/>
      <c r="AC2" s="2528"/>
      <c r="AD2" s="2526">
        <f>INDEX(PT_DIFFERENTIATION_NTAR,MATCH(A2,PT_DIFFERENTIATION_NTAR_ID,0))</f>
      </c>
      <c r="AE2" s="2527"/>
      <c r="AF2" s="2527"/>
      <c r="AG2" s="2527"/>
      <c r="AH2" s="2527"/>
      <c r="AI2" s="2527"/>
      <c r="AJ2" s="2527"/>
      <c r="AK2" s="2527"/>
      <c r="AL2" s="2528"/>
      <c r="AM2" s="1542" t="s">
        <v>401</v>
      </c>
      <c r="AO2" s="784"/>
      <c r="AP2" s="784" t="str">
        <f>IF(T2="","",T2)</f>
        <v>Наименование тарифа</v>
      </c>
      <c r="AQ2" s="784"/>
      <c r="AR2" s="784"/>
      <c r="AS2" s="1439">
        <v>0</v>
      </c>
    </row>
    <row customHeight="1" ht="21" hidden="1">
      <c r="A3" s="1647"/>
      <c r="B3" s="1647"/>
      <c r="C3" s="1647"/>
      <c r="D3" s="1647"/>
      <c r="E3" s="2543"/>
      <c r="F3" s="2542">
        <v>1</v>
      </c>
      <c r="G3" s="1647"/>
      <c r="H3" s="1647"/>
      <c r="I3" s="1647"/>
      <c r="J3" s="1647"/>
      <c r="K3" s="1647"/>
      <c r="L3" s="1648"/>
      <c r="M3" s="1649"/>
      <c r="N3" s="1649"/>
      <c r="O3" s="1649"/>
      <c r="P3" s="1616"/>
      <c r="Q3" s="636"/>
      <c r="R3" s="637"/>
      <c r="S3" s="1620">
        <f>INDEX(PT_DIFFERENTIATION_NUM_TER,MATCH(B3,PT_DIFFERENTIATION_TER_ID,0))</f>
      </c>
      <c r="T3" s="592" t="s">
        <v>402</v>
      </c>
      <c r="U3" s="584"/>
      <c r="V3" s="2526"/>
      <c r="W3" s="2527"/>
      <c r="X3" s="2527"/>
      <c r="Y3" s="2527"/>
      <c r="Z3" s="2527"/>
      <c r="AA3" s="2527"/>
      <c r="AB3" s="2527"/>
      <c r="AC3" s="2528"/>
      <c r="AD3" s="2526">
        <f>INDEX(PT_DIFFERENTIATION_TER,MATCH(B3,PT_DIFFERENTIATION_TER_ID,0))</f>
      </c>
      <c r="AE3" s="2527"/>
      <c r="AF3" s="2527"/>
      <c r="AG3" s="2527"/>
      <c r="AH3" s="2527"/>
      <c r="AI3" s="2527"/>
      <c r="AJ3" s="2527"/>
      <c r="AK3" s="2527"/>
      <c r="AL3" s="2528"/>
      <c r="AM3" s="1542" t="s">
        <v>403</v>
      </c>
      <c r="AO3" s="784"/>
      <c r="AP3" s="784" t="str">
        <f>IF(T3="","",T3)</f>
        <v>Территория действия тарифа</v>
      </c>
      <c r="AQ3" s="784"/>
      <c r="AR3" s="784"/>
      <c r="AS3" s="1439">
        <v>0</v>
      </c>
    </row>
    <row customHeight="1" ht="23.25" hidden="1">
      <c r="A4" s="1647"/>
      <c r="B4" s="1647"/>
      <c r="C4" s="1647"/>
      <c r="D4" s="1647"/>
      <c r="E4" s="2543"/>
      <c r="F4" s="2543"/>
      <c r="G4" s="2542">
        <v>1</v>
      </c>
      <c r="H4" s="1647"/>
      <c r="I4" s="1647"/>
      <c r="J4" s="1647"/>
      <c r="K4" s="1647"/>
      <c r="L4" s="1648"/>
      <c r="M4" s="1649"/>
      <c r="N4" s="1649"/>
      <c r="O4" s="1649"/>
      <c r="P4" s="638"/>
      <c r="Q4" s="636"/>
      <c r="R4" s="637"/>
      <c r="S4" s="2292">
        <f>INDEX(PT_DIFFERENTIATION_NUM_CS,MATCH(C4,PT_DIFFERENTIATION_CS_ID,0))</f>
      </c>
      <c r="T4" s="2296" t="s">
        <v>404</v>
      </c>
      <c r="U4" s="2297"/>
      <c r="V4" s="2584"/>
      <c r="W4" s="2585"/>
      <c r="X4" s="2585"/>
      <c r="Y4" s="2585"/>
      <c r="Z4" s="2585"/>
      <c r="AA4" s="2585"/>
      <c r="AB4" s="2585"/>
      <c r="AC4" s="2586"/>
      <c r="AD4" s="2584">
        <f>INDEX(PT_DIFFERENTIATION_CS,MATCH(C4,PT_DIFFERENTIATION_CS_ID,0))</f>
      </c>
      <c r="AE4" s="2585"/>
      <c r="AF4" s="2585"/>
      <c r="AG4" s="2585"/>
      <c r="AH4" s="2585"/>
      <c r="AI4" s="2585"/>
      <c r="AJ4" s="2585"/>
      <c r="AK4" s="2585"/>
      <c r="AL4" s="2586"/>
      <c r="AM4" s="1542" t="s">
        <v>405</v>
      </c>
      <c r="AO4" s="784"/>
      <c r="AP4" s="784" t="str">
        <f>IF(T4="","",T4)</f>
        <v>Наименование системы теплоснабжения </v>
      </c>
      <c r="AQ4" s="784"/>
      <c r="AR4" s="784"/>
      <c r="AS4" s="1439">
        <v>0</v>
      </c>
    </row>
    <row customHeight="1" ht="21" hidden="1">
      <c r="A5" s="1647"/>
      <c r="B5" s="1647"/>
      <c r="C5" s="1647"/>
      <c r="D5" s="1647"/>
      <c r="E5" s="2543"/>
      <c r="F5" s="2543"/>
      <c r="G5" s="2543"/>
      <c r="H5" s="2542">
        <v>1</v>
      </c>
      <c r="I5" s="1647"/>
      <c r="J5" s="1647"/>
      <c r="K5" s="1647"/>
      <c r="L5" s="1648"/>
      <c r="M5" s="1649"/>
      <c r="N5" s="1649"/>
      <c r="O5" s="1649"/>
      <c r="P5" s="638"/>
      <c r="Q5" s="636"/>
      <c r="R5" s="1919"/>
      <c r="S5" s="2291">
        <f>INDEX(PT_DIFFERENTIATION_NUM_IST_TE,MATCH(D5,PT_DIFFERENTIATION_IST_TE_ID,0))</f>
      </c>
      <c r="T5" s="594" t="s">
        <v>406</v>
      </c>
      <c r="U5" s="584"/>
      <c r="V5" s="2587"/>
      <c r="W5" s="2587"/>
      <c r="X5" s="2587"/>
      <c r="Y5" s="2587"/>
      <c r="Z5" s="2587"/>
      <c r="AA5" s="2587"/>
      <c r="AB5" s="2587"/>
      <c r="AC5" s="2587"/>
      <c r="AD5" s="2587">
        <f>INDEX(PT_DIFFERENTIATION_IST_TE,MATCH(D5,PT_DIFFERENTIATION_IST_TE_ID,0))</f>
      </c>
      <c r="AE5" s="2587"/>
      <c r="AF5" s="2587"/>
      <c r="AG5" s="2587"/>
      <c r="AH5" s="2587"/>
      <c r="AI5" s="2587"/>
      <c r="AJ5" s="2587"/>
      <c r="AK5" s="2587"/>
      <c r="AL5" s="2587"/>
      <c r="AM5" s="2294" t="s">
        <v>407</v>
      </c>
      <c r="AO5" s="784"/>
      <c r="AP5" s="784" t="str">
        <f>IF(T5="","",T5)</f>
        <v>Источник тепловой энергии  </v>
      </c>
      <c r="AQ5" s="784"/>
      <c r="AR5" s="784"/>
      <c r="AS5" s="1439">
        <v>0</v>
      </c>
    </row>
    <row customHeight="1" ht="0.75" hidden="1">
      <c r="A6" s="1647"/>
      <c r="B6" s="1647"/>
      <c r="C6" s="1647"/>
      <c r="D6" s="1647"/>
      <c r="E6" s="2543"/>
      <c r="F6" s="2543"/>
      <c r="G6" s="2543"/>
      <c r="H6" s="2543"/>
      <c r="I6" s="2540">
        <f>S5&amp;".1"</f>
      </c>
      <c r="J6" s="1647"/>
      <c r="K6" s="1647"/>
      <c r="L6" s="1648" t="s">
        <v>408</v>
      </c>
      <c r="M6" s="821"/>
      <c r="P6" s="2541">
        <v>1</v>
      </c>
      <c r="Q6" s="1615"/>
      <c r="R6" s="2290"/>
      <c r="S6" s="1326"/>
      <c r="T6" s="1667"/>
      <c r="U6" s="1668"/>
      <c r="V6" s="2588"/>
      <c r="W6" s="2588"/>
      <c r="X6" s="2588"/>
      <c r="Y6" s="2588"/>
      <c r="Z6" s="2588"/>
      <c r="AA6" s="2588"/>
      <c r="AB6" s="2588"/>
      <c r="AC6" s="2588"/>
      <c r="AD6" s="2588"/>
      <c r="AE6" s="2588"/>
      <c r="AF6" s="2588"/>
      <c r="AG6" s="2588"/>
      <c r="AH6" s="2588"/>
      <c r="AI6" s="2588"/>
      <c r="AJ6" s="2588"/>
      <c r="AK6" s="2588"/>
      <c r="AL6" s="2588"/>
      <c r="AM6" s="2295"/>
      <c r="AO6" s="784"/>
      <c r="AP6" s="784" t="str">
        <f>IF(T6="","",T6)</f>
        <v/>
      </c>
      <c r="AQ6" s="784"/>
      <c r="AR6" s="784"/>
      <c r="AS6" s="1439">
        <v>0</v>
      </c>
    </row>
    <row customHeight="1" ht="84" hidden="1">
      <c r="A7" s="1647"/>
      <c r="B7" s="1647"/>
      <c r="C7" s="1647"/>
      <c r="D7" s="1647"/>
      <c r="E7" s="2543"/>
      <c r="F7" s="2543"/>
      <c r="G7" s="2543"/>
      <c r="H7" s="2543"/>
      <c r="I7" s="2570"/>
      <c r="J7" s="2540">
        <f>I6&amp;".1"</f>
      </c>
      <c r="K7" s="1647"/>
      <c r="L7" s="1648" t="s">
        <v>411</v>
      </c>
      <c r="M7" s="821"/>
      <c r="N7" s="1650"/>
      <c r="P7" s="2541"/>
      <c r="Q7" s="2541">
        <v>1</v>
      </c>
      <c r="R7" s="1926"/>
      <c r="S7" s="2291">
        <f>$J7</f>
      </c>
      <c r="T7" s="570" t="s">
        <v>412</v>
      </c>
      <c r="U7" s="584"/>
      <c r="V7" s="2589"/>
      <c r="W7" s="2589"/>
      <c r="X7" s="2589"/>
      <c r="Y7" s="2589"/>
      <c r="Z7" s="2589"/>
      <c r="AA7" s="2589"/>
      <c r="AB7" s="2589"/>
      <c r="AC7" s="2589"/>
      <c r="AD7" s="2589"/>
      <c r="AE7" s="2589"/>
      <c r="AF7" s="2589"/>
      <c r="AG7" s="2589"/>
      <c r="AH7" s="2589"/>
      <c r="AI7" s="2589"/>
      <c r="AJ7" s="2589"/>
      <c r="AK7" s="2589"/>
      <c r="AL7" s="2589"/>
      <c r="AM7" s="2294" t="s">
        <v>413</v>
      </c>
      <c r="AO7" s="784"/>
      <c r="AP7" s="784" t="str">
        <f>IF(T7="","",T7)</f>
        <v>Группа потребителей</v>
      </c>
      <c r="AQ7" s="784"/>
      <c r="AR7" s="784"/>
      <c r="AS7" s="1439">
        <v>0</v>
      </c>
    </row>
    <row customHeight="1" ht="11.25" hidden="1">
      <c r="A8" s="1647"/>
      <c r="B8" s="1647"/>
      <c r="C8" s="1647"/>
      <c r="D8" s="1647"/>
      <c r="E8" s="2543"/>
      <c r="F8" s="2543"/>
      <c r="G8" s="2543"/>
      <c r="H8" s="2543"/>
      <c r="I8" s="2570"/>
      <c r="J8" s="2570"/>
      <c r="K8" s="2540">
        <f>J7&amp;".1"</f>
      </c>
      <c r="L8" s="1648" t="s">
        <v>414</v>
      </c>
      <c r="M8" s="821"/>
      <c r="N8" s="1650"/>
      <c r="O8" s="1650"/>
      <c r="P8" s="2541"/>
      <c r="Q8" s="2541"/>
      <c r="R8" s="641">
        <v>1</v>
      </c>
      <c r="S8" s="2293">
        <f>$K8</f>
      </c>
      <c r="T8" s="2298"/>
      <c r="U8" s="2299"/>
      <c r="V8" s="2300"/>
      <c r="W8" s="1633"/>
      <c r="X8" s="2300"/>
      <c r="Y8" s="2301"/>
      <c r="Z8" s="2590"/>
      <c r="AA8" s="2396" t="s">
        <v>67</v>
      </c>
      <c r="AB8" s="2590"/>
      <c r="AC8" s="2396" t="s">
        <v>67</v>
      </c>
      <c r="AD8" s="2300"/>
      <c r="AE8" s="1633"/>
      <c r="AF8" s="2300"/>
      <c r="AG8" s="2301"/>
      <c r="AH8" s="2590"/>
      <c r="AI8" s="2396" t="s">
        <v>67</v>
      </c>
      <c r="AJ8" s="2590"/>
      <c r="AK8" s="2396" t="s">
        <v>67</v>
      </c>
      <c r="AL8" s="1633"/>
      <c r="AM8" s="2537" t="s">
        <v>415</v>
      </c>
      <c r="AN8" s="795">
        <f>STRCHECKDATE(V9:AL9)</f>
      </c>
      <c r="AO8" s="784"/>
      <c r="AP8" s="784" t="str">
        <f>IF(T8="","",T8)</f>
        <v/>
      </c>
      <c r="AQ8" s="784"/>
      <c r="AR8" s="784"/>
      <c r="AS8" s="1439">
        <v>0</v>
      </c>
    </row>
    <row customHeight="1" ht="0.75" hidden="1">
      <c r="A9" s="1647"/>
      <c r="B9" s="1647"/>
      <c r="C9" s="1647"/>
      <c r="D9" s="1647"/>
      <c r="E9" s="2543"/>
      <c r="F9" s="2543"/>
      <c r="G9" s="2543"/>
      <c r="H9" s="2543"/>
      <c r="I9" s="2570"/>
      <c r="J9" s="2570"/>
      <c r="K9" s="2540"/>
      <c r="L9" s="1648"/>
      <c r="M9" s="821"/>
      <c r="N9" s="1650"/>
      <c r="O9" s="1650"/>
      <c r="P9" s="2541"/>
      <c r="Q9" s="2541"/>
      <c r="R9" s="641"/>
      <c r="S9" s="1626"/>
      <c r="T9" s="584"/>
      <c r="U9" s="584"/>
      <c r="V9" s="609"/>
      <c r="W9" s="609"/>
      <c r="X9" s="609"/>
      <c r="Y9" s="612" t="str">
        <f>Z8&amp;"-"&amp;AB8</f>
        <v>-</v>
      </c>
      <c r="Z9" s="2550"/>
      <c r="AA9" s="2391"/>
      <c r="AB9" s="2550"/>
      <c r="AC9" s="2391"/>
      <c r="AD9" s="609"/>
      <c r="AE9" s="609"/>
      <c r="AF9" s="609"/>
      <c r="AG9" s="612" t="str">
        <f>AH8&amp;"-"&amp;AJ8</f>
        <v>-</v>
      </c>
      <c r="AH9" s="2550"/>
      <c r="AI9" s="2391"/>
      <c r="AJ9" s="2550"/>
      <c r="AK9" s="2391"/>
      <c r="AL9" s="609"/>
      <c r="AM9" s="2538"/>
      <c r="AO9" s="784"/>
      <c r="AP9" s="784" t="str">
        <f>IF(T9="","",T9)</f>
        <v/>
      </c>
      <c r="AQ9" s="784"/>
      <c r="AR9" s="784"/>
      <c r="AS9" s="1439">
        <v>0</v>
      </c>
    </row>
    <row customHeight="1" ht="11.25" hidden="1">
      <c r="A10" s="1647"/>
      <c r="B10" s="1647"/>
      <c r="C10" s="1647"/>
      <c r="D10" s="1647"/>
      <c r="E10" s="2543"/>
      <c r="F10" s="2543"/>
      <c r="G10" s="2543"/>
      <c r="H10" s="2543"/>
      <c r="I10" s="2570"/>
      <c r="J10" s="2540"/>
      <c r="K10" s="1647"/>
      <c r="L10" s="1648"/>
      <c r="M10" s="821"/>
      <c r="N10" s="1650"/>
      <c r="P10" s="2541"/>
      <c r="Q10" s="2541"/>
      <c r="R10" s="640"/>
      <c r="S10" s="1562"/>
      <c r="T10" s="571" t="s">
        <v>416</v>
      </c>
      <c r="U10" s="651"/>
      <c r="V10" s="651"/>
      <c r="W10" s="651"/>
      <c r="X10" s="651"/>
      <c r="Y10" s="651"/>
      <c r="Z10" s="651"/>
      <c r="AA10" s="651"/>
      <c r="AB10" s="651"/>
      <c r="AC10" s="651"/>
      <c r="AD10" s="651"/>
      <c r="AE10" s="651"/>
      <c r="AF10" s="651"/>
      <c r="AG10" s="651"/>
      <c r="AH10" s="651"/>
      <c r="AI10" s="651"/>
      <c r="AJ10" s="651"/>
      <c r="AK10" s="651"/>
      <c r="AL10" s="608"/>
      <c r="AM10" s="2539"/>
      <c r="AO10" s="784"/>
      <c r="AP10" s="784" t="str">
        <f>IF(T10="","",T10)</f>
        <v>Добавить вид теплоносителя (параметры теплоносителя)</v>
      </c>
      <c r="AQ10" s="784"/>
      <c r="AR10" s="784"/>
      <c r="AS10" s="1439">
        <v>0</v>
      </c>
    </row>
    <row customHeight="1" ht="11.25" hidden="1">
      <c r="A11" s="1647"/>
      <c r="B11" s="1647"/>
      <c r="C11" s="1647"/>
      <c r="D11" s="1647"/>
      <c r="E11" s="2543"/>
      <c r="F11" s="2543"/>
      <c r="G11" s="2543"/>
      <c r="H11" s="2543"/>
      <c r="I11" s="2540"/>
      <c r="J11" s="1647"/>
      <c r="K11" s="1647"/>
      <c r="L11" s="1648"/>
      <c r="M11" s="821"/>
      <c r="P11" s="2541"/>
      <c r="Q11" s="1615"/>
      <c r="R11" s="640"/>
      <c r="S11" s="1562"/>
      <c r="T11" s="649" t="s">
        <v>417</v>
      </c>
      <c r="U11" s="651"/>
      <c r="V11" s="651"/>
      <c r="W11" s="651"/>
      <c r="X11" s="651"/>
      <c r="Y11" s="651"/>
      <c r="Z11" s="651"/>
      <c r="AA11" s="651"/>
      <c r="AB11" s="651"/>
      <c r="AC11" s="650"/>
      <c r="AD11" s="651"/>
      <c r="AE11" s="651"/>
      <c r="AF11" s="651"/>
      <c r="AG11" s="651"/>
      <c r="AH11" s="651"/>
      <c r="AI11" s="651"/>
      <c r="AJ11" s="651"/>
      <c r="AK11" s="650"/>
      <c r="AL11" s="651"/>
      <c r="AM11" s="587"/>
      <c r="AO11" s="784"/>
      <c r="AP11" s="784" t="str">
        <f>IF(T11="","",T11)</f>
        <v>Добавить группу потребителей</v>
      </c>
      <c r="AQ11" s="784"/>
      <c r="AR11" s="784"/>
      <c r="AS11" s="1439">
        <v>0</v>
      </c>
    </row>
    <row customHeight="1" ht="0.75" hidden="1">
      <c r="A12" s="1647"/>
      <c r="B12" s="1647"/>
      <c r="C12" s="1647"/>
      <c r="D12" s="1647"/>
      <c r="E12" s="2543"/>
      <c r="F12" s="2543"/>
      <c r="G12" s="2543"/>
      <c r="H12" s="2542"/>
      <c r="I12" s="1647"/>
      <c r="J12" s="1647"/>
      <c r="K12" s="1647"/>
      <c r="L12" s="1648"/>
      <c r="M12" s="1649"/>
      <c r="N12" s="1649"/>
      <c r="O12" s="821"/>
      <c r="P12" s="644"/>
      <c r="Q12" s="659"/>
      <c r="R12" s="639"/>
      <c r="S12" s="1670"/>
      <c r="T12" s="1671"/>
      <c r="U12" s="1672"/>
      <c r="V12" s="1672"/>
      <c r="W12" s="1672"/>
      <c r="X12" s="1672"/>
      <c r="Y12" s="1672"/>
      <c r="Z12" s="1672"/>
      <c r="AA12" s="1672"/>
      <c r="AB12" s="1672"/>
      <c r="AC12" s="1672"/>
      <c r="AD12" s="1672"/>
      <c r="AE12" s="1672"/>
      <c r="AF12" s="1672"/>
      <c r="AG12" s="1672"/>
      <c r="AH12" s="1672"/>
      <c r="AI12" s="1672"/>
      <c r="AJ12" s="1672"/>
      <c r="AK12" s="1672"/>
      <c r="AL12" s="1672"/>
      <c r="AM12" s="1673"/>
      <c r="AO12" s="784"/>
      <c r="AP12" s="784" t="str">
        <f>IF(T12="","",T12)</f>
        <v/>
      </c>
      <c r="AQ12" s="784"/>
      <c r="AR12" s="784"/>
      <c r="AS12" s="1439">
        <v>0</v>
      </c>
    </row>
    <row s="14158" customFormat="1" customHeight="1" ht="0.75" hidden="1">
      <c r="A13" s="1598"/>
      <c r="B13" s="1598"/>
      <c r="C13" s="1598"/>
      <c r="D13" s="1598"/>
      <c r="E13" s="2543"/>
      <c r="F13" s="2543"/>
      <c r="G13" s="2542"/>
      <c r="H13" s="1598"/>
      <c r="I13" s="1598"/>
      <c r="J13" s="1598"/>
      <c r="K13" s="1598"/>
      <c r="L13" s="1623"/>
      <c r="M13" s="1599"/>
      <c r="N13" s="1599"/>
      <c r="P13" s="1600"/>
      <c r="Q13" s="1601"/>
      <c r="R13" s="1600"/>
      <c r="S13" s="1602"/>
      <c r="T13" s="1603" t="s">
        <v>169</v>
      </c>
      <c r="U13" s="1604"/>
      <c r="V13" s="1604"/>
      <c r="W13" s="1604"/>
      <c r="X13" s="1604"/>
      <c r="Y13" s="1604"/>
      <c r="Z13" s="1604"/>
      <c r="AA13" s="1604"/>
      <c r="AB13" s="1604"/>
      <c r="AC13" s="1604"/>
      <c r="AD13" s="1604"/>
      <c r="AE13" s="1604"/>
      <c r="AF13" s="1604"/>
      <c r="AG13" s="1604"/>
      <c r="AH13" s="1604"/>
      <c r="AI13" s="1604"/>
      <c r="AJ13" s="1604"/>
      <c r="AK13" s="1604"/>
      <c r="AL13" s="1604"/>
      <c r="AM13" s="1604"/>
      <c r="AO13" s="1073"/>
      <c r="AP13" s="1073" t="str">
        <f>IF(T13="","",T13)</f>
        <v>Добавить источник для дифференциации</v>
      </c>
      <c r="AQ13" s="1073"/>
      <c r="AR13" s="1073"/>
      <c r="AS13" s="802">
        <v>0</v>
      </c>
    </row>
    <row s="14158" customFormat="1" customHeight="1" ht="0.75" hidden="1">
      <c r="A14" s="1598"/>
      <c r="B14" s="1598"/>
      <c r="C14" s="1598"/>
      <c r="D14" s="1598"/>
      <c r="E14" s="2543"/>
      <c r="F14" s="2542"/>
      <c r="G14" s="1598"/>
      <c r="H14" s="1598"/>
      <c r="I14" s="1598"/>
      <c r="J14" s="1598"/>
      <c r="K14" s="1598"/>
      <c r="L14" s="1623"/>
      <c r="M14" s="1605"/>
      <c r="N14" s="1605"/>
      <c r="P14" s="1600"/>
      <c r="Q14" s="1601"/>
      <c r="R14" s="1600"/>
      <c r="S14" s="1606"/>
      <c r="T14" s="1607" t="s">
        <v>170</v>
      </c>
      <c r="U14" s="1608"/>
      <c r="V14" s="1608"/>
      <c r="W14" s="1608"/>
      <c r="X14" s="1608"/>
      <c r="Y14" s="1608"/>
      <c r="Z14" s="1608"/>
      <c r="AA14" s="1608"/>
      <c r="AB14" s="1608"/>
      <c r="AC14" s="1608"/>
      <c r="AD14" s="1608"/>
      <c r="AE14" s="1608"/>
      <c r="AF14" s="1608"/>
      <c r="AG14" s="1608"/>
      <c r="AH14" s="1608"/>
      <c r="AI14" s="1608"/>
      <c r="AJ14" s="1608"/>
      <c r="AK14" s="1608"/>
      <c r="AL14" s="1608"/>
      <c r="AM14" s="1608"/>
      <c r="AO14" s="1073"/>
      <c r="AP14" s="1073" t="str">
        <f>IF(T14="","",T14)</f>
        <v>Добавить централизованную систему для дифференциации</v>
      </c>
      <c r="AQ14" s="1073"/>
      <c r="AR14" s="1073"/>
      <c r="AS14" s="802">
        <v>0</v>
      </c>
    </row>
    <row s="14158" customFormat="1" customHeight="1" ht="0.75" hidden="1">
      <c r="A15" s="1598"/>
      <c r="B15" s="1598"/>
      <c r="C15" s="1598"/>
      <c r="D15" s="1598"/>
      <c r="E15" s="2542"/>
      <c r="F15" s="1598"/>
      <c r="G15" s="1598"/>
      <c r="H15" s="1598"/>
      <c r="I15" s="1598"/>
      <c r="J15" s="1598"/>
      <c r="K15" s="1598"/>
      <c r="L15" s="1623"/>
      <c r="M15" s="1605"/>
      <c r="N15" s="1605"/>
      <c r="P15" s="1600"/>
      <c r="Q15" s="1601"/>
      <c r="R15" s="1600"/>
      <c r="S15" s="1606"/>
      <c r="T15" s="1609" t="s">
        <v>171</v>
      </c>
      <c r="U15" s="1608"/>
      <c r="V15" s="1608"/>
      <c r="W15" s="1608"/>
      <c r="X15" s="1608"/>
      <c r="Y15" s="1608"/>
      <c r="Z15" s="1608"/>
      <c r="AA15" s="1608"/>
      <c r="AB15" s="1608"/>
      <c r="AC15" s="1608"/>
      <c r="AD15" s="1608"/>
      <c r="AE15" s="1608"/>
      <c r="AF15" s="1608"/>
      <c r="AG15" s="1608"/>
      <c r="AH15" s="1608"/>
      <c r="AI15" s="1608"/>
      <c r="AJ15" s="1608"/>
      <c r="AK15" s="1608"/>
      <c r="AL15" s="1608"/>
      <c r="AM15" s="1608"/>
      <c r="AO15" s="1073"/>
      <c r="AP15" s="1073" t="str">
        <f>IF(T15="","",T15)</f>
        <v>Добавить территорию для дифференциации</v>
      </c>
      <c r="AQ15" s="1073"/>
      <c r="AR15" s="1073"/>
      <c r="AS15" s="802">
        <v>0</v>
      </c>
    </row>
    <row customHeight="1" ht="14.25" hidden="1">
      <c r="AC16" s="611"/>
      <c r="AK16" s="611"/>
      <c r="AS16" s="1439">
        <v>0</v>
      </c>
    </row>
    <row customHeight="1" ht="14.25" hidden="1">
      <c r="AD17" s="1644"/>
      <c r="AE17" s="1644"/>
      <c r="AF17" s="1644"/>
      <c r="AG17" s="1645"/>
      <c r="AH17" s="2551"/>
      <c r="AI17" s="2552" t="s">
        <v>67</v>
      </c>
      <c r="AJ17" s="2551"/>
      <c r="AK17" s="2552" t="s">
        <v>67</v>
      </c>
      <c r="AS17" s="1439">
        <v>0</v>
      </c>
    </row>
    <row customHeight="1" ht="14.25" hidden="1">
      <c r="AD18" s="1644"/>
      <c r="AE18" s="1644"/>
      <c r="AF18" s="1644"/>
      <c r="AG18" s="612" t="str">
        <f>AH17&amp;"-"&amp;AJ17</f>
        <v>-</v>
      </c>
      <c r="AH18" s="2552"/>
      <c r="AI18" s="2552"/>
      <c r="AJ18" s="2552"/>
      <c r="AK18" s="2552"/>
      <c r="AS18" s="1439">
        <v>0</v>
      </c>
    </row>
    <row customHeight="1" ht="14.25" hidden="1">
      <c r="AK19" s="611"/>
      <c r="AS19" s="1439">
        <v>0</v>
      </c>
    </row>
    <row s="14157" customFormat="1" customHeight="1" ht="22.5" hidden="1">
      <c r="L20" s="1613"/>
      <c r="M20" s="1646"/>
      <c r="N20" s="1646"/>
      <c r="O20" s="1651" t="s">
        <v>419</v>
      </c>
      <c r="P20" s="1646"/>
      <c r="Q20" s="1655"/>
      <c r="R20" s="1655"/>
      <c r="S20" s="1013"/>
      <c r="Z20" s="1651"/>
      <c r="AB20" s="1651"/>
      <c r="AC20" s="1650"/>
      <c r="AH20" s="1651"/>
      <c r="AJ20" s="1651"/>
      <c r="AK20" s="1650"/>
      <c r="AN20" s="795"/>
      <c r="AO20" s="795"/>
      <c r="AP20" s="795"/>
      <c r="AQ20" s="795"/>
      <c r="AR20" s="795"/>
      <c r="AS20" s="1444">
        <v>0</v>
      </c>
    </row>
    <row s="14157" customFormat="1" customHeight="1" ht="14.25" hidden="1">
      <c r="L21" s="1613"/>
      <c r="M21" s="1646"/>
      <c r="N21" s="1646"/>
      <c r="O21" s="1646"/>
      <c r="P21" s="1646"/>
      <c r="Q21" s="1655"/>
      <c r="R21" s="1655"/>
      <c r="S21" s="1013"/>
      <c r="AC21" s="1650"/>
      <c r="AK21" s="1650"/>
      <c r="AN21" s="795"/>
      <c r="AO21" s="795"/>
      <c r="AP21" s="795"/>
      <c r="AQ21" s="795"/>
      <c r="AR21" s="795"/>
      <c r="AS21" s="1444">
        <v>0</v>
      </c>
    </row>
    <row s="14157" customFormat="1" customHeight="1" ht="14.25" hidden="1">
      <c r="L22" s="1613"/>
      <c r="M22" s="1646"/>
      <c r="N22" s="1646"/>
      <c r="O22" s="1648" t="s">
        <v>420</v>
      </c>
      <c r="P22" s="1646"/>
      <c r="Q22" s="1655"/>
      <c r="R22" s="1655"/>
      <c r="S22" s="1013"/>
      <c r="T22" s="1444" t="s">
        <v>421</v>
      </c>
      <c r="AA22" s="470" t="s">
        <v>422</v>
      </c>
      <c r="AC22" s="470" t="s">
        <v>423</v>
      </c>
      <c r="AD22" s="1444" t="s">
        <v>421</v>
      </c>
      <c r="AI22" s="470" t="s">
        <v>424</v>
      </c>
      <c r="AK22" s="470" t="s">
        <v>423</v>
      </c>
      <c r="AN22" s="795"/>
      <c r="AO22" s="795"/>
      <c r="AP22" s="795"/>
      <c r="AQ22" s="795"/>
      <c r="AR22" s="795"/>
      <c r="AS22" s="1444">
        <v>0</v>
      </c>
    </row>
    <row customHeight="1" ht="14.25" hidden="1">
      <c r="O23" s="1648"/>
      <c r="AS23" s="1439">
        <v>0</v>
      </c>
    </row>
    <row customHeight="1" ht="14.25" hidden="1">
      <c r="O24" s="1648"/>
      <c r="AS24" s="1439">
        <v>0</v>
      </c>
    </row>
    <row customHeight="1" ht="14.699999999999998">
      <c r="Q25" s="660"/>
      <c r="R25" s="660"/>
      <c r="S25" s="1559"/>
      <c r="T25" s="647"/>
      <c r="U25" s="647"/>
      <c r="V25" s="793"/>
      <c r="W25" s="793"/>
      <c r="X25" s="793"/>
      <c r="Y25" s="793"/>
      <c r="Z25" s="793"/>
      <c r="AA25" s="793"/>
      <c r="AB25" s="793"/>
      <c r="AC25" s="793"/>
      <c r="AD25" s="793"/>
      <c r="AE25" s="793"/>
      <c r="AF25" s="793"/>
      <c r="AG25" s="793"/>
      <c r="AH25" s="793"/>
      <c r="AI25" s="793"/>
      <c r="AJ25" s="793"/>
      <c r="AK25" s="793"/>
      <c r="AS25" s="1439">
        <v>14</v>
      </c>
    </row>
    <row customHeight="1" ht="54.75">
      <c r="Q26" s="660"/>
      <c r="R26" s="660"/>
      <c r="S26" s="2591"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591"/>
      <c r="U26" s="2591"/>
      <c r="V26" s="2591"/>
      <c r="W26" s="2591"/>
      <c r="X26" s="2591"/>
      <c r="Y26" s="2591"/>
      <c r="Z26" s="2591"/>
      <c r="AA26" s="2591"/>
      <c r="AB26" s="2591"/>
      <c r="AC26" s="2591"/>
      <c r="AD26" s="2591"/>
      <c r="AE26" s="2591"/>
      <c r="AF26" s="2591"/>
      <c r="AG26" s="2591"/>
      <c r="AH26" s="2591"/>
      <c r="AI26" s="2591"/>
      <c r="AJ26" s="2591"/>
      <c r="AK26" s="1527"/>
      <c r="AS26" s="1439">
        <v>52</v>
      </c>
    </row>
    <row customHeight="1" ht="14.699999999999998">
      <c r="Q27" s="660"/>
      <c r="R27" s="660"/>
      <c r="S27" s="2533" t="str">
        <f>IF(org=0,"Не определено",org)</f>
        <v>МУП г. Азова "Теплоэнерго"</v>
      </c>
      <c r="T27" s="2533"/>
      <c r="U27" s="2533"/>
      <c r="V27" s="2533"/>
      <c r="W27" s="2533"/>
      <c r="X27" s="2533"/>
      <c r="Y27" s="2533"/>
      <c r="Z27" s="2533"/>
      <c r="AA27" s="2533"/>
      <c r="AB27" s="2533"/>
      <c r="AC27" s="2533"/>
      <c r="AD27" s="2533"/>
      <c r="AE27" s="2533"/>
      <c r="AF27" s="2533"/>
      <c r="AG27" s="2533"/>
      <c r="AH27" s="2533"/>
      <c r="AI27" s="2533"/>
      <c r="AJ27" s="2533"/>
      <c r="AK27" s="1527"/>
      <c r="AS27" s="1439">
        <v>14</v>
      </c>
    </row>
    <row customHeight="1" ht="14.25" hidden="1">
      <c r="Q28" s="660"/>
      <c r="R28" s="660"/>
      <c r="S28" s="1559"/>
      <c r="T28" s="647"/>
      <c r="U28" s="647"/>
      <c r="V28" s="606"/>
      <c r="W28" s="606"/>
      <c r="X28" s="606"/>
      <c r="Y28" s="606"/>
      <c r="Z28" s="606"/>
      <c r="AA28" s="606"/>
      <c r="AB28" s="606"/>
      <c r="AC28" s="606"/>
      <c r="AD28" s="606"/>
      <c r="AE28" s="606"/>
      <c r="AF28" s="606"/>
      <c r="AG28" s="606"/>
      <c r="AH28" s="606"/>
      <c r="AI28" s="606"/>
      <c r="AJ28" s="606"/>
      <c r="AK28" s="606"/>
      <c r="AL28" s="793"/>
      <c r="AS28" s="1439">
        <v>0</v>
      </c>
    </row>
    <row s="14284" customFormat="1" customHeight="1" ht="25.5" hidden="1">
      <c r="A29" s="1652"/>
      <c r="B29" s="1652"/>
      <c r="C29" s="1652"/>
      <c r="D29" s="1652"/>
      <c r="E29" s="1652"/>
      <c r="F29" s="1652"/>
      <c r="G29" s="1652"/>
      <c r="H29" s="1652"/>
      <c r="I29" s="1652"/>
      <c r="J29" s="1652"/>
      <c r="K29" s="1652"/>
      <c r="L29" s="1653"/>
      <c r="M29" s="1652"/>
      <c r="N29" s="1652"/>
      <c r="O29" s="1652"/>
      <c r="S29" s="2534" t="s">
        <v>42</v>
      </c>
      <c r="T29" s="2534"/>
      <c r="U29" s="1656"/>
      <c r="V29" s="2535" t="str">
        <f>IF(TITLE_NAME_OR_PR_CHANGE="",IF(TITLE_NAME_OR_PR="","",TITLE_NAME_OR_PR),TITLE_NAME_OR_PR_CHANGE)</f>
        <v/>
      </c>
      <c r="W29" s="2535"/>
      <c r="X29" s="2535"/>
      <c r="Y29" s="2535"/>
      <c r="Z29" s="2535"/>
      <c r="AA29" s="2535"/>
      <c r="AB29" s="2535"/>
      <c r="AC29" s="610"/>
      <c r="AD29" s="2535" t="str">
        <f>IF(TITLE_NAME_OR_PR_CHANGE="",IF(TITLE_NAME_OR_PR="","",TITLE_NAME_OR_PR),TITLE_NAME_OR_PR_CHANGE)</f>
        <v/>
      </c>
      <c r="AE29" s="2535"/>
      <c r="AF29" s="2535"/>
      <c r="AG29" s="2535"/>
      <c r="AH29" s="2535"/>
      <c r="AI29" s="2535"/>
      <c r="AJ29" s="2535"/>
      <c r="AK29" s="610"/>
      <c r="AL29" s="610"/>
      <c r="AM29" s="564"/>
      <c r="AN29" s="652"/>
      <c r="AO29" s="652"/>
      <c r="AP29" s="652"/>
      <c r="AQ29" s="652"/>
      <c r="AR29" s="652"/>
      <c r="AS29" s="702">
        <v>0</v>
      </c>
    </row>
    <row s="14284" customFormat="1" customHeight="1" ht="18.75" hidden="1">
      <c r="A30" s="1652"/>
      <c r="B30" s="1652"/>
      <c r="C30" s="1652"/>
      <c r="D30" s="1652"/>
      <c r="E30" s="1652"/>
      <c r="F30" s="1652"/>
      <c r="G30" s="1652"/>
      <c r="H30" s="1652"/>
      <c r="I30" s="1652"/>
      <c r="J30" s="1652"/>
      <c r="K30" s="1652"/>
      <c r="L30" s="1653"/>
      <c r="M30" s="1652"/>
      <c r="N30" s="1652"/>
      <c r="O30" s="1652"/>
      <c r="S30" s="2534" t="s">
        <v>425</v>
      </c>
      <c r="T30" s="2534"/>
      <c r="U30" s="1656"/>
      <c r="V30" s="2548" t="str">
        <f>IF(TITLE_DATE_PR_CHANGE="",IF(TITLE_DATE_PR="","",TITLE_DATE_PR),TITLE_DATE_PR_CHANGE)</f>
        <v>45471</v>
      </c>
      <c r="W30" s="2548"/>
      <c r="X30" s="2548"/>
      <c r="Y30" s="2548"/>
      <c r="Z30" s="2548"/>
      <c r="AA30" s="2548"/>
      <c r="AB30" s="2548"/>
      <c r="AC30" s="610"/>
      <c r="AD30" s="2548" t="str">
        <f>IF(TITLE_DATE_PR_CHANGE="",IF(TITLE_DATE_PR="","",TITLE_DATE_PR),TITLE_DATE_PR_CHANGE)</f>
        <v>45471</v>
      </c>
      <c r="AE30" s="2548"/>
      <c r="AF30" s="2548"/>
      <c r="AG30" s="2548"/>
      <c r="AH30" s="2548"/>
      <c r="AI30" s="2548"/>
      <c r="AJ30" s="2548"/>
      <c r="AK30" s="610"/>
      <c r="AL30" s="610"/>
      <c r="AM30" s="564"/>
      <c r="AN30" s="652"/>
      <c r="AO30" s="652"/>
      <c r="AP30" s="652"/>
      <c r="AQ30" s="652"/>
      <c r="AR30" s="652"/>
      <c r="AS30" s="702">
        <v>0</v>
      </c>
    </row>
    <row s="14284" customFormat="1" customHeight="1" ht="18.75" hidden="1">
      <c r="A31" s="1652"/>
      <c r="B31" s="1652"/>
      <c r="C31" s="1652"/>
      <c r="D31" s="1652"/>
      <c r="E31" s="1652"/>
      <c r="F31" s="1652"/>
      <c r="G31" s="1652"/>
      <c r="H31" s="1652"/>
      <c r="I31" s="1652"/>
      <c r="J31" s="1652"/>
      <c r="K31" s="1652"/>
      <c r="L31" s="1653"/>
      <c r="M31" s="1652"/>
      <c r="N31" s="1652"/>
      <c r="O31" s="1652"/>
      <c r="S31" s="2534" t="s">
        <v>426</v>
      </c>
      <c r="T31" s="2534"/>
      <c r="U31" s="1656"/>
      <c r="V31" s="2535" t="str">
        <f>IF(TITLE_NUMBER_PR_CHANGE="",IF(TITLE_NUMBER_PR="","",TITLE_NUMBER_PR),TITLE_NUMBER_PR_CHANGE)</f>
        <v>50/18-01/261</v>
      </c>
      <c r="W31" s="2535"/>
      <c r="X31" s="2535"/>
      <c r="Y31" s="2535"/>
      <c r="Z31" s="2535"/>
      <c r="AA31" s="2535"/>
      <c r="AB31" s="2535"/>
      <c r="AC31" s="610"/>
      <c r="AD31" s="2535" t="str">
        <f>IF(TITLE_NUMBER_PR_CHANGE="",IF(TITLE_NUMBER_PR="","",TITLE_NUMBER_PR),TITLE_NUMBER_PR_CHANGE)</f>
        <v>50/18-01/261</v>
      </c>
      <c r="AE31" s="2535"/>
      <c r="AF31" s="2535"/>
      <c r="AG31" s="2535"/>
      <c r="AH31" s="2535"/>
      <c r="AI31" s="2535"/>
      <c r="AJ31" s="2535"/>
      <c r="AK31" s="610"/>
      <c r="AL31" s="610"/>
      <c r="AM31" s="564"/>
      <c r="AN31" s="652"/>
      <c r="AO31" s="652"/>
      <c r="AP31" s="652"/>
      <c r="AQ31" s="652"/>
      <c r="AR31" s="652"/>
      <c r="AS31" s="702">
        <v>0</v>
      </c>
    </row>
    <row s="14284" customFormat="1" customHeight="1" ht="18.75" hidden="1">
      <c r="A32" s="1652"/>
      <c r="B32" s="1652"/>
      <c r="C32" s="1652"/>
      <c r="D32" s="1652"/>
      <c r="E32" s="1652"/>
      <c r="F32" s="1652"/>
      <c r="G32" s="1652"/>
      <c r="H32" s="1652"/>
      <c r="I32" s="1652"/>
      <c r="J32" s="1652"/>
      <c r="K32" s="1652"/>
      <c r="L32" s="1653"/>
      <c r="M32" s="1652"/>
      <c r="N32" s="1652"/>
      <c r="O32" s="1652"/>
      <c r="S32" s="2534" t="s">
        <v>43</v>
      </c>
      <c r="T32" s="2534"/>
      <c r="U32" s="1656"/>
      <c r="V32" s="2535" t="str">
        <f>IF(TITLE_IST_PUB_CHANGE="",IF(TITLE_IST_PUB="","",TITLE_IST_PUB),TITLE_IST_PUB_CHANGE)</f>
        <v/>
      </c>
      <c r="W32" s="2535"/>
      <c r="X32" s="2535"/>
      <c r="Y32" s="2535"/>
      <c r="Z32" s="2535"/>
      <c r="AA32" s="2535"/>
      <c r="AB32" s="2535"/>
      <c r="AC32" s="610"/>
      <c r="AD32" s="2535" t="str">
        <f>IF(TITLE_IST_PUB_CHANGE="",IF(TITLE_IST_PUB="","",TITLE_IST_PUB),TITLE_IST_PUB_CHANGE)</f>
        <v/>
      </c>
      <c r="AE32" s="2535"/>
      <c r="AF32" s="2535"/>
      <c r="AG32" s="2535"/>
      <c r="AH32" s="2535"/>
      <c r="AI32" s="2535"/>
      <c r="AJ32" s="2535"/>
      <c r="AK32" s="610"/>
      <c r="AL32" s="610"/>
      <c r="AM32" s="564"/>
      <c r="AN32" s="652"/>
      <c r="AO32" s="652"/>
      <c r="AP32" s="652"/>
      <c r="AQ32" s="652"/>
      <c r="AR32" s="652"/>
      <c r="AS32" s="702">
        <v>0</v>
      </c>
    </row>
    <row customHeight="1" ht="14.25">
      <c r="Q33" s="660"/>
      <c r="R33" s="660"/>
      <c r="S33" s="1559"/>
      <c r="T33" s="647"/>
      <c r="U33" s="647"/>
      <c r="V33" s="606"/>
      <c r="W33" s="606"/>
      <c r="X33" s="606"/>
      <c r="Y33" s="606"/>
      <c r="Z33" s="606"/>
      <c r="AA33" s="606"/>
      <c r="AB33" s="606"/>
      <c r="AC33" s="606"/>
      <c r="AD33" s="606"/>
      <c r="AE33" s="606"/>
      <c r="AF33" s="606"/>
      <c r="AG33" s="606"/>
      <c r="AH33" s="606"/>
      <c r="AI33" s="606"/>
      <c r="AJ33" s="606"/>
      <c r="AK33" s="606"/>
      <c r="AL33" s="793"/>
      <c r="AS33" s="1439">
        <v>0</v>
      </c>
    </row>
    <row s="14284" customFormat="1" customHeight="1" ht="18.75">
      <c r="A34" s="1652"/>
      <c r="B34" s="1652"/>
      <c r="C34" s="1652"/>
      <c r="D34" s="1652"/>
      <c r="E34" s="1652"/>
      <c r="F34" s="1652"/>
      <c r="G34" s="1652"/>
      <c r="H34" s="1652"/>
      <c r="I34" s="1652"/>
      <c r="J34" s="1652"/>
      <c r="K34" s="1652"/>
      <c r="L34" s="1653"/>
      <c r="M34" s="1652"/>
      <c r="N34" s="1652"/>
      <c r="O34" s="1652"/>
      <c r="S34" s="2534" t="s">
        <v>427</v>
      </c>
      <c r="T34" s="2534"/>
      <c r="U34" s="1656"/>
      <c r="V34" s="2548" t="str">
        <f>IF(TITLE_DATE_PR_CHANGE="",IF(TITLE_DATE_PR="","",TITLE_DATE_PR),TITLE_DATE_PR_CHANGE)</f>
        <v>45471</v>
      </c>
      <c r="W34" s="2548"/>
      <c r="X34" s="2548"/>
      <c r="Y34" s="2548"/>
      <c r="Z34" s="2548"/>
      <c r="AA34" s="2548"/>
      <c r="AB34" s="2548"/>
      <c r="AC34" s="610"/>
      <c r="AD34" s="2548" t="str">
        <f>IF(TITLE_DATE_PR_CHANGE="",IF(TITLE_DATE_PR="","",TITLE_DATE_PR),TITLE_DATE_PR_CHANGE)</f>
        <v>45471</v>
      </c>
      <c r="AE34" s="2548"/>
      <c r="AF34" s="2548"/>
      <c r="AG34" s="2548"/>
      <c r="AH34" s="2548"/>
      <c r="AI34" s="2548"/>
      <c r="AJ34" s="2548"/>
      <c r="AK34" s="610"/>
      <c r="AL34" s="610"/>
      <c r="AM34" s="564"/>
      <c r="AN34" s="652"/>
      <c r="AO34" s="652"/>
      <c r="AP34" s="652"/>
      <c r="AQ34" s="652"/>
      <c r="AR34" s="652"/>
      <c r="AS34" s="702">
        <v>0</v>
      </c>
    </row>
    <row s="14284" customFormat="1" customHeight="1" ht="18.75">
      <c r="A35" s="1652"/>
      <c r="B35" s="1652"/>
      <c r="C35" s="1652"/>
      <c r="D35" s="1652"/>
      <c r="E35" s="1652"/>
      <c r="F35" s="1652"/>
      <c r="G35" s="1652"/>
      <c r="H35" s="1652"/>
      <c r="I35" s="1652"/>
      <c r="J35" s="1652"/>
      <c r="K35" s="1652"/>
      <c r="L35" s="1653"/>
      <c r="M35" s="1652"/>
      <c r="N35" s="1652"/>
      <c r="O35" s="1652"/>
      <c r="S35" s="2534" t="s">
        <v>428</v>
      </c>
      <c r="T35" s="2534"/>
      <c r="U35" s="1656"/>
      <c r="V35" s="2535" t="str">
        <f>IF(TITLE_NUMBER_PR_CHANGE="",IF(TITLE_NUMBER_PR="","",TITLE_NUMBER_PR),TITLE_NUMBER_PR_CHANGE)</f>
        <v>50/18-01/261</v>
      </c>
      <c r="W35" s="2535"/>
      <c r="X35" s="2535"/>
      <c r="Y35" s="2535"/>
      <c r="Z35" s="2535"/>
      <c r="AA35" s="2535"/>
      <c r="AB35" s="2535"/>
      <c r="AC35" s="610"/>
      <c r="AD35" s="2535" t="str">
        <f>IF(TITLE_NUMBER_PR_CHANGE="",IF(TITLE_NUMBER_PR="","",TITLE_NUMBER_PR),TITLE_NUMBER_PR_CHANGE)</f>
        <v>50/18-01/261</v>
      </c>
      <c r="AE35" s="2535"/>
      <c r="AF35" s="2535"/>
      <c r="AG35" s="2535"/>
      <c r="AH35" s="2535"/>
      <c r="AI35" s="2535"/>
      <c r="AJ35" s="2535"/>
      <c r="AK35" s="610"/>
      <c r="AL35" s="610"/>
      <c r="AM35" s="564"/>
      <c r="AN35" s="652"/>
      <c r="AO35" s="652"/>
      <c r="AP35" s="652"/>
      <c r="AQ35" s="652"/>
      <c r="AR35" s="652"/>
      <c r="AS35" s="702">
        <v>0</v>
      </c>
    </row>
    <row s="14284" customFormat="1" customHeight="1" ht="0">
      <c r="A36" s="1652"/>
      <c r="B36" s="1652"/>
      <c r="C36" s="1652"/>
      <c r="D36" s="1652"/>
      <c r="E36" s="1652"/>
      <c r="F36" s="1652"/>
      <c r="G36" s="1652"/>
      <c r="H36" s="1652"/>
      <c r="I36" s="1652"/>
      <c r="J36" s="1652"/>
      <c r="K36" s="1652"/>
      <c r="L36" s="1653"/>
      <c r="M36" s="1652"/>
      <c r="N36" s="1652"/>
      <c r="O36" s="1652"/>
      <c r="S36" s="607"/>
      <c r="T36" s="607"/>
      <c r="U36" s="1624"/>
      <c r="V36" s="610"/>
      <c r="W36" s="610"/>
      <c r="X36" s="610"/>
      <c r="Y36" s="610"/>
      <c r="Z36" s="610"/>
      <c r="AA36" s="610"/>
      <c r="AB36" s="610"/>
      <c r="AC36" s="562" t="s">
        <v>429</v>
      </c>
      <c r="AD36" s="610"/>
      <c r="AE36" s="610"/>
      <c r="AF36" s="610"/>
      <c r="AG36" s="610"/>
      <c r="AH36" s="610"/>
      <c r="AI36" s="610"/>
      <c r="AJ36" s="610"/>
      <c r="AK36" s="562" t="s">
        <v>429</v>
      </c>
      <c r="AN36" s="652"/>
      <c r="AO36" s="652"/>
      <c r="AP36" s="652"/>
      <c r="AQ36" s="652"/>
      <c r="AR36" s="652"/>
      <c r="AS36" s="702">
        <v>0</v>
      </c>
    </row>
    <row customHeight="1" ht="14.699999999999998">
      <c r="Q37" s="660"/>
      <c r="R37" s="660"/>
      <c r="S37" s="1559"/>
      <c r="T37" s="647"/>
      <c r="U37" s="1528"/>
      <c r="V37" s="2536"/>
      <c r="W37" s="2536"/>
      <c r="X37" s="2536"/>
      <c r="Y37" s="2536"/>
      <c r="Z37" s="2536"/>
      <c r="AA37" s="2536"/>
      <c r="AB37" s="2536"/>
      <c r="AC37" s="2536"/>
      <c r="AD37" s="2536"/>
      <c r="AE37" s="2536"/>
      <c r="AF37" s="2536"/>
      <c r="AG37" s="2536"/>
      <c r="AH37" s="2536"/>
      <c r="AI37" s="2536"/>
      <c r="AJ37" s="2536"/>
      <c r="AK37" s="2536"/>
      <c r="AS37" s="1439">
        <v>14</v>
      </c>
    </row>
    <row customHeight="1" ht="14.699999999999998">
      <c r="Q38" s="660"/>
      <c r="R38" s="660"/>
      <c r="S38" s="2411" t="s">
        <v>305</v>
      </c>
      <c r="T38" s="2411"/>
      <c r="U38" s="2411"/>
      <c r="V38" s="2411"/>
      <c r="W38" s="2411"/>
      <c r="X38" s="2411"/>
      <c r="Y38" s="2411"/>
      <c r="Z38" s="2411"/>
      <c r="AA38" s="2411"/>
      <c r="AB38" s="2411"/>
      <c r="AC38" s="2411"/>
      <c r="AD38" s="2411"/>
      <c r="AE38" s="2411"/>
      <c r="AF38" s="2411"/>
      <c r="AG38" s="2411"/>
      <c r="AH38" s="2411"/>
      <c r="AI38" s="2411"/>
      <c r="AJ38" s="2411"/>
      <c r="AK38" s="2411"/>
      <c r="AL38" s="2411"/>
      <c r="AM38" s="2411" t="s">
        <v>306</v>
      </c>
      <c r="AS38" s="1439">
        <v>14</v>
      </c>
    </row>
    <row customHeight="1" ht="14.699999999999998">
      <c r="Q39" s="660"/>
      <c r="R39" s="660"/>
      <c r="S39" s="2557" t="s">
        <v>89</v>
      </c>
      <c r="T39" s="2493" t="s">
        <v>430</v>
      </c>
      <c r="U39" s="585"/>
      <c r="V39" s="2558" t="s">
        <v>431</v>
      </c>
      <c r="W39" s="2559"/>
      <c r="X39" s="2559"/>
      <c r="Y39" s="2559"/>
      <c r="Z39" s="2559"/>
      <c r="AA39" s="2559"/>
      <c r="AB39" s="2560"/>
      <c r="AC39" s="2561" t="s">
        <v>432</v>
      </c>
      <c r="AD39" s="2558" t="s">
        <v>431</v>
      </c>
      <c r="AE39" s="2559"/>
      <c r="AF39" s="2559"/>
      <c r="AG39" s="2559"/>
      <c r="AH39" s="2559"/>
      <c r="AI39" s="2559"/>
      <c r="AJ39" s="2560"/>
      <c r="AK39" s="2561" t="s">
        <v>433</v>
      </c>
      <c r="AL39" s="2564" t="s">
        <v>434</v>
      </c>
      <c r="AM39" s="2411"/>
      <c r="AS39" s="1439">
        <v>14</v>
      </c>
    </row>
    <row customHeight="1" ht="35.699999999999996">
      <c r="Q40" s="660"/>
      <c r="R40" s="660"/>
      <c r="S40" s="2557"/>
      <c r="T40" s="2493"/>
      <c r="U40" s="1315"/>
      <c r="V40" s="2544" t="s">
        <v>435</v>
      </c>
      <c r="W40" s="2567"/>
      <c r="X40" s="2546" t="s">
        <v>437</v>
      </c>
      <c r="Y40" s="2547"/>
      <c r="Z40" s="2546" t="s">
        <v>438</v>
      </c>
      <c r="AA40" s="2553"/>
      <c r="AB40" s="2547"/>
      <c r="AC40" s="2562"/>
      <c r="AD40" s="2544" t="s">
        <v>458</v>
      </c>
      <c r="AE40" s="2567"/>
      <c r="AF40" s="2546" t="s">
        <v>437</v>
      </c>
      <c r="AG40" s="2547"/>
      <c r="AH40" s="2546" t="s">
        <v>438</v>
      </c>
      <c r="AI40" s="2553"/>
      <c r="AJ40" s="2547"/>
      <c r="AK40" s="2562"/>
      <c r="AL40" s="2565"/>
      <c r="AM40" s="2411"/>
      <c r="AS40" s="1439">
        <v>34</v>
      </c>
    </row>
    <row customHeight="1" ht="35.699999999999996">
      <c r="A41" s="1654"/>
      <c r="B41" s="1654" t="s">
        <v>136</v>
      </c>
      <c r="C41" s="1654" t="s">
        <v>137</v>
      </c>
      <c r="D41" s="1654" t="s">
        <v>138</v>
      </c>
      <c r="E41" s="1648" t="s">
        <v>439</v>
      </c>
      <c r="F41" s="1648" t="s">
        <v>440</v>
      </c>
      <c r="G41" s="1648" t="s">
        <v>441</v>
      </c>
      <c r="H41" s="1648" t="s">
        <v>442</v>
      </c>
      <c r="I41" s="1648" t="s">
        <v>443</v>
      </c>
      <c r="J41" s="1648" t="s">
        <v>444</v>
      </c>
      <c r="K41" s="1648" t="s">
        <v>445</v>
      </c>
      <c r="L41" s="1648" t="s">
        <v>420</v>
      </c>
      <c r="Q41" s="660"/>
      <c r="R41" s="660"/>
      <c r="S41" s="2557"/>
      <c r="T41" s="2493"/>
      <c r="U41" s="586"/>
      <c r="V41" s="2545"/>
      <c r="W41" s="2568"/>
      <c r="X41" s="1506" t="s">
        <v>446</v>
      </c>
      <c r="Y41" s="1506" t="s">
        <v>447</v>
      </c>
      <c r="Z41" s="1622" t="s">
        <v>448</v>
      </c>
      <c r="AA41" s="2554" t="s">
        <v>449</v>
      </c>
      <c r="AB41" s="2555"/>
      <c r="AC41" s="2563"/>
      <c r="AD41" s="2545"/>
      <c r="AE41" s="2568"/>
      <c r="AF41" s="1506" t="s">
        <v>446</v>
      </c>
      <c r="AG41" s="1506" t="s">
        <v>447</v>
      </c>
      <c r="AH41" s="1622" t="s">
        <v>448</v>
      </c>
      <c r="AI41" s="2554" t="s">
        <v>449</v>
      </c>
      <c r="AJ41" s="2555"/>
      <c r="AK41" s="2563"/>
      <c r="AL41" s="2566"/>
      <c r="AM41" s="2411"/>
      <c r="AS41" s="1439">
        <v>34</v>
      </c>
    </row>
    <row s="14730" customFormat="1" customHeight="1" ht="11.25" hidden="1">
      <c r="A42" s="1654"/>
      <c r="B42" s="1654"/>
      <c r="C42" s="1654"/>
      <c r="D42" s="1654"/>
      <c r="E42" s="1654"/>
      <c r="F42" s="1654"/>
      <c r="G42" s="1654"/>
      <c r="H42" s="1654"/>
      <c r="I42" s="1654"/>
      <c r="J42" s="1654"/>
      <c r="K42" s="1654"/>
      <c r="L42" s="1648"/>
      <c r="M42" s="1646"/>
      <c r="N42" s="1646"/>
      <c r="O42" s="1646"/>
      <c r="P42" s="1530"/>
      <c r="Q42" s="1531"/>
      <c r="R42" s="1538">
        <v>1</v>
      </c>
      <c r="S42" s="1561" t="s">
        <v>110</v>
      </c>
      <c r="T42" s="1539" t="s">
        <v>111</v>
      </c>
      <c r="U42" s="1529" t="str">
        <f>OFFSET(U42,0,-1)</f>
        <v>2</v>
      </c>
      <c r="V42" s="1619">
        <f>OFFSET(V42,0,-1)+1</f>
        <v>3</v>
      </c>
      <c r="W42" s="1619"/>
      <c r="X42" s="1619">
        <f>OFFSET(X42,0,-1)+1</f>
        <v>1</v>
      </c>
      <c r="Y42" s="1619">
        <f>OFFSET(Y42,0,-1)+1</f>
        <v>2</v>
      </c>
      <c r="Z42" s="1619">
        <f>OFFSET(Z42,0,-1)+1</f>
        <v>3</v>
      </c>
      <c r="AA42" s="2556">
        <f>OFFSET(AA42,0,-1)+1</f>
        <v>4</v>
      </c>
      <c r="AB42" s="2556"/>
      <c r="AC42" s="1619">
        <f>OFFSET(AC42,0,-2)+1</f>
        <v>5</v>
      </c>
      <c r="AD42" s="1619">
        <f>OFFSET(AD42,0,-1)+1</f>
        <v>6</v>
      </c>
      <c r="AE42" s="1619"/>
      <c r="AF42" s="1619">
        <f>OFFSET(AF42,0,-1)+1</f>
        <v>1</v>
      </c>
      <c r="AG42" s="1619">
        <f>OFFSET(AG42,0,-1)+1</f>
        <v>2</v>
      </c>
      <c r="AH42" s="1619">
        <f>OFFSET(AH42,0,-1)+1</f>
        <v>3</v>
      </c>
      <c r="AI42" s="2556">
        <f>OFFSET(AI42,0,-1)+1</f>
        <v>4</v>
      </c>
      <c r="AJ42" s="2556"/>
      <c r="AK42" s="1619">
        <f>OFFSET(AK42,0,-2)+1</f>
        <v>5</v>
      </c>
      <c r="AL42" s="1529">
        <f>OFFSET(AL42,0,-1)</f>
        <v>5</v>
      </c>
      <c r="AM42" s="1619">
        <f>OFFSET(AM42,0,-1)+1</f>
        <v>6</v>
      </c>
      <c r="AN42" s="795"/>
      <c r="AO42" s="795"/>
      <c r="AP42" s="795"/>
      <c r="AQ42" s="795"/>
      <c r="AR42" s="795"/>
      <c r="AS42" s="780">
        <v>0</v>
      </c>
    </row>
    <row customHeight="1" ht="22.049999999999997">
      <c r="A43" s="1647" t="s">
        <v>187</v>
      </c>
      <c r="B43" s="1647"/>
      <c r="C43" s="1647"/>
      <c r="D43" s="1647"/>
      <c r="E43" s="2542">
        <v>1</v>
      </c>
      <c r="F43" s="1647"/>
      <c r="G43" s="1647"/>
      <c r="H43" s="1647"/>
      <c r="I43" s="1647"/>
      <c r="J43" s="1647"/>
      <c r="K43" s="1647"/>
      <c r="L43" s="1648"/>
      <c r="M43" s="1649"/>
      <c r="N43" s="1649"/>
      <c r="O43" s="1649"/>
      <c r="P43" s="645"/>
      <c r="Q43" s="644"/>
      <c r="R43" s="639"/>
      <c r="S43" s="1620">
        <f>INDEX(PT_DIFFERENTIATION_NUM_NTAR,MATCH(A43,PT_DIFFERENTIATION_NTAR_ID,0))</f>
        <v>0</v>
      </c>
      <c r="T43" s="582" t="s">
        <v>124</v>
      </c>
      <c r="U43" s="584"/>
      <c r="V43" s="2526"/>
      <c r="W43" s="2527"/>
      <c r="X43" s="2527"/>
      <c r="Y43" s="2527"/>
      <c r="Z43" s="2527"/>
      <c r="AA43" s="2527"/>
      <c r="AB43" s="2527"/>
      <c r="AC43" s="2528"/>
      <c r="AD43" s="2526" t="str">
        <f>INDEX(PT_DIFFERENTIATION_NTAR,MATCH(A43,PT_DIFFERENTIATION_NTAR_ID,0))</f>
        <v/>
      </c>
      <c r="AE43" s="2527"/>
      <c r="AF43" s="2527"/>
      <c r="AG43" s="2527"/>
      <c r="AH43" s="2527"/>
      <c r="AI43" s="2527"/>
      <c r="AJ43" s="2527"/>
      <c r="AK43" s="2527"/>
      <c r="AL43" s="2528"/>
      <c r="AM43" s="1542"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784"/>
      <c r="AP43" s="784" t="str">
        <f>IF(T43="","",T43)</f>
        <v>Наименование тарифа</v>
      </c>
      <c r="AQ43" s="784"/>
      <c r="AR43" s="784"/>
      <c r="AS43" s="1439">
        <v>21</v>
      </c>
    </row>
    <row customHeight="1" ht="22.049999999999997">
      <c r="A44" s="1647" t="s">
        <v>187</v>
      </c>
      <c r="B44" s="1647" t="s">
        <v>188</v>
      </c>
      <c r="C44" s="1647"/>
      <c r="D44" s="1647"/>
      <c r="E44" s="2543"/>
      <c r="F44" s="2542">
        <v>1</v>
      </c>
      <c r="G44" s="1647"/>
      <c r="H44" s="1647"/>
      <c r="I44" s="1647"/>
      <c r="J44" s="1647"/>
      <c r="K44" s="1647"/>
      <c r="L44" s="1648"/>
      <c r="M44" s="1649"/>
      <c r="N44" s="1649"/>
      <c r="O44" s="1649"/>
      <c r="P44" s="1616"/>
      <c r="Q44" s="636"/>
      <c r="R44" s="637"/>
      <c r="S44" s="1620" t="str">
        <f>INDEX(PT_DIFFERENTIATION_NUM_TER,MATCH(B44,PT_DIFFERENTIATION_TER_ID,0))</f>
        <v>.</v>
      </c>
      <c r="T44" s="592" t="s">
        <v>402</v>
      </c>
      <c r="U44" s="584"/>
      <c r="V44" s="2526"/>
      <c r="W44" s="2527"/>
      <c r="X44" s="2527"/>
      <c r="Y44" s="2527"/>
      <c r="Z44" s="2527"/>
      <c r="AA44" s="2527"/>
      <c r="AB44" s="2527"/>
      <c r="AC44" s="2528"/>
      <c r="AD44" s="2526" t="str">
        <f>INDEX(PT_DIFFERENTIATION_TER,MATCH(B44,PT_DIFFERENTIATION_TER_ID,0))</f>
        <v/>
      </c>
      <c r="AE44" s="2527"/>
      <c r="AF44" s="2527"/>
      <c r="AG44" s="2527"/>
      <c r="AH44" s="2527"/>
      <c r="AI44" s="2527"/>
      <c r="AJ44" s="2527"/>
      <c r="AK44" s="2527"/>
      <c r="AL44" s="2528"/>
      <c r="AM44" s="1542" t="s">
        <v>403</v>
      </c>
      <c r="AO44" s="784"/>
      <c r="AP44" s="784" t="str">
        <f>IF(T44="","",T44)</f>
        <v>Территория действия тарифа</v>
      </c>
      <c r="AQ44" s="784"/>
      <c r="AR44" s="784"/>
      <c r="AS44" s="1439">
        <v>21</v>
      </c>
    </row>
    <row customHeight="1" ht="24">
      <c r="A45" s="1647" t="s">
        <v>187</v>
      </c>
      <c r="B45" s="1647" t="s">
        <v>188</v>
      </c>
      <c r="C45" s="1647" t="s">
        <v>189</v>
      </c>
      <c r="D45" s="1647"/>
      <c r="E45" s="2543"/>
      <c r="F45" s="2543"/>
      <c r="G45" s="2542">
        <v>1</v>
      </c>
      <c r="H45" s="1647"/>
      <c r="I45" s="1647"/>
      <c r="J45" s="1647"/>
      <c r="K45" s="1647"/>
      <c r="L45" s="1648"/>
      <c r="M45" s="1649"/>
      <c r="N45" s="1649"/>
      <c r="O45" s="1649"/>
      <c r="P45" s="638"/>
      <c r="Q45" s="636"/>
      <c r="R45" s="637"/>
      <c r="S45" s="1620" t="str">
        <f>INDEX(PT_DIFFERENTIATION_NUM_CS,MATCH(C45,PT_DIFFERENTIATION_CS_ID,0))</f>
        <v>..</v>
      </c>
      <c r="T45" s="593" t="s">
        <v>404</v>
      </c>
      <c r="U45" s="584"/>
      <c r="V45" s="2526"/>
      <c r="W45" s="2527"/>
      <c r="X45" s="2527"/>
      <c r="Y45" s="2527"/>
      <c r="Z45" s="2527"/>
      <c r="AA45" s="2527"/>
      <c r="AB45" s="2527"/>
      <c r="AC45" s="2528"/>
      <c r="AD45" s="2526" t="str">
        <f>INDEX(PT_DIFFERENTIATION_CS,MATCH(C45,PT_DIFFERENTIATION_CS_ID,0))</f>
        <v/>
      </c>
      <c r="AE45" s="2527"/>
      <c r="AF45" s="2527"/>
      <c r="AG45" s="2527"/>
      <c r="AH45" s="2527"/>
      <c r="AI45" s="2527"/>
      <c r="AJ45" s="2527"/>
      <c r="AK45" s="2527"/>
      <c r="AL45" s="2528"/>
      <c r="AM45" s="1542" t="s">
        <v>405</v>
      </c>
      <c r="AO45" s="784"/>
      <c r="AP45" s="784" t="str">
        <f>IF(T45="","",T45)</f>
        <v>Наименование системы теплоснабжения </v>
      </c>
      <c r="AQ45" s="784"/>
      <c r="AR45" s="784"/>
      <c r="AS45" s="1439">
        <v>23</v>
      </c>
    </row>
    <row customHeight="1" ht="22.049999999999997">
      <c r="A46" s="1647" t="s">
        <v>187</v>
      </c>
      <c r="B46" s="1647" t="s">
        <v>188</v>
      </c>
      <c r="C46" s="1647" t="s">
        <v>189</v>
      </c>
      <c r="D46" s="1647" t="s">
        <v>190</v>
      </c>
      <c r="E46" s="2543"/>
      <c r="F46" s="2543"/>
      <c r="G46" s="2543"/>
      <c r="H46" s="2542">
        <v>1</v>
      </c>
      <c r="I46" s="1647"/>
      <c r="J46" s="1647"/>
      <c r="K46" s="1647"/>
      <c r="L46" s="1648"/>
      <c r="M46" s="1649"/>
      <c r="N46" s="1649"/>
      <c r="O46" s="1649"/>
      <c r="P46" s="638"/>
      <c r="Q46" s="636"/>
      <c r="R46" s="637"/>
      <c r="S46" s="1620" t="str">
        <f>INDEX(PT_DIFFERENTIATION_NUM_IST_TE,MATCH(D46,PT_DIFFERENTIATION_IST_TE_ID,0))</f>
        <v>...</v>
      </c>
      <c r="T46" s="594" t="s">
        <v>406</v>
      </c>
      <c r="U46" s="584"/>
      <c r="V46" s="2526"/>
      <c r="W46" s="2527"/>
      <c r="X46" s="2527"/>
      <c r="Y46" s="2527"/>
      <c r="Z46" s="2527"/>
      <c r="AA46" s="2527"/>
      <c r="AB46" s="2527"/>
      <c r="AC46" s="2528"/>
      <c r="AD46" s="2526" t="str">
        <f>INDEX(PT_DIFFERENTIATION_IST_TE,MATCH(D46,PT_DIFFERENTIATION_IST_TE_ID,0))</f>
        <v/>
      </c>
      <c r="AE46" s="2527"/>
      <c r="AF46" s="2527"/>
      <c r="AG46" s="2527"/>
      <c r="AH46" s="2527"/>
      <c r="AI46" s="2527"/>
      <c r="AJ46" s="2527"/>
      <c r="AK46" s="2527"/>
      <c r="AL46" s="2528"/>
      <c r="AM46" s="1542" t="s">
        <v>407</v>
      </c>
      <c r="AO46" s="784"/>
      <c r="AP46" s="784" t="str">
        <f>IF(T46="","",T46)</f>
        <v>Источник тепловой энергии  </v>
      </c>
      <c r="AQ46" s="784"/>
      <c r="AR46" s="784"/>
      <c r="AS46" s="1439">
        <v>21</v>
      </c>
    </row>
    <row s="14158" customFormat="1" customHeight="1" ht="0">
      <c r="A47" s="1627" t="s">
        <v>187</v>
      </c>
      <c r="B47" s="1627" t="s">
        <v>188</v>
      </c>
      <c r="C47" s="1627" t="s">
        <v>189</v>
      </c>
      <c r="D47" s="1627" t="s">
        <v>190</v>
      </c>
      <c r="E47" s="2543"/>
      <c r="F47" s="2543"/>
      <c r="G47" s="2543"/>
      <c r="H47" s="2543"/>
      <c r="I47" s="2540" t="str">
        <f>S46&amp;".1"</f>
        <v>....1</v>
      </c>
      <c r="J47" s="1627"/>
      <c r="K47" s="1627"/>
      <c r="L47" s="1630" t="s">
        <v>408</v>
      </c>
      <c r="M47" s="794"/>
      <c r="N47" s="794"/>
      <c r="O47" s="794"/>
      <c r="P47" s="2541">
        <v>1</v>
      </c>
      <c r="Q47" s="1615"/>
      <c r="R47" s="640"/>
      <c r="S47" s="1326"/>
      <c r="T47" s="1667"/>
      <c r="U47" s="1668"/>
      <c r="V47" s="2580"/>
      <c r="W47" s="2581"/>
      <c r="X47" s="2581"/>
      <c r="Y47" s="2581"/>
      <c r="Z47" s="2581"/>
      <c r="AA47" s="2581"/>
      <c r="AB47" s="2581"/>
      <c r="AC47" s="2582"/>
      <c r="AD47" s="2580"/>
      <c r="AE47" s="2581"/>
      <c r="AF47" s="2581"/>
      <c r="AG47" s="2581"/>
      <c r="AH47" s="2581"/>
      <c r="AI47" s="2581"/>
      <c r="AJ47" s="2581"/>
      <c r="AK47" s="2581"/>
      <c r="AL47" s="2582"/>
      <c r="AM47" s="1669"/>
      <c r="AO47" s="784"/>
      <c r="AP47" s="784" t="str">
        <f>IF(T47="","",T47)</f>
        <v/>
      </c>
      <c r="AQ47" s="784"/>
      <c r="AR47" s="784"/>
      <c r="AS47" s="795">
        <v>0</v>
      </c>
    </row>
    <row customHeight="1" ht="22.049999999999997">
      <c r="A48" s="1647" t="s">
        <v>187</v>
      </c>
      <c r="B48" s="1647" t="s">
        <v>188</v>
      </c>
      <c r="C48" s="1647" t="s">
        <v>189</v>
      </c>
      <c r="D48" s="1647" t="s">
        <v>190</v>
      </c>
      <c r="E48" s="2543"/>
      <c r="F48" s="2543"/>
      <c r="G48" s="2543"/>
      <c r="H48" s="2543"/>
      <c r="I48" s="2570"/>
      <c r="J48" s="2540" t="str">
        <f>S46&amp;".1"</f>
        <v>....1</v>
      </c>
      <c r="K48" s="1647"/>
      <c r="L48" s="1648" t="s">
        <v>411</v>
      </c>
      <c r="P48" s="2541"/>
      <c r="Q48" s="2541">
        <v>1</v>
      </c>
      <c r="R48" s="641"/>
      <c r="S48" s="1620" t="str">
        <f>$J48</f>
        <v>....1</v>
      </c>
      <c r="T48" s="570" t="s">
        <v>412</v>
      </c>
      <c r="U48" s="584"/>
      <c r="V48" s="2529"/>
      <c r="W48" s="2530"/>
      <c r="X48" s="2530"/>
      <c r="Y48" s="2530"/>
      <c r="Z48" s="2530"/>
      <c r="AA48" s="2530"/>
      <c r="AB48" s="2530"/>
      <c r="AC48" s="2531"/>
      <c r="AD48" s="2529"/>
      <c r="AE48" s="2530"/>
      <c r="AF48" s="2530"/>
      <c r="AG48" s="2530"/>
      <c r="AH48" s="2530"/>
      <c r="AI48" s="2530"/>
      <c r="AJ48" s="2530"/>
      <c r="AK48" s="2530"/>
      <c r="AL48" s="2531"/>
      <c r="AM48" s="1542" t="s">
        <v>413</v>
      </c>
      <c r="AO48" s="784"/>
      <c r="AP48" s="784" t="str">
        <f>IF(T48="","",T48)</f>
        <v>Группа потребителей</v>
      </c>
      <c r="AQ48" s="784"/>
      <c r="AR48" s="784"/>
      <c r="AS48" s="1439">
        <v>21</v>
      </c>
    </row>
    <row customHeight="1" ht="22.049999999999997">
      <c r="A49" s="1647" t="s">
        <v>187</v>
      </c>
      <c r="B49" s="1647" t="s">
        <v>188</v>
      </c>
      <c r="C49" s="1647" t="s">
        <v>189</v>
      </c>
      <c r="D49" s="1647" t="s">
        <v>190</v>
      </c>
      <c r="E49" s="2543"/>
      <c r="F49" s="2543"/>
      <c r="G49" s="2543"/>
      <c r="H49" s="2543"/>
      <c r="I49" s="2570"/>
      <c r="J49" s="2570"/>
      <c r="K49" s="2540" t="str">
        <f>J48&amp;".1"</f>
        <v>....1.1</v>
      </c>
      <c r="L49" s="1648" t="s">
        <v>414</v>
      </c>
      <c r="P49" s="2541"/>
      <c r="Q49" s="2541"/>
      <c r="R49" s="641">
        <v>1</v>
      </c>
      <c r="S49" s="1620" t="str">
        <f>$K49</f>
        <v>....1.1</v>
      </c>
      <c r="T49" s="1631"/>
      <c r="U49" s="584"/>
      <c r="V49" s="1035"/>
      <c r="W49" s="609"/>
      <c r="X49" s="1035"/>
      <c r="Y49" s="1541"/>
      <c r="Z49" s="2549"/>
      <c r="AA49" s="2391" t="s">
        <v>67</v>
      </c>
      <c r="AB49" s="2549"/>
      <c r="AC49" s="2391" t="s">
        <v>67</v>
      </c>
      <c r="AD49" s="1035"/>
      <c r="AE49" s="609"/>
      <c r="AF49" s="1035"/>
      <c r="AG49" s="1541"/>
      <c r="AH49" s="2549"/>
      <c r="AI49" s="2391" t="s">
        <v>67</v>
      </c>
      <c r="AJ49" s="2571"/>
      <c r="AK49" s="2391" t="s">
        <v>67</v>
      </c>
      <c r="AL49" s="1632"/>
      <c r="AM49" s="2537" t="s">
        <v>459</v>
      </c>
      <c r="AN49" s="795">
        <f>STRCHECKDATE(V50:AL50)</f>
      </c>
      <c r="AO49" s="784"/>
      <c r="AP49" s="784" t="str">
        <f>IF(T49="","",T49)</f>
        <v/>
      </c>
      <c r="AQ49" s="784"/>
      <c r="AR49" s="784"/>
      <c r="AS49" s="1439">
        <v>21</v>
      </c>
    </row>
    <row customHeight="1" ht="1.05">
      <c r="A50" s="1647" t="s">
        <v>187</v>
      </c>
      <c r="B50" s="1647" t="s">
        <v>188</v>
      </c>
      <c r="C50" s="1647" t="s">
        <v>189</v>
      </c>
      <c r="D50" s="1647" t="s">
        <v>190</v>
      </c>
      <c r="E50" s="2543"/>
      <c r="F50" s="2543"/>
      <c r="G50" s="2543"/>
      <c r="H50" s="2543"/>
      <c r="I50" s="2570"/>
      <c r="J50" s="2570"/>
      <c r="K50" s="2540"/>
      <c r="L50" s="1648"/>
      <c r="P50" s="2541"/>
      <c r="Q50" s="2541"/>
      <c r="R50" s="641"/>
      <c r="S50" s="1626"/>
      <c r="T50" s="584"/>
      <c r="U50" s="584"/>
      <c r="V50" s="609"/>
      <c r="W50" s="609"/>
      <c r="X50" s="609"/>
      <c r="Y50" s="612" t="str">
        <f>Z49&amp;"-"&amp;AB49</f>
        <v>-</v>
      </c>
      <c r="Z50" s="2550"/>
      <c r="AA50" s="2391"/>
      <c r="AB50" s="2550"/>
      <c r="AC50" s="2391"/>
      <c r="AD50" s="609"/>
      <c r="AE50" s="609"/>
      <c r="AF50" s="609"/>
      <c r="AG50" s="612" t="str">
        <f>AH49&amp;"-"&amp;AJ49</f>
        <v>-</v>
      </c>
      <c r="AH50" s="2550"/>
      <c r="AI50" s="2391"/>
      <c r="AJ50" s="2572"/>
      <c r="AK50" s="2391"/>
      <c r="AL50" s="1633"/>
      <c r="AM50" s="2538"/>
      <c r="AO50" s="784"/>
      <c r="AP50" s="784" t="str">
        <f>IF(T50="","",T50)</f>
        <v/>
      </c>
      <c r="AQ50" s="784"/>
      <c r="AR50" s="784"/>
      <c r="AS50" s="1439">
        <v>1</v>
      </c>
    </row>
    <row customHeight="1" ht="11.549999999999999">
      <c r="A51" s="1647" t="s">
        <v>187</v>
      </c>
      <c r="B51" s="1647" t="s">
        <v>188</v>
      </c>
      <c r="C51" s="1647" t="s">
        <v>189</v>
      </c>
      <c r="D51" s="1647" t="s">
        <v>190</v>
      </c>
      <c r="E51" s="2543"/>
      <c r="F51" s="2543"/>
      <c r="G51" s="2543"/>
      <c r="H51" s="2543"/>
      <c r="I51" s="2570"/>
      <c r="J51" s="2540"/>
      <c r="K51" s="1647"/>
      <c r="L51" s="1648"/>
      <c r="P51" s="2541"/>
      <c r="Q51" s="2541"/>
      <c r="R51" s="640"/>
      <c r="S51" s="1562"/>
      <c r="T51" s="571" t="s">
        <v>416</v>
      </c>
      <c r="U51" s="651"/>
      <c r="V51" s="651"/>
      <c r="W51" s="651"/>
      <c r="X51" s="651"/>
      <c r="Y51" s="651"/>
      <c r="Z51" s="651"/>
      <c r="AA51" s="651"/>
      <c r="AB51" s="651"/>
      <c r="AC51" s="651"/>
      <c r="AD51" s="651"/>
      <c r="AE51" s="651"/>
      <c r="AF51" s="651"/>
      <c r="AG51" s="651"/>
      <c r="AH51" s="651"/>
      <c r="AI51" s="651"/>
      <c r="AJ51" s="651"/>
      <c r="AK51" s="651"/>
      <c r="AL51" s="608"/>
      <c r="AM51" s="2539"/>
      <c r="AO51" s="784"/>
      <c r="AP51" s="784" t="str">
        <f>IF(T51="","",T51)</f>
        <v>Добавить вид теплоносителя (параметры теплоносителя)</v>
      </c>
      <c r="AQ51" s="784"/>
      <c r="AR51" s="784"/>
      <c r="AS51" s="1439">
        <v>11</v>
      </c>
    </row>
    <row customHeight="1" ht="11.549999999999999">
      <c r="A52" s="1647" t="s">
        <v>187</v>
      </c>
      <c r="B52" s="1647" t="s">
        <v>188</v>
      </c>
      <c r="C52" s="1647" t="s">
        <v>189</v>
      </c>
      <c r="D52" s="1647" t="s">
        <v>190</v>
      </c>
      <c r="E52" s="2543"/>
      <c r="F52" s="2543"/>
      <c r="G52" s="2543"/>
      <c r="H52" s="2543"/>
      <c r="I52" s="2540"/>
      <c r="J52" s="1647"/>
      <c r="K52" s="1647"/>
      <c r="L52" s="1648"/>
      <c r="P52" s="2541"/>
      <c r="Q52" s="1615"/>
      <c r="R52" s="640"/>
      <c r="S52" s="1562"/>
      <c r="T52" s="649" t="s">
        <v>417</v>
      </c>
      <c r="U52" s="651"/>
      <c r="V52" s="651"/>
      <c r="W52" s="651"/>
      <c r="X52" s="651"/>
      <c r="Y52" s="651"/>
      <c r="Z52" s="651"/>
      <c r="AA52" s="651"/>
      <c r="AB52" s="651"/>
      <c r="AC52" s="650"/>
      <c r="AD52" s="651"/>
      <c r="AE52" s="651"/>
      <c r="AF52" s="651"/>
      <c r="AG52" s="651"/>
      <c r="AH52" s="651"/>
      <c r="AI52" s="651"/>
      <c r="AJ52" s="651"/>
      <c r="AK52" s="650"/>
      <c r="AL52" s="651"/>
      <c r="AM52" s="587"/>
      <c r="AO52" s="784"/>
      <c r="AP52" s="784" t="str">
        <f>IF(T52="","",T52)</f>
        <v>Добавить группу потребителей</v>
      </c>
      <c r="AQ52" s="784"/>
      <c r="AR52" s="784"/>
      <c r="AS52" s="1439">
        <v>11</v>
      </c>
    </row>
    <row customHeight="1" ht="0">
      <c r="A53" s="1647" t="s">
        <v>187</v>
      </c>
      <c r="B53" s="1647" t="s">
        <v>188</v>
      </c>
      <c r="C53" s="1647" t="s">
        <v>189</v>
      </c>
      <c r="D53" s="1647" t="s">
        <v>190</v>
      </c>
      <c r="E53" s="2543"/>
      <c r="F53" s="2543"/>
      <c r="G53" s="2543"/>
      <c r="H53" s="2542"/>
      <c r="I53" s="1647"/>
      <c r="J53" s="1647"/>
      <c r="K53" s="1647"/>
      <c r="L53" s="1648"/>
      <c r="M53" s="1649"/>
      <c r="N53" s="1649"/>
      <c r="O53" s="821"/>
      <c r="P53" s="644"/>
      <c r="Q53" s="659"/>
      <c r="R53" s="639"/>
      <c r="S53" s="1670"/>
      <c r="T53" s="1671"/>
      <c r="U53" s="1672"/>
      <c r="V53" s="1672"/>
      <c r="W53" s="1672"/>
      <c r="X53" s="1672"/>
      <c r="Y53" s="1672"/>
      <c r="Z53" s="1672"/>
      <c r="AA53" s="1672"/>
      <c r="AB53" s="1672"/>
      <c r="AC53" s="1672"/>
      <c r="AD53" s="1672"/>
      <c r="AE53" s="1672"/>
      <c r="AF53" s="1672"/>
      <c r="AG53" s="1672"/>
      <c r="AH53" s="1672"/>
      <c r="AI53" s="1672"/>
      <c r="AJ53" s="1672"/>
      <c r="AK53" s="1672"/>
      <c r="AL53" s="1672"/>
      <c r="AM53" s="1673"/>
      <c r="AO53" s="784"/>
      <c r="AP53" s="784" t="str">
        <f>IF(T53="","",T53)</f>
        <v/>
      </c>
      <c r="AQ53" s="784"/>
      <c r="AR53" s="784"/>
      <c r="AS53" s="1439">
        <v>0</v>
      </c>
    </row>
    <row s="14158" customFormat="1" customHeight="1" ht="1.05">
      <c r="A54" s="1627" t="s">
        <v>187</v>
      </c>
      <c r="B54" s="1627" t="s">
        <v>188</v>
      </c>
      <c r="C54" s="1627" t="s">
        <v>189</v>
      </c>
      <c r="D54" s="1598"/>
      <c r="E54" s="2543"/>
      <c r="F54" s="2543"/>
      <c r="G54" s="2542"/>
      <c r="H54" s="1598"/>
      <c r="I54" s="1598"/>
      <c r="J54" s="1598"/>
      <c r="K54" s="1598"/>
      <c r="L54" s="1623"/>
      <c r="M54" s="1599"/>
      <c r="N54" s="1599"/>
      <c r="P54" s="1600"/>
      <c r="Q54" s="1601"/>
      <c r="R54" s="1600"/>
      <c r="S54" s="1606"/>
      <c r="T54" s="1609" t="s">
        <v>169</v>
      </c>
      <c r="U54" s="1608"/>
      <c r="V54" s="1608"/>
      <c r="W54" s="1608"/>
      <c r="X54" s="1608"/>
      <c r="Y54" s="1608"/>
      <c r="Z54" s="1608"/>
      <c r="AA54" s="1608"/>
      <c r="AB54" s="1608"/>
      <c r="AC54" s="1608"/>
      <c r="AD54" s="1608"/>
      <c r="AE54" s="1608"/>
      <c r="AF54" s="1608"/>
      <c r="AG54" s="1608"/>
      <c r="AH54" s="1608"/>
      <c r="AI54" s="1608"/>
      <c r="AJ54" s="1608"/>
      <c r="AK54" s="1608"/>
      <c r="AL54" s="1608"/>
      <c r="AM54" s="1608"/>
      <c r="AO54" s="1073"/>
      <c r="AP54" s="1073" t="str">
        <f>IF(T54="","",T54)</f>
        <v>Добавить источник для дифференциации</v>
      </c>
      <c r="AQ54" s="1073"/>
      <c r="AR54" s="1073"/>
      <c r="AS54" s="802">
        <v>1</v>
      </c>
    </row>
    <row s="14158" customFormat="1" customHeight="1" ht="1.05">
      <c r="A55" s="1627" t="s">
        <v>187</v>
      </c>
      <c r="B55" s="1627" t="s">
        <v>188</v>
      </c>
      <c r="C55" s="1598"/>
      <c r="D55" s="1598"/>
      <c r="E55" s="2543"/>
      <c r="F55" s="2542"/>
      <c r="G55" s="1598"/>
      <c r="H55" s="1598"/>
      <c r="I55" s="1598"/>
      <c r="J55" s="1598"/>
      <c r="K55" s="1598"/>
      <c r="L55" s="1623"/>
      <c r="M55" s="1605"/>
      <c r="N55" s="1605"/>
      <c r="P55" s="1600"/>
      <c r="Q55" s="1601"/>
      <c r="R55" s="1600"/>
      <c r="S55" s="1606"/>
      <c r="T55" s="1609" t="s">
        <v>170</v>
      </c>
      <c r="U55" s="1608"/>
      <c r="V55" s="1608"/>
      <c r="W55" s="1608"/>
      <c r="X55" s="1608"/>
      <c r="Y55" s="1608"/>
      <c r="Z55" s="1608"/>
      <c r="AA55" s="1608"/>
      <c r="AB55" s="1608"/>
      <c r="AC55" s="1608"/>
      <c r="AD55" s="1608"/>
      <c r="AE55" s="1608"/>
      <c r="AF55" s="1608"/>
      <c r="AG55" s="1608"/>
      <c r="AH55" s="1608"/>
      <c r="AI55" s="1608"/>
      <c r="AJ55" s="1608"/>
      <c r="AK55" s="1608"/>
      <c r="AL55" s="1608"/>
      <c r="AM55" s="1608"/>
      <c r="AO55" s="1073"/>
      <c r="AP55" s="1073" t="str">
        <f>IF(T55="","",T55)</f>
        <v>Добавить централизованную систему для дифференциации</v>
      </c>
      <c r="AQ55" s="1073"/>
      <c r="AR55" s="1073"/>
      <c r="AS55" s="802">
        <v>1</v>
      </c>
    </row>
    <row s="14158" customFormat="1" customHeight="1" ht="1.05">
      <c r="A56" s="1627" t="s">
        <v>187</v>
      </c>
      <c r="B56" s="1627"/>
      <c r="C56" s="1627"/>
      <c r="D56" s="1627"/>
      <c r="E56" s="2542"/>
      <c r="F56" s="1627"/>
      <c r="G56" s="1627"/>
      <c r="H56" s="1627"/>
      <c r="I56" s="1627"/>
      <c r="J56" s="1627"/>
      <c r="K56" s="1627"/>
      <c r="L56" s="1630"/>
      <c r="M56" s="1605"/>
      <c r="N56" s="1605"/>
      <c r="O56" s="802"/>
      <c r="P56" s="664"/>
      <c r="Q56" s="1628"/>
      <c r="R56" s="664"/>
      <c r="S56" s="1606"/>
      <c r="T56" s="1609" t="s">
        <v>171</v>
      </c>
      <c r="U56" s="1608"/>
      <c r="V56" s="1608"/>
      <c r="W56" s="1608"/>
      <c r="X56" s="1608"/>
      <c r="Y56" s="1608"/>
      <c r="Z56" s="1608"/>
      <c r="AA56" s="1608"/>
      <c r="AB56" s="1608"/>
      <c r="AC56" s="1608"/>
      <c r="AD56" s="1608"/>
      <c r="AE56" s="1608"/>
      <c r="AF56" s="1608"/>
      <c r="AG56" s="1608"/>
      <c r="AH56" s="1608"/>
      <c r="AI56" s="1608"/>
      <c r="AJ56" s="1608"/>
      <c r="AK56" s="1608"/>
      <c r="AL56" s="1608"/>
      <c r="AM56" s="1608"/>
      <c r="AO56" s="784"/>
      <c r="AP56" s="784" t="str">
        <f>IF(T56="","",T56)</f>
        <v>Добавить территорию для дифференциации</v>
      </c>
      <c r="AQ56" s="784"/>
      <c r="AR56" s="784"/>
      <c r="AS56" s="795">
        <v>1</v>
      </c>
    </row>
    <row s="14158" customFormat="1" customHeight="1" ht="1.05">
      <c r="A57" s="1598"/>
      <c r="B57" s="1598"/>
      <c r="C57" s="1598"/>
      <c r="D57" s="1598"/>
      <c r="E57" s="1627"/>
      <c r="F57" s="1598"/>
      <c r="G57" s="1598"/>
      <c r="H57" s="1598"/>
      <c r="I57" s="1598"/>
      <c r="J57" s="1598"/>
      <c r="K57" s="1598"/>
      <c r="L57" s="1623"/>
      <c r="M57" s="1605"/>
      <c r="N57" s="1605"/>
      <c r="P57" s="1600"/>
      <c r="Q57" s="1601"/>
      <c r="R57" s="1600"/>
      <c r="S57" s="1606"/>
      <c r="T57" s="1609" t="s">
        <v>172</v>
      </c>
      <c r="U57" s="1608"/>
      <c r="V57" s="1608"/>
      <c r="W57" s="1608"/>
      <c r="X57" s="1608"/>
      <c r="Y57" s="1608"/>
      <c r="Z57" s="1608"/>
      <c r="AA57" s="1608"/>
      <c r="AB57" s="1608"/>
      <c r="AC57" s="1608"/>
      <c r="AD57" s="1608"/>
      <c r="AE57" s="1608"/>
      <c r="AF57" s="1608"/>
      <c r="AG57" s="1608"/>
      <c r="AH57" s="1608"/>
      <c r="AI57" s="1608"/>
      <c r="AJ57" s="1608"/>
      <c r="AK57" s="1608"/>
      <c r="AL57" s="1608"/>
      <c r="AM57" s="1608"/>
      <c r="AO57" s="1073"/>
      <c r="AP57" s="1073" t="str">
        <f>IF(T57="","",T57)</f>
        <v>Добавить наименование тарифа</v>
      </c>
      <c r="AQ57" s="1073"/>
      <c r="AR57" s="1073"/>
      <c r="AS57" s="802">
        <v>1</v>
      </c>
    </row>
    <row customHeight="1" ht="11.549999999999999">
      <c r="M58" s="1444"/>
      <c r="N58" s="1444"/>
      <c r="O58" s="821"/>
      <c r="P58" s="1439"/>
      <c r="Q58" s="1439"/>
      <c r="R58" s="1439"/>
      <c r="S58" s="1439"/>
      <c r="AN58" s="1439"/>
      <c r="AO58" s="1439"/>
      <c r="AP58" s="1439"/>
      <c r="AQ58" s="1439"/>
      <c r="AR58" s="1439"/>
      <c r="AS58" s="1439">
        <v>11</v>
      </c>
    </row>
    <row customHeight="1" ht="23.25">
      <c r="O59" s="821"/>
      <c r="S59" s="1537"/>
      <c r="T59" s="2569"/>
      <c r="U59" s="2569"/>
      <c r="V59" s="2569"/>
      <c r="W59" s="2569"/>
      <c r="X59" s="2569"/>
      <c r="Y59" s="2569"/>
      <c r="Z59" s="2569"/>
      <c r="AA59" s="2569"/>
      <c r="AB59" s="2569"/>
      <c r="AC59" s="2569"/>
      <c r="AD59" s="2569"/>
      <c r="AE59" s="2569"/>
      <c r="AF59" s="2569"/>
      <c r="AG59" s="2569"/>
      <c r="AH59" s="2569"/>
      <c r="AI59" s="2569"/>
      <c r="AJ59" s="2569"/>
      <c r="AK59" s="2569"/>
      <c r="AL59" s="2569"/>
      <c r="AM59" s="2569"/>
      <c r="AS59" s="1439">
        <v>22</v>
      </c>
    </row>
    <row customHeight="1" ht="30.45">
      <c r="O60" s="821"/>
      <c r="T60" s="2569"/>
      <c r="U60" s="2569"/>
      <c r="V60" s="2569"/>
      <c r="W60" s="2569"/>
      <c r="X60" s="2569"/>
      <c r="Y60" s="2569"/>
      <c r="Z60" s="2569"/>
      <c r="AA60" s="2569"/>
      <c r="AB60" s="2569"/>
      <c r="AC60" s="2569"/>
      <c r="AD60" s="2569"/>
      <c r="AE60" s="2569"/>
      <c r="AF60" s="2569"/>
      <c r="AG60" s="2569"/>
      <c r="AH60" s="2569"/>
      <c r="AI60" s="2569"/>
      <c r="AJ60" s="2569"/>
      <c r="AK60" s="2569"/>
      <c r="AL60" s="2569"/>
      <c r="AM60" s="2569"/>
      <c r="AS60" s="1439">
        <v>29</v>
      </c>
    </row>
    <row customHeight="1" ht="42">
      <c r="O61" s="821"/>
      <c r="T61" s="2569"/>
      <c r="U61" s="2569"/>
      <c r="V61" s="2569"/>
      <c r="W61" s="2569"/>
      <c r="X61" s="2569"/>
      <c r="Y61" s="2569"/>
      <c r="Z61" s="2569"/>
      <c r="AA61" s="2569"/>
      <c r="AB61" s="2569"/>
      <c r="AC61" s="2569"/>
      <c r="AD61" s="2569"/>
      <c r="AE61" s="2569"/>
      <c r="AF61" s="2569"/>
      <c r="AG61" s="2569"/>
      <c r="AH61" s="2569"/>
      <c r="AI61" s="2569"/>
      <c r="AJ61" s="2569"/>
      <c r="AK61" s="2569"/>
      <c r="AL61" s="2569"/>
      <c r="AM61" s="2569"/>
      <c r="AS61" s="1439">
        <v>40</v>
      </c>
    </row>
    <row customHeight="1" ht="14.699999999999998">
      <c r="O62" s="821"/>
      <c r="AS62" s="1439">
        <v>14</v>
      </c>
    </row>
    <row customHeight="1" ht="21">
      <c r="O63" s="821"/>
      <c r="S63" s="1537"/>
      <c r="T63" s="2583"/>
      <c r="U63" s="2569"/>
      <c r="V63" s="2569"/>
      <c r="W63" s="2569"/>
      <c r="X63" s="2569"/>
      <c r="Y63" s="2569"/>
      <c r="Z63" s="2569"/>
      <c r="AA63" s="2569"/>
      <c r="AB63" s="2569"/>
      <c r="AC63" s="2569"/>
      <c r="AD63" s="2569"/>
      <c r="AE63" s="2569"/>
      <c r="AF63" s="2569"/>
      <c r="AG63" s="2569"/>
      <c r="AH63" s="2569"/>
      <c r="AI63" s="2569"/>
      <c r="AJ63" s="2569"/>
      <c r="AK63" s="2569"/>
      <c r="AL63" s="2569"/>
      <c r="AM63" s="2569"/>
      <c r="AS63" s="1439">
        <v>20</v>
      </c>
    </row>
    <row customHeight="1" ht="29.25">
      <c r="O64" s="821"/>
      <c r="T64" s="2569"/>
      <c r="U64" s="2569"/>
      <c r="V64" s="2569"/>
      <c r="W64" s="2569"/>
      <c r="X64" s="2569"/>
      <c r="Y64" s="2569"/>
      <c r="Z64" s="2569"/>
      <c r="AA64" s="2569"/>
      <c r="AB64" s="2569"/>
      <c r="AC64" s="2569"/>
      <c r="AD64" s="2569"/>
      <c r="AE64" s="2569"/>
      <c r="AF64" s="2569"/>
      <c r="AG64" s="2569"/>
      <c r="AH64" s="2569"/>
      <c r="AI64" s="2569"/>
      <c r="AJ64" s="2569"/>
      <c r="AK64" s="2569"/>
      <c r="AL64" s="2569"/>
      <c r="AM64" s="2569"/>
      <c r="AS64" s="1439">
        <v>28</v>
      </c>
    </row>
    <row customHeight="1" ht="35.699999999999996">
      <c r="T65" s="2569"/>
      <c r="U65" s="2569"/>
      <c r="V65" s="2569"/>
      <c r="W65" s="2569"/>
      <c r="X65" s="2569"/>
      <c r="Y65" s="2569"/>
      <c r="Z65" s="2569"/>
      <c r="AA65" s="2569"/>
      <c r="AB65" s="2569"/>
      <c r="AC65" s="2569"/>
      <c r="AD65" s="2569"/>
      <c r="AE65" s="2569"/>
      <c r="AF65" s="2569"/>
      <c r="AG65" s="2569"/>
      <c r="AH65" s="2569"/>
      <c r="AI65" s="2569"/>
      <c r="AJ65" s="2569"/>
      <c r="AK65" s="2569"/>
      <c r="AL65" s="2569"/>
      <c r="AM65" s="2569"/>
      <c r="AS65" s="1439">
        <v>34</v>
      </c>
    </row>
    <row customHeight="1" ht="22.5" hidden="1">
      <c r="A66" s="1444" t="s">
        <v>83</v>
      </c>
      <c r="B66" s="1444">
        <v>0</v>
      </c>
      <c r="C66" s="1444">
        <v>0</v>
      </c>
      <c r="D66" s="1444">
        <v>0</v>
      </c>
      <c r="E66" s="1444">
        <v>0</v>
      </c>
      <c r="F66" s="1444">
        <v>0</v>
      </c>
      <c r="G66" s="1444">
        <v>0</v>
      </c>
      <c r="H66" s="1444">
        <v>0</v>
      </c>
      <c r="I66" s="1444">
        <v>0</v>
      </c>
      <c r="J66" s="1444">
        <v>0</v>
      </c>
      <c r="K66" s="1444">
        <v>0</v>
      </c>
      <c r="L66" s="1613">
        <v>0</v>
      </c>
      <c r="M66" s="1646">
        <v>0</v>
      </c>
      <c r="N66" s="1646">
        <v>0</v>
      </c>
      <c r="O66" s="1646">
        <v>0</v>
      </c>
      <c r="P66" s="1612">
        <v>0</v>
      </c>
      <c r="Q66" s="628">
        <v>3</v>
      </c>
      <c r="R66" s="628">
        <v>3</v>
      </c>
      <c r="S66" s="865">
        <v>12</v>
      </c>
      <c r="T66" s="1439">
        <v>31</v>
      </c>
      <c r="U66" s="1439">
        <v>0</v>
      </c>
      <c r="V66" s="1439">
        <v>0</v>
      </c>
      <c r="W66" s="1439">
        <v>0</v>
      </c>
      <c r="X66" s="1439">
        <v>0</v>
      </c>
      <c r="Y66" s="1439">
        <v>0</v>
      </c>
      <c r="Z66" s="1439">
        <v>0</v>
      </c>
      <c r="AA66" s="1439">
        <v>0</v>
      </c>
      <c r="AB66" s="1439">
        <v>0</v>
      </c>
      <c r="AC66" s="1439">
        <v>0</v>
      </c>
      <c r="AD66" s="1439">
        <v>24</v>
      </c>
      <c r="AE66" s="1439">
        <v>0</v>
      </c>
      <c r="AF66" s="1439">
        <v>24</v>
      </c>
      <c r="AG66" s="1439">
        <v>24</v>
      </c>
      <c r="AH66" s="1439">
        <v>11</v>
      </c>
      <c r="AI66" s="1439">
        <v>3</v>
      </c>
      <c r="AJ66" s="1439">
        <v>11</v>
      </c>
      <c r="AK66" s="1439">
        <v>0</v>
      </c>
      <c r="AL66" s="1439">
        <v>4</v>
      </c>
      <c r="AM66" s="1439">
        <v>115</v>
      </c>
      <c r="AN66" s="795">
        <v>10</v>
      </c>
      <c r="AO66" s="795">
        <v>10</v>
      </c>
      <c r="AP66" s="795">
        <v>10</v>
      </c>
      <c r="AQ66" s="795">
        <v>10</v>
      </c>
      <c r="AR66" s="795">
        <v>10</v>
      </c>
      <c r="AS66" s="1439">
        <v>23</v>
      </c>
    </row>
  </sheetData>
  <sheetProtection formatColumns="0" formatRows="0" autoFilter="0" sort="0" insertRows="0" insertColumns="1" deleteRows="0" deleteColumns="0"/>
  <mergeCells count="113">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S30:T30"/>
    <mergeCell ref="V30:AB30"/>
    <mergeCell ref="AD30:AJ30"/>
    <mergeCell ref="S31:T31"/>
    <mergeCell ref="V31:AB31"/>
    <mergeCell ref="AD31:AJ31"/>
    <mergeCell ref="S26:AJ26"/>
    <mergeCell ref="S27:AJ27"/>
    <mergeCell ref="S29:T29"/>
    <mergeCell ref="V29:AB29"/>
    <mergeCell ref="AD29:AJ29"/>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FB72D88-0AE8-5498-9353-E71FD80E80A4}" mc:Ignorable="x14ac xr xr2 xr3">
  <sheetPr>
    <tabColor theme="6" tint="0.4"/>
  </sheetPr>
  <dimension ref="A1:AS66"/>
  <sheetViews>
    <sheetView topLeftCell="A1" showGridLines="0" zoomScale="90" workbookViewId="0">
      <selection activeCell="A1" sqref="A1"/>
    </sheetView>
  </sheetViews>
  <sheetFormatPr defaultColWidth="10.57421875" customHeight="1" defaultRowHeight="14.25"/>
  <cols>
    <col min="1" max="1" style="14157" width="10.57421875" hidden="1"/>
    <col min="2" max="2" style="14157" width="11.00390625" hidden="1" customWidth="1"/>
    <col min="3" max="3" style="14157" width="10.57421875" hidden="1"/>
    <col min="4" max="4" style="14157" width="11.8515625" hidden="1" customWidth="1"/>
    <col min="5" max="5" style="14157" width="10.00390625" hidden="1" customWidth="1"/>
    <col min="6" max="6" style="14157" width="8.7109375" hidden="1" customWidth="1"/>
    <col min="7" max="7" style="14157" width="7.57421875" hidden="1" customWidth="1"/>
    <col min="8" max="8" style="14157" width="11.421875" hidden="1" customWidth="1"/>
    <col min="9" max="9" style="14157" width="12.00390625" hidden="1" customWidth="1"/>
    <col min="10" max="10" style="14157" width="9.8515625" hidden="1" customWidth="1"/>
    <col min="11" max="11" style="14157" width="11.421875" hidden="1" customWidth="1"/>
    <col min="12" max="12" style="14974" width="19.140625" hidden="1" customWidth="1"/>
    <col min="13" max="14" style="14975" width="12.28125" hidden="1" customWidth="1"/>
    <col min="15" max="15" style="14975" width="23.421875" hidden="1" customWidth="1"/>
    <col min="16" max="16" style="14976" width="3.7109375" hidden="1" customWidth="1"/>
    <col min="17" max="18" style="14977" width="3.00390625" customWidth="1"/>
    <col min="19" max="19" style="14978" width="12.00390625" customWidth="1"/>
    <col min="20" max="20" style="14077" width="31.00390625" customWidth="1"/>
    <col min="21" max="21" style="14077" width="0.140625" customWidth="1"/>
    <col min="22" max="22" style="14077" width="24.7109375" hidden="1" customWidth="1"/>
    <col min="23" max="23" style="14077" width="0.140625" hidden="1" customWidth="1"/>
    <col min="24" max="25" style="14077" width="24.7109375" hidden="1" customWidth="1"/>
    <col min="26" max="26" style="14077" width="11.7109375" hidden="1" customWidth="1"/>
    <col min="27" max="27" style="14077" width="3.7109375" hidden="1" customWidth="1"/>
    <col min="28" max="28" style="14077" width="11.7109375" hidden="1" customWidth="1"/>
    <col min="29" max="29" style="14077" width="8.57421875" hidden="1" customWidth="1"/>
    <col min="30" max="30" style="14077" width="24.7109375" customWidth="1"/>
    <col min="31" max="31" style="14077" width="0.140625" customWidth="1"/>
    <col min="32" max="33" style="14077" width="24.00390625" customWidth="1"/>
    <col min="34" max="34" style="14077" width="11.00390625" customWidth="1"/>
    <col min="35" max="35" style="14077" width="3.7109375" customWidth="1"/>
    <col min="36" max="36" style="14077" width="11.00390625" customWidth="1"/>
    <col min="37" max="37" style="14077" width="8.57421875" hidden="1" customWidth="1"/>
    <col min="38" max="38" style="14077" width="4.00390625" customWidth="1"/>
    <col min="39" max="39" style="14077" width="115.00390625" customWidth="1"/>
    <col min="40" max="44" style="14158" width="10.00390625" customWidth="1"/>
    <col min="45" max="45" style="14077" width="10.57421875" hidden="1"/>
  </cols>
  <sheetData>
    <row customHeight="1" ht="22.5" hidden="1">
      <c r="Y1" s="611"/>
      <c r="Z1" s="611"/>
      <c r="AG1" s="611"/>
      <c r="AH1" s="611"/>
      <c r="AS1" s="1439" t="s">
        <v>14</v>
      </c>
    </row>
    <row customHeight="1" ht="21" hidden="1">
      <c r="A2" s="1647"/>
      <c r="B2" s="1647"/>
      <c r="C2" s="1647"/>
      <c r="D2" s="1647"/>
      <c r="E2" s="2542">
        <v>1</v>
      </c>
      <c r="F2" s="1647"/>
      <c r="G2" s="1647"/>
      <c r="H2" s="1647"/>
      <c r="I2" s="1647"/>
      <c r="J2" s="1647"/>
      <c r="K2" s="1647"/>
      <c r="L2" s="1648"/>
      <c r="M2" s="1649"/>
      <c r="N2" s="1649"/>
      <c r="O2" s="1649"/>
      <c r="P2" s="645"/>
      <c r="Q2" s="644"/>
      <c r="R2" s="639"/>
      <c r="S2" s="1620">
        <f>INDEX(PT_DIFFERENTIATION_NUM_NTAR,MATCH(A2,PT_DIFFERENTIATION_NTAR_ID,0))</f>
      </c>
      <c r="T2" s="582" t="s">
        <v>124</v>
      </c>
      <c r="U2" s="584"/>
      <c r="V2" s="2526"/>
      <c r="W2" s="2527"/>
      <c r="X2" s="2527"/>
      <c r="Y2" s="2527"/>
      <c r="Z2" s="2527"/>
      <c r="AA2" s="2527"/>
      <c r="AB2" s="2527"/>
      <c r="AC2" s="2528"/>
      <c r="AD2" s="2526">
        <f>INDEX(PT_DIFFERENTIATION_NTAR,MATCH(A2,PT_DIFFERENTIATION_NTAR_ID,0))</f>
      </c>
      <c r="AE2" s="2527"/>
      <c r="AF2" s="2527"/>
      <c r="AG2" s="2527"/>
      <c r="AH2" s="2527"/>
      <c r="AI2" s="2527"/>
      <c r="AJ2" s="2527"/>
      <c r="AK2" s="2527"/>
      <c r="AL2" s="2528"/>
      <c r="AM2" s="1542" t="s">
        <v>401</v>
      </c>
      <c r="AO2" s="784"/>
      <c r="AP2" s="784" t="str">
        <f>IF(T2="","",T2)</f>
        <v>Наименование тарифа</v>
      </c>
      <c r="AQ2" s="784"/>
      <c r="AR2" s="784"/>
      <c r="AS2" s="1439">
        <v>0</v>
      </c>
    </row>
    <row customHeight="1" ht="21" hidden="1">
      <c r="A3" s="1647"/>
      <c r="B3" s="1647"/>
      <c r="C3" s="1647"/>
      <c r="D3" s="1647"/>
      <c r="E3" s="2543"/>
      <c r="F3" s="2542">
        <v>1</v>
      </c>
      <c r="G3" s="1647"/>
      <c r="H3" s="1647"/>
      <c r="I3" s="1647"/>
      <c r="J3" s="1647"/>
      <c r="K3" s="1647"/>
      <c r="L3" s="1648"/>
      <c r="M3" s="1649"/>
      <c r="N3" s="1649"/>
      <c r="O3" s="1649"/>
      <c r="P3" s="1616"/>
      <c r="Q3" s="636"/>
      <c r="R3" s="637"/>
      <c r="S3" s="1620">
        <f>INDEX(PT_DIFFERENTIATION_NUM_TER,MATCH(B3,PT_DIFFERENTIATION_TER_ID,0))</f>
      </c>
      <c r="T3" s="592" t="s">
        <v>402</v>
      </c>
      <c r="U3" s="584"/>
      <c r="V3" s="2526"/>
      <c r="W3" s="2527"/>
      <c r="X3" s="2527"/>
      <c r="Y3" s="2527"/>
      <c r="Z3" s="2527"/>
      <c r="AA3" s="2527"/>
      <c r="AB3" s="2527"/>
      <c r="AC3" s="2528"/>
      <c r="AD3" s="2526">
        <f>INDEX(PT_DIFFERENTIATION_TER,MATCH(B3,PT_DIFFERENTIATION_TER_ID,0))</f>
      </c>
      <c r="AE3" s="2527"/>
      <c r="AF3" s="2527"/>
      <c r="AG3" s="2527"/>
      <c r="AH3" s="2527"/>
      <c r="AI3" s="2527"/>
      <c r="AJ3" s="2527"/>
      <c r="AK3" s="2527"/>
      <c r="AL3" s="2528"/>
      <c r="AM3" s="1542" t="s">
        <v>403</v>
      </c>
      <c r="AO3" s="784"/>
      <c r="AP3" s="784" t="str">
        <f>IF(T3="","",T3)</f>
        <v>Территория действия тарифа</v>
      </c>
      <c r="AQ3" s="784"/>
      <c r="AR3" s="784"/>
      <c r="AS3" s="1439">
        <v>0</v>
      </c>
    </row>
    <row customHeight="1" ht="23.25" hidden="1">
      <c r="A4" s="1647"/>
      <c r="B4" s="1647"/>
      <c r="C4" s="1647"/>
      <c r="D4" s="1647"/>
      <c r="E4" s="2543"/>
      <c r="F4" s="2543"/>
      <c r="G4" s="2542">
        <v>1</v>
      </c>
      <c r="H4" s="1647"/>
      <c r="I4" s="1647"/>
      <c r="J4" s="1647"/>
      <c r="K4" s="1647"/>
      <c r="L4" s="1648"/>
      <c r="M4" s="1649"/>
      <c r="N4" s="1649"/>
      <c r="O4" s="1649"/>
      <c r="P4" s="638"/>
      <c r="Q4" s="636"/>
      <c r="R4" s="637"/>
      <c r="S4" s="1620">
        <f>INDEX(PT_DIFFERENTIATION_NUM_CS,MATCH(C4,PT_DIFFERENTIATION_CS_ID,0))</f>
      </c>
      <c r="T4" s="593" t="s">
        <v>404</v>
      </c>
      <c r="U4" s="584"/>
      <c r="V4" s="2526"/>
      <c r="W4" s="2527"/>
      <c r="X4" s="2527"/>
      <c r="Y4" s="2527"/>
      <c r="Z4" s="2527"/>
      <c r="AA4" s="2527"/>
      <c r="AB4" s="2527"/>
      <c r="AC4" s="2528"/>
      <c r="AD4" s="2526">
        <f>INDEX(PT_DIFFERENTIATION_CS,MATCH(C4,PT_DIFFERENTIATION_CS_ID,0))</f>
      </c>
      <c r="AE4" s="2527"/>
      <c r="AF4" s="2527"/>
      <c r="AG4" s="2527"/>
      <c r="AH4" s="2527"/>
      <c r="AI4" s="2527"/>
      <c r="AJ4" s="2527"/>
      <c r="AK4" s="2527"/>
      <c r="AL4" s="2528"/>
      <c r="AM4" s="1542" t="s">
        <v>405</v>
      </c>
      <c r="AO4" s="784"/>
      <c r="AP4" s="784" t="str">
        <f>IF(T4="","",T4)</f>
        <v>Наименование системы теплоснабжения </v>
      </c>
      <c r="AQ4" s="784"/>
      <c r="AR4" s="784"/>
      <c r="AS4" s="1439">
        <v>0</v>
      </c>
    </row>
    <row customHeight="1" ht="21" hidden="1">
      <c r="A5" s="1647"/>
      <c r="B5" s="1647"/>
      <c r="C5" s="1647"/>
      <c r="D5" s="1647"/>
      <c r="E5" s="2543"/>
      <c r="F5" s="2543"/>
      <c r="G5" s="2543"/>
      <c r="H5" s="2542">
        <v>1</v>
      </c>
      <c r="I5" s="1647"/>
      <c r="J5" s="1647"/>
      <c r="K5" s="1647"/>
      <c r="L5" s="1648"/>
      <c r="M5" s="1649"/>
      <c r="N5" s="1649"/>
      <c r="O5" s="1649"/>
      <c r="P5" s="638"/>
      <c r="Q5" s="636"/>
      <c r="R5" s="637"/>
      <c r="S5" s="1620">
        <f>INDEX(PT_DIFFERENTIATION_NUM_IST_TE,MATCH(D5,PT_DIFFERENTIATION_IST_TE_ID,0))</f>
      </c>
      <c r="T5" s="594" t="s">
        <v>406</v>
      </c>
      <c r="U5" s="584"/>
      <c r="V5" s="2526"/>
      <c r="W5" s="2527"/>
      <c r="X5" s="2527"/>
      <c r="Y5" s="2527"/>
      <c r="Z5" s="2527"/>
      <c r="AA5" s="2527"/>
      <c r="AB5" s="2527"/>
      <c r="AC5" s="2528"/>
      <c r="AD5" s="2526">
        <f>INDEX(PT_DIFFERENTIATION_IST_TE,MATCH(D5,PT_DIFFERENTIATION_IST_TE_ID,0))</f>
      </c>
      <c r="AE5" s="2527"/>
      <c r="AF5" s="2527"/>
      <c r="AG5" s="2527"/>
      <c r="AH5" s="2527"/>
      <c r="AI5" s="2527"/>
      <c r="AJ5" s="2527"/>
      <c r="AK5" s="2527"/>
      <c r="AL5" s="2528"/>
      <c r="AM5" s="1542" t="s">
        <v>407</v>
      </c>
      <c r="AO5" s="784"/>
      <c r="AP5" s="784" t="str">
        <f>IF(T5="","",T5)</f>
        <v>Источник тепловой энергии  </v>
      </c>
      <c r="AQ5" s="784"/>
      <c r="AR5" s="784"/>
      <c r="AS5" s="1439">
        <v>0</v>
      </c>
    </row>
    <row customHeight="1" ht="14.25" hidden="1">
      <c r="A6" s="1647"/>
      <c r="B6" s="1647"/>
      <c r="C6" s="1647"/>
      <c r="D6" s="1647"/>
      <c r="E6" s="2543"/>
      <c r="F6" s="2543"/>
      <c r="G6" s="2543"/>
      <c r="H6" s="2543"/>
      <c r="I6" s="2540">
        <f>S5&amp;".1"</f>
      </c>
      <c r="J6" s="1647"/>
      <c r="K6" s="1647"/>
      <c r="L6" s="1648" t="s">
        <v>408</v>
      </c>
      <c r="M6" s="821"/>
      <c r="P6" s="2541">
        <v>1</v>
      </c>
      <c r="Q6" s="1615"/>
      <c r="R6" s="640"/>
      <c r="S6" s="1326"/>
      <c r="T6" s="1667"/>
      <c r="U6" s="1668"/>
      <c r="V6" s="2580"/>
      <c r="W6" s="2581"/>
      <c r="X6" s="2581"/>
      <c r="Y6" s="2581"/>
      <c r="Z6" s="2581"/>
      <c r="AA6" s="2581"/>
      <c r="AB6" s="2581"/>
      <c r="AC6" s="2582"/>
      <c r="AD6" s="2580"/>
      <c r="AE6" s="2581"/>
      <c r="AF6" s="2581"/>
      <c r="AG6" s="2581"/>
      <c r="AH6" s="2581"/>
      <c r="AI6" s="2581"/>
      <c r="AJ6" s="2581"/>
      <c r="AK6" s="2581"/>
      <c r="AL6" s="2582"/>
      <c r="AM6" s="1669"/>
      <c r="AO6" s="784"/>
      <c r="AP6" s="784" t="str">
        <f>IF(T6="","",T6)</f>
        <v/>
      </c>
      <c r="AQ6" s="784"/>
      <c r="AR6" s="784"/>
      <c r="AS6" s="1439">
        <v>0</v>
      </c>
    </row>
    <row customHeight="1" ht="21" hidden="1">
      <c r="A7" s="1647"/>
      <c r="B7" s="1647"/>
      <c r="C7" s="1647"/>
      <c r="D7" s="1647"/>
      <c r="E7" s="2543"/>
      <c r="F7" s="2543"/>
      <c r="G7" s="2543"/>
      <c r="H7" s="2543"/>
      <c r="I7" s="2570"/>
      <c r="J7" s="2540">
        <f>I6&amp;".1"</f>
      </c>
      <c r="K7" s="1647"/>
      <c r="L7" s="1648" t="s">
        <v>411</v>
      </c>
      <c r="M7" s="821"/>
      <c r="N7" s="1650"/>
      <c r="P7" s="2541"/>
      <c r="Q7" s="2541">
        <v>1</v>
      </c>
      <c r="R7" s="641"/>
      <c r="S7" s="1620">
        <f>$J7</f>
      </c>
      <c r="T7" s="570" t="s">
        <v>412</v>
      </c>
      <c r="U7" s="584"/>
      <c r="V7" s="2529"/>
      <c r="W7" s="2530"/>
      <c r="X7" s="2530"/>
      <c r="Y7" s="2530"/>
      <c r="Z7" s="2530"/>
      <c r="AA7" s="2530"/>
      <c r="AB7" s="2530"/>
      <c r="AC7" s="2531"/>
      <c r="AD7" s="2529"/>
      <c r="AE7" s="2530"/>
      <c r="AF7" s="2530"/>
      <c r="AG7" s="2530"/>
      <c r="AH7" s="2530"/>
      <c r="AI7" s="2530"/>
      <c r="AJ7" s="2530"/>
      <c r="AK7" s="2530"/>
      <c r="AL7" s="2531"/>
      <c r="AM7" s="1542" t="s">
        <v>413</v>
      </c>
      <c r="AO7" s="784"/>
      <c r="AP7" s="784" t="str">
        <f>IF(T7="","",T7)</f>
        <v>Группа потребителей</v>
      </c>
      <c r="AQ7" s="784"/>
      <c r="AR7" s="784"/>
      <c r="AS7" s="1439">
        <v>0</v>
      </c>
    </row>
    <row customHeight="1" ht="21" hidden="1">
      <c r="A8" s="1647"/>
      <c r="B8" s="1647"/>
      <c r="C8" s="1647"/>
      <c r="D8" s="1647"/>
      <c r="E8" s="2543"/>
      <c r="F8" s="2543"/>
      <c r="G8" s="2543"/>
      <c r="H8" s="2543"/>
      <c r="I8" s="2570"/>
      <c r="J8" s="2570"/>
      <c r="K8" s="2540">
        <f>J7&amp;".1"</f>
      </c>
      <c r="L8" s="1648" t="s">
        <v>414</v>
      </c>
      <c r="M8" s="821"/>
      <c r="N8" s="1650"/>
      <c r="O8" s="1650"/>
      <c r="P8" s="2541"/>
      <c r="Q8" s="2541"/>
      <c r="R8" s="641">
        <v>1</v>
      </c>
      <c r="S8" s="1620">
        <f>$K8</f>
      </c>
      <c r="T8" s="1631"/>
      <c r="U8" s="584"/>
      <c r="V8" s="1035"/>
      <c r="W8" s="609"/>
      <c r="X8" s="1035"/>
      <c r="Y8" s="1541"/>
      <c r="Z8" s="2549"/>
      <c r="AA8" s="2391" t="s">
        <v>67</v>
      </c>
      <c r="AB8" s="2549"/>
      <c r="AC8" s="2391" t="s">
        <v>67</v>
      </c>
      <c r="AD8" s="1035"/>
      <c r="AE8" s="609"/>
      <c r="AF8" s="1035"/>
      <c r="AG8" s="1541"/>
      <c r="AH8" s="2549"/>
      <c r="AI8" s="2391" t="s">
        <v>67</v>
      </c>
      <c r="AJ8" s="2549"/>
      <c r="AK8" s="2391" t="s">
        <v>67</v>
      </c>
      <c r="AL8" s="609"/>
      <c r="AM8" s="2537" t="s">
        <v>415</v>
      </c>
      <c r="AN8" s="795">
        <f>STRCHECKDATE(V9:AL9)</f>
      </c>
      <c r="AO8" s="784"/>
      <c r="AP8" s="784" t="str">
        <f>IF(T8="","",T8)</f>
        <v/>
      </c>
      <c r="AQ8" s="784"/>
      <c r="AR8" s="784"/>
      <c r="AS8" s="1439">
        <v>0</v>
      </c>
    </row>
    <row customHeight="1" ht="14.25" hidden="1">
      <c r="A9" s="1647"/>
      <c r="B9" s="1647"/>
      <c r="C9" s="1647"/>
      <c r="D9" s="1647"/>
      <c r="E9" s="2543"/>
      <c r="F9" s="2543"/>
      <c r="G9" s="2543"/>
      <c r="H9" s="2543"/>
      <c r="I9" s="2570"/>
      <c r="J9" s="2570"/>
      <c r="K9" s="2540"/>
      <c r="L9" s="1648"/>
      <c r="M9" s="821"/>
      <c r="N9" s="1650"/>
      <c r="O9" s="1650"/>
      <c r="P9" s="2541"/>
      <c r="Q9" s="2541"/>
      <c r="R9" s="641"/>
      <c r="S9" s="1626"/>
      <c r="T9" s="584"/>
      <c r="U9" s="584"/>
      <c r="V9" s="609"/>
      <c r="W9" s="609"/>
      <c r="X9" s="609"/>
      <c r="Y9" s="612" t="str">
        <f>Z8&amp;"-"&amp;AB8</f>
        <v>-</v>
      </c>
      <c r="Z9" s="2550"/>
      <c r="AA9" s="2391"/>
      <c r="AB9" s="2550"/>
      <c r="AC9" s="2391"/>
      <c r="AD9" s="609"/>
      <c r="AE9" s="609"/>
      <c r="AF9" s="609"/>
      <c r="AG9" s="612" t="str">
        <f>AH8&amp;"-"&amp;AJ8</f>
        <v>-</v>
      </c>
      <c r="AH9" s="2550"/>
      <c r="AI9" s="2391"/>
      <c r="AJ9" s="2550"/>
      <c r="AK9" s="2391"/>
      <c r="AL9" s="609"/>
      <c r="AM9" s="2538"/>
      <c r="AO9" s="784"/>
      <c r="AP9" s="784" t="str">
        <f>IF(T9="","",T9)</f>
        <v/>
      </c>
      <c r="AQ9" s="784"/>
      <c r="AR9" s="784"/>
      <c r="AS9" s="1439">
        <v>0</v>
      </c>
    </row>
    <row customHeight="1" ht="15" hidden="1">
      <c r="A10" s="1647"/>
      <c r="B10" s="1647"/>
      <c r="C10" s="1647"/>
      <c r="D10" s="1647"/>
      <c r="E10" s="2543"/>
      <c r="F10" s="2543"/>
      <c r="G10" s="2543"/>
      <c r="H10" s="2543"/>
      <c r="I10" s="2570"/>
      <c r="J10" s="2540"/>
      <c r="K10" s="1647"/>
      <c r="L10" s="1648"/>
      <c r="M10" s="821"/>
      <c r="N10" s="1650"/>
      <c r="P10" s="2541"/>
      <c r="Q10" s="2541"/>
      <c r="R10" s="640"/>
      <c r="S10" s="1562"/>
      <c r="T10" s="571" t="s">
        <v>416</v>
      </c>
      <c r="U10" s="651"/>
      <c r="V10" s="651"/>
      <c r="W10" s="651"/>
      <c r="X10" s="651"/>
      <c r="Y10" s="651"/>
      <c r="Z10" s="651"/>
      <c r="AA10" s="651"/>
      <c r="AB10" s="651"/>
      <c r="AC10" s="651"/>
      <c r="AD10" s="651"/>
      <c r="AE10" s="651"/>
      <c r="AF10" s="651"/>
      <c r="AG10" s="651"/>
      <c r="AH10" s="651"/>
      <c r="AI10" s="651"/>
      <c r="AJ10" s="651"/>
      <c r="AK10" s="651"/>
      <c r="AL10" s="608"/>
      <c r="AM10" s="2539"/>
      <c r="AO10" s="784"/>
      <c r="AP10" s="784" t="str">
        <f>IF(T10="","",T10)</f>
        <v>Добавить вид теплоносителя (параметры теплоносителя)</v>
      </c>
      <c r="AQ10" s="784"/>
      <c r="AR10" s="784"/>
      <c r="AS10" s="1439">
        <v>0</v>
      </c>
    </row>
    <row customHeight="1" ht="11.25" hidden="1">
      <c r="A11" s="1647"/>
      <c r="B11" s="1647"/>
      <c r="C11" s="1647"/>
      <c r="D11" s="1647"/>
      <c r="E11" s="2543"/>
      <c r="F11" s="2543"/>
      <c r="G11" s="2543"/>
      <c r="H11" s="2543"/>
      <c r="I11" s="2540"/>
      <c r="J11" s="1647"/>
      <c r="K11" s="1647"/>
      <c r="L11" s="1648"/>
      <c r="M11" s="821"/>
      <c r="P11" s="2541"/>
      <c r="Q11" s="1615"/>
      <c r="R11" s="640"/>
      <c r="S11" s="1562"/>
      <c r="T11" s="649" t="s">
        <v>417</v>
      </c>
      <c r="U11" s="651"/>
      <c r="V11" s="651"/>
      <c r="W11" s="651"/>
      <c r="X11" s="651"/>
      <c r="Y11" s="651"/>
      <c r="Z11" s="651"/>
      <c r="AA11" s="651"/>
      <c r="AB11" s="651"/>
      <c r="AC11" s="650"/>
      <c r="AD11" s="651"/>
      <c r="AE11" s="651"/>
      <c r="AF11" s="651"/>
      <c r="AG11" s="651"/>
      <c r="AH11" s="651"/>
      <c r="AI11" s="651"/>
      <c r="AJ11" s="651"/>
      <c r="AK11" s="650"/>
      <c r="AL11" s="651"/>
      <c r="AM11" s="587"/>
      <c r="AO11" s="784"/>
      <c r="AP11" s="784" t="str">
        <f>IF(T11="","",T11)</f>
        <v>Добавить группу потребителей</v>
      </c>
      <c r="AQ11" s="784"/>
      <c r="AR11" s="784"/>
      <c r="AS11" s="1439">
        <v>0</v>
      </c>
    </row>
    <row customHeight="1" ht="14.25" hidden="1">
      <c r="A12" s="1647"/>
      <c r="B12" s="1647"/>
      <c r="C12" s="1647"/>
      <c r="D12" s="1647"/>
      <c r="E12" s="2543"/>
      <c r="F12" s="2543"/>
      <c r="G12" s="2543"/>
      <c r="H12" s="2542"/>
      <c r="I12" s="1647"/>
      <c r="J12" s="1647"/>
      <c r="K12" s="1647"/>
      <c r="L12" s="1648"/>
      <c r="M12" s="1649"/>
      <c r="N12" s="1649"/>
      <c r="O12" s="821"/>
      <c r="P12" s="644"/>
      <c r="Q12" s="659"/>
      <c r="R12" s="639"/>
      <c r="S12" s="1670"/>
      <c r="T12" s="1671"/>
      <c r="U12" s="1672"/>
      <c r="V12" s="1672"/>
      <c r="W12" s="1672"/>
      <c r="X12" s="1672"/>
      <c r="Y12" s="1672"/>
      <c r="Z12" s="1672"/>
      <c r="AA12" s="1672"/>
      <c r="AB12" s="1672"/>
      <c r="AC12" s="1672"/>
      <c r="AD12" s="1672"/>
      <c r="AE12" s="1672"/>
      <c r="AF12" s="1672"/>
      <c r="AG12" s="1672"/>
      <c r="AH12" s="1672"/>
      <c r="AI12" s="1672"/>
      <c r="AJ12" s="1672"/>
      <c r="AK12" s="1672"/>
      <c r="AL12" s="1672"/>
      <c r="AM12" s="1673"/>
      <c r="AO12" s="784"/>
      <c r="AP12" s="784" t="str">
        <f>IF(T12="","",T12)</f>
        <v/>
      </c>
      <c r="AQ12" s="784"/>
      <c r="AR12" s="784"/>
      <c r="AS12" s="1439">
        <v>0</v>
      </c>
    </row>
    <row s="14158" customFormat="1" customHeight="1" ht="14.25" hidden="1">
      <c r="A13" s="1598"/>
      <c r="B13" s="1598"/>
      <c r="C13" s="1598"/>
      <c r="D13" s="1598"/>
      <c r="E13" s="2543"/>
      <c r="F13" s="2543"/>
      <c r="G13" s="2542"/>
      <c r="H13" s="1598"/>
      <c r="I13" s="1598"/>
      <c r="J13" s="1598"/>
      <c r="K13" s="1598"/>
      <c r="L13" s="1623"/>
      <c r="M13" s="1599"/>
      <c r="N13" s="1599"/>
      <c r="P13" s="1600"/>
      <c r="Q13" s="1601"/>
      <c r="R13" s="1600"/>
      <c r="S13" s="1602"/>
      <c r="T13" s="1603" t="s">
        <v>169</v>
      </c>
      <c r="U13" s="1604"/>
      <c r="V13" s="1604"/>
      <c r="W13" s="1604"/>
      <c r="X13" s="1604"/>
      <c r="Y13" s="1604"/>
      <c r="Z13" s="1604"/>
      <c r="AA13" s="1604"/>
      <c r="AB13" s="1604"/>
      <c r="AC13" s="1604"/>
      <c r="AD13" s="1604"/>
      <c r="AE13" s="1604"/>
      <c r="AF13" s="1604"/>
      <c r="AG13" s="1604"/>
      <c r="AH13" s="1604"/>
      <c r="AI13" s="1604"/>
      <c r="AJ13" s="1604"/>
      <c r="AK13" s="1604"/>
      <c r="AL13" s="1604"/>
      <c r="AM13" s="1604"/>
      <c r="AO13" s="1073"/>
      <c r="AP13" s="1073" t="str">
        <f>IF(T13="","",T13)</f>
        <v>Добавить источник для дифференциации</v>
      </c>
      <c r="AQ13" s="1073"/>
      <c r="AR13" s="1073"/>
      <c r="AS13" s="802">
        <v>0</v>
      </c>
    </row>
    <row s="14158" customFormat="1" customHeight="1" ht="14.25" hidden="1">
      <c r="A14" s="1598"/>
      <c r="B14" s="1598"/>
      <c r="C14" s="1598"/>
      <c r="D14" s="1598"/>
      <c r="E14" s="2543"/>
      <c r="F14" s="2542"/>
      <c r="G14" s="1598"/>
      <c r="H14" s="1598"/>
      <c r="I14" s="1598"/>
      <c r="J14" s="1598"/>
      <c r="K14" s="1598"/>
      <c r="L14" s="1623"/>
      <c r="M14" s="1605"/>
      <c r="N14" s="1605"/>
      <c r="P14" s="1600"/>
      <c r="Q14" s="1601"/>
      <c r="R14" s="1600"/>
      <c r="S14" s="1606"/>
      <c r="T14" s="1607" t="s">
        <v>170</v>
      </c>
      <c r="U14" s="1608"/>
      <c r="V14" s="1608"/>
      <c r="W14" s="1608"/>
      <c r="X14" s="1608"/>
      <c r="Y14" s="1608"/>
      <c r="Z14" s="1608"/>
      <c r="AA14" s="1608"/>
      <c r="AB14" s="1608"/>
      <c r="AC14" s="1608"/>
      <c r="AD14" s="1608"/>
      <c r="AE14" s="1608"/>
      <c r="AF14" s="1608"/>
      <c r="AG14" s="1608"/>
      <c r="AH14" s="1608"/>
      <c r="AI14" s="1608"/>
      <c r="AJ14" s="1608"/>
      <c r="AK14" s="1608"/>
      <c r="AL14" s="1608"/>
      <c r="AM14" s="1608"/>
      <c r="AO14" s="1073"/>
      <c r="AP14" s="1073" t="str">
        <f>IF(T14="","",T14)</f>
        <v>Добавить централизованную систему для дифференциации</v>
      </c>
      <c r="AQ14" s="1073"/>
      <c r="AR14" s="1073"/>
      <c r="AS14" s="802">
        <v>0</v>
      </c>
    </row>
    <row s="14158" customFormat="1" customHeight="1" ht="14.25" hidden="1">
      <c r="A15" s="1598"/>
      <c r="B15" s="1598"/>
      <c r="C15" s="1598"/>
      <c r="D15" s="1598"/>
      <c r="E15" s="2542"/>
      <c r="F15" s="1598"/>
      <c r="G15" s="1598"/>
      <c r="H15" s="1598"/>
      <c r="I15" s="1598"/>
      <c r="J15" s="1598"/>
      <c r="K15" s="1598"/>
      <c r="L15" s="1623"/>
      <c r="M15" s="1605"/>
      <c r="N15" s="1605"/>
      <c r="P15" s="1600"/>
      <c r="Q15" s="1601"/>
      <c r="R15" s="1600"/>
      <c r="S15" s="1606"/>
      <c r="T15" s="1609" t="s">
        <v>171</v>
      </c>
      <c r="U15" s="1608"/>
      <c r="V15" s="1608"/>
      <c r="W15" s="1608"/>
      <c r="X15" s="1608"/>
      <c r="Y15" s="1608"/>
      <c r="Z15" s="1608"/>
      <c r="AA15" s="1608"/>
      <c r="AB15" s="1608"/>
      <c r="AC15" s="1608"/>
      <c r="AD15" s="1608"/>
      <c r="AE15" s="1608"/>
      <c r="AF15" s="1608"/>
      <c r="AG15" s="1608"/>
      <c r="AH15" s="1608"/>
      <c r="AI15" s="1608"/>
      <c r="AJ15" s="1608"/>
      <c r="AK15" s="1608"/>
      <c r="AL15" s="1608"/>
      <c r="AM15" s="1608"/>
      <c r="AO15" s="1073"/>
      <c r="AP15" s="1073" t="str">
        <f>IF(T15="","",T15)</f>
        <v>Добавить территорию для дифференциации</v>
      </c>
      <c r="AQ15" s="1073"/>
      <c r="AR15" s="1073"/>
      <c r="AS15" s="802">
        <v>0</v>
      </c>
    </row>
    <row customHeight="1" ht="14.25" hidden="1">
      <c r="AC16" s="611"/>
      <c r="AK16" s="611"/>
      <c r="AS16" s="1439">
        <v>0</v>
      </c>
    </row>
    <row customHeight="1" ht="14.25" hidden="1">
      <c r="AD17" s="1644"/>
      <c r="AE17" s="1644"/>
      <c r="AF17" s="1644"/>
      <c r="AG17" s="1645"/>
      <c r="AH17" s="2551"/>
      <c r="AI17" s="2552" t="s">
        <v>67</v>
      </c>
      <c r="AJ17" s="2551"/>
      <c r="AK17" s="2552" t="s">
        <v>67</v>
      </c>
      <c r="AS17" s="1439">
        <v>0</v>
      </c>
    </row>
    <row customHeight="1" ht="14.25" hidden="1">
      <c r="AD18" s="1644"/>
      <c r="AE18" s="1644"/>
      <c r="AF18" s="1644"/>
      <c r="AG18" s="612" t="str">
        <f>AH17&amp;"-"&amp;AJ17</f>
        <v>-</v>
      </c>
      <c r="AH18" s="2552"/>
      <c r="AI18" s="2552"/>
      <c r="AJ18" s="2552"/>
      <c r="AK18" s="2552"/>
      <c r="AS18" s="1439">
        <v>0</v>
      </c>
    </row>
    <row customHeight="1" ht="14.25" hidden="1">
      <c r="AK19" s="611"/>
      <c r="AS19" s="1439">
        <v>0</v>
      </c>
    </row>
    <row s="14157" customFormat="1" customHeight="1" ht="22.5" hidden="1">
      <c r="L20" s="1613"/>
      <c r="M20" s="1646"/>
      <c r="N20" s="1646"/>
      <c r="O20" s="1651" t="s">
        <v>419</v>
      </c>
      <c r="P20" s="1646"/>
      <c r="Q20" s="1655"/>
      <c r="R20" s="1655"/>
      <c r="S20" s="1013"/>
      <c r="Z20" s="1651"/>
      <c r="AB20" s="1651"/>
      <c r="AC20" s="1650"/>
      <c r="AH20" s="1651"/>
      <c r="AJ20" s="1651"/>
      <c r="AK20" s="1650"/>
      <c r="AN20" s="795"/>
      <c r="AO20" s="795"/>
      <c r="AP20" s="795"/>
      <c r="AQ20" s="795"/>
      <c r="AR20" s="795"/>
      <c r="AS20" s="1444">
        <v>0</v>
      </c>
    </row>
    <row s="14157" customFormat="1" customHeight="1" ht="14.25" hidden="1">
      <c r="L21" s="1613"/>
      <c r="M21" s="1646"/>
      <c r="N21" s="1646"/>
      <c r="O21" s="1646"/>
      <c r="P21" s="1646"/>
      <c r="Q21" s="1655"/>
      <c r="R21" s="1655"/>
      <c r="S21" s="1013"/>
      <c r="AC21" s="1650"/>
      <c r="AK21" s="1650"/>
      <c r="AN21" s="795"/>
      <c r="AO21" s="795"/>
      <c r="AP21" s="795"/>
      <c r="AQ21" s="795"/>
      <c r="AR21" s="795"/>
      <c r="AS21" s="1444">
        <v>0</v>
      </c>
    </row>
    <row s="14157" customFormat="1" customHeight="1" ht="14.25" hidden="1">
      <c r="L22" s="1613"/>
      <c r="M22" s="1646"/>
      <c r="N22" s="1646"/>
      <c r="O22" s="1648" t="s">
        <v>420</v>
      </c>
      <c r="P22" s="1646"/>
      <c r="Q22" s="1655"/>
      <c r="R22" s="1655"/>
      <c r="S22" s="1013"/>
      <c r="T22" s="1444" t="s">
        <v>421</v>
      </c>
      <c r="AA22" s="470" t="s">
        <v>422</v>
      </c>
      <c r="AC22" s="470" t="s">
        <v>423</v>
      </c>
      <c r="AD22" s="1444" t="s">
        <v>421</v>
      </c>
      <c r="AI22" s="470" t="s">
        <v>424</v>
      </c>
      <c r="AK22" s="470" t="s">
        <v>423</v>
      </c>
      <c r="AN22" s="795"/>
      <c r="AO22" s="795"/>
      <c r="AP22" s="795"/>
      <c r="AQ22" s="795"/>
      <c r="AR22" s="795"/>
      <c r="AS22" s="1444">
        <v>0</v>
      </c>
    </row>
    <row customHeight="1" ht="14.25" hidden="1">
      <c r="O23" s="1648"/>
      <c r="AS23" s="1439">
        <v>0</v>
      </c>
    </row>
    <row customHeight="1" ht="14.25" hidden="1">
      <c r="O24" s="1648"/>
      <c r="AS24" s="1439">
        <v>0</v>
      </c>
    </row>
    <row customHeight="1" ht="14.699999999999998">
      <c r="Q25" s="660"/>
      <c r="R25" s="660"/>
      <c r="S25" s="1559"/>
      <c r="T25" s="647"/>
      <c r="U25" s="647"/>
      <c r="V25" s="793"/>
      <c r="W25" s="793"/>
      <c r="X25" s="793"/>
      <c r="Y25" s="793"/>
      <c r="Z25" s="793"/>
      <c r="AA25" s="793"/>
      <c r="AB25" s="793"/>
      <c r="AC25" s="793"/>
      <c r="AD25" s="793"/>
      <c r="AE25" s="793"/>
      <c r="AF25" s="793"/>
      <c r="AG25" s="793"/>
      <c r="AH25" s="793"/>
      <c r="AI25" s="793"/>
      <c r="AJ25" s="793"/>
      <c r="AK25" s="793"/>
      <c r="AS25" s="1439">
        <v>14</v>
      </c>
    </row>
    <row customHeight="1" ht="53.54999999999999">
      <c r="Q26" s="660"/>
      <c r="R26" s="660"/>
      <c r="S26" s="2532"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532"/>
      <c r="U26" s="2532"/>
      <c r="V26" s="2532"/>
      <c r="W26" s="2532"/>
      <c r="X26" s="2532"/>
      <c r="Y26" s="2532"/>
      <c r="Z26" s="2532"/>
      <c r="AA26" s="2532"/>
      <c r="AB26" s="2532"/>
      <c r="AC26" s="2532"/>
      <c r="AD26" s="2532"/>
      <c r="AE26" s="2532"/>
      <c r="AF26" s="2532"/>
      <c r="AG26" s="2532"/>
      <c r="AH26" s="2532"/>
      <c r="AI26" s="2532"/>
      <c r="AJ26" s="2532"/>
      <c r="AK26" s="1527"/>
      <c r="AS26" s="1439">
        <v>51</v>
      </c>
    </row>
    <row customHeight="1" ht="14.699999999999998">
      <c r="Q27" s="660"/>
      <c r="R27" s="660"/>
      <c r="S27" s="2533" t="str">
        <f>IF(org=0,"Не определено",org)</f>
        <v>МУП г. Азова "Теплоэнерго"</v>
      </c>
      <c r="T27" s="2533"/>
      <c r="U27" s="2533"/>
      <c r="V27" s="2533"/>
      <c r="W27" s="2533"/>
      <c r="X27" s="2533"/>
      <c r="Y27" s="2533"/>
      <c r="Z27" s="2533"/>
      <c r="AA27" s="2533"/>
      <c r="AB27" s="2533"/>
      <c r="AC27" s="2533"/>
      <c r="AD27" s="2533"/>
      <c r="AE27" s="2533"/>
      <c r="AF27" s="2533"/>
      <c r="AG27" s="2533"/>
      <c r="AH27" s="2533"/>
      <c r="AI27" s="2533"/>
      <c r="AJ27" s="2533"/>
      <c r="AK27" s="1527"/>
      <c r="AS27" s="1439">
        <v>14</v>
      </c>
    </row>
    <row customHeight="1" ht="14.25" hidden="1">
      <c r="Q28" s="660"/>
      <c r="R28" s="660"/>
      <c r="S28" s="1559"/>
      <c r="T28" s="647"/>
      <c r="U28" s="647"/>
      <c r="V28" s="606"/>
      <c r="W28" s="606"/>
      <c r="X28" s="606"/>
      <c r="Y28" s="606"/>
      <c r="Z28" s="606"/>
      <c r="AA28" s="606"/>
      <c r="AB28" s="606"/>
      <c r="AC28" s="606"/>
      <c r="AD28" s="606"/>
      <c r="AE28" s="606"/>
      <c r="AF28" s="606"/>
      <c r="AG28" s="606"/>
      <c r="AH28" s="606"/>
      <c r="AI28" s="606"/>
      <c r="AJ28" s="606"/>
      <c r="AK28" s="606"/>
      <c r="AL28" s="793"/>
      <c r="AS28" s="1439">
        <v>0</v>
      </c>
    </row>
    <row s="14284" customFormat="1" customHeight="1" ht="25.5" hidden="1">
      <c r="A29" s="1652"/>
      <c r="B29" s="1652"/>
      <c r="C29" s="1652"/>
      <c r="D29" s="1652"/>
      <c r="E29" s="1652"/>
      <c r="F29" s="1652"/>
      <c r="G29" s="1652"/>
      <c r="H29" s="1652"/>
      <c r="I29" s="1652"/>
      <c r="J29" s="1652"/>
      <c r="K29" s="1652"/>
      <c r="L29" s="1653"/>
      <c r="M29" s="1652"/>
      <c r="N29" s="1652"/>
      <c r="O29" s="1652"/>
      <c r="S29" s="2534" t="s">
        <v>42</v>
      </c>
      <c r="T29" s="2534"/>
      <c r="U29" s="1656"/>
      <c r="V29" s="2535" t="str">
        <f>IF(TITLE_NAME_OR_PR_CHANGE="",IF(TITLE_NAME_OR_PR="","",TITLE_NAME_OR_PR),TITLE_NAME_OR_PR_CHANGE)</f>
        <v/>
      </c>
      <c r="W29" s="2535"/>
      <c r="X29" s="2535"/>
      <c r="Y29" s="2535"/>
      <c r="Z29" s="2535"/>
      <c r="AA29" s="2535"/>
      <c r="AB29" s="2535"/>
      <c r="AC29" s="610"/>
      <c r="AD29" s="2535" t="str">
        <f>IF(TITLE_NAME_OR_PR_CHANGE="",IF(TITLE_NAME_OR_PR="","",TITLE_NAME_OR_PR),TITLE_NAME_OR_PR_CHANGE)</f>
        <v/>
      </c>
      <c r="AE29" s="2535"/>
      <c r="AF29" s="2535"/>
      <c r="AG29" s="2535"/>
      <c r="AH29" s="2535"/>
      <c r="AI29" s="2535"/>
      <c r="AJ29" s="2535"/>
      <c r="AK29" s="610"/>
      <c r="AL29" s="610"/>
      <c r="AM29" s="564"/>
      <c r="AN29" s="652"/>
      <c r="AO29" s="652"/>
      <c r="AP29" s="652"/>
      <c r="AQ29" s="652"/>
      <c r="AR29" s="652"/>
      <c r="AS29" s="702">
        <v>0</v>
      </c>
    </row>
    <row s="14284" customFormat="1" customHeight="1" ht="18.75" hidden="1">
      <c r="A30" s="1652"/>
      <c r="B30" s="1652"/>
      <c r="C30" s="1652"/>
      <c r="D30" s="1652"/>
      <c r="E30" s="1652"/>
      <c r="F30" s="1652"/>
      <c r="G30" s="1652"/>
      <c r="H30" s="1652"/>
      <c r="I30" s="1652"/>
      <c r="J30" s="1652"/>
      <c r="K30" s="1652"/>
      <c r="L30" s="1653"/>
      <c r="M30" s="1652"/>
      <c r="N30" s="1652"/>
      <c r="O30" s="1652"/>
      <c r="S30" s="2534" t="s">
        <v>425</v>
      </c>
      <c r="T30" s="2534"/>
      <c r="U30" s="1656"/>
      <c r="V30" s="2548" t="str">
        <f>IF(TITLE_DATE_PR_CHANGE="",IF(TITLE_DATE_PR="","",TITLE_DATE_PR),TITLE_DATE_PR_CHANGE)</f>
        <v>45471</v>
      </c>
      <c r="W30" s="2548"/>
      <c r="X30" s="2548"/>
      <c r="Y30" s="2548"/>
      <c r="Z30" s="2548"/>
      <c r="AA30" s="2548"/>
      <c r="AB30" s="2548"/>
      <c r="AC30" s="610"/>
      <c r="AD30" s="2548" t="str">
        <f>IF(TITLE_DATE_PR_CHANGE="",IF(TITLE_DATE_PR="","",TITLE_DATE_PR),TITLE_DATE_PR_CHANGE)</f>
        <v>45471</v>
      </c>
      <c r="AE30" s="2548"/>
      <c r="AF30" s="2548"/>
      <c r="AG30" s="2548"/>
      <c r="AH30" s="2548"/>
      <c r="AI30" s="2548"/>
      <c r="AJ30" s="2548"/>
      <c r="AK30" s="610"/>
      <c r="AL30" s="610"/>
      <c r="AM30" s="564"/>
      <c r="AN30" s="652"/>
      <c r="AO30" s="652"/>
      <c r="AP30" s="652"/>
      <c r="AQ30" s="652"/>
      <c r="AR30" s="652"/>
      <c r="AS30" s="702">
        <v>0</v>
      </c>
    </row>
    <row s="14284" customFormat="1" customHeight="1" ht="18.75" hidden="1">
      <c r="A31" s="1652"/>
      <c r="B31" s="1652"/>
      <c r="C31" s="1652"/>
      <c r="D31" s="1652"/>
      <c r="E31" s="1652"/>
      <c r="F31" s="1652"/>
      <c r="G31" s="1652"/>
      <c r="H31" s="1652"/>
      <c r="I31" s="1652"/>
      <c r="J31" s="1652"/>
      <c r="K31" s="1652"/>
      <c r="L31" s="1653"/>
      <c r="M31" s="1652"/>
      <c r="N31" s="1652"/>
      <c r="O31" s="1652"/>
      <c r="S31" s="2534" t="s">
        <v>426</v>
      </c>
      <c r="T31" s="2534"/>
      <c r="U31" s="1656"/>
      <c r="V31" s="2535" t="str">
        <f>IF(TITLE_NUMBER_PR_CHANGE="",IF(TITLE_NUMBER_PR="","",TITLE_NUMBER_PR),TITLE_NUMBER_PR_CHANGE)</f>
        <v>50/18-01/261</v>
      </c>
      <c r="W31" s="2535"/>
      <c r="X31" s="2535"/>
      <c r="Y31" s="2535"/>
      <c r="Z31" s="2535"/>
      <c r="AA31" s="2535"/>
      <c r="AB31" s="2535"/>
      <c r="AC31" s="610"/>
      <c r="AD31" s="2535" t="str">
        <f>IF(TITLE_NUMBER_PR_CHANGE="",IF(TITLE_NUMBER_PR="","",TITLE_NUMBER_PR),TITLE_NUMBER_PR_CHANGE)</f>
        <v>50/18-01/261</v>
      </c>
      <c r="AE31" s="2535"/>
      <c r="AF31" s="2535"/>
      <c r="AG31" s="2535"/>
      <c r="AH31" s="2535"/>
      <c r="AI31" s="2535"/>
      <c r="AJ31" s="2535"/>
      <c r="AK31" s="610"/>
      <c r="AL31" s="610"/>
      <c r="AM31" s="564"/>
      <c r="AN31" s="652"/>
      <c r="AO31" s="652"/>
      <c r="AP31" s="652"/>
      <c r="AQ31" s="652"/>
      <c r="AR31" s="652"/>
      <c r="AS31" s="702">
        <v>0</v>
      </c>
    </row>
    <row s="14284" customFormat="1" customHeight="1" ht="18.75" hidden="1">
      <c r="A32" s="1652"/>
      <c r="B32" s="1652"/>
      <c r="C32" s="1652"/>
      <c r="D32" s="1652"/>
      <c r="E32" s="1652"/>
      <c r="F32" s="1652"/>
      <c r="G32" s="1652"/>
      <c r="H32" s="1652"/>
      <c r="I32" s="1652"/>
      <c r="J32" s="1652"/>
      <c r="K32" s="1652"/>
      <c r="L32" s="1653"/>
      <c r="M32" s="1652"/>
      <c r="N32" s="1652"/>
      <c r="O32" s="1652"/>
      <c r="S32" s="2534" t="s">
        <v>43</v>
      </c>
      <c r="T32" s="2534"/>
      <c r="U32" s="1656"/>
      <c r="V32" s="2535" t="str">
        <f>IF(TITLE_IST_PUB_CHANGE="",IF(TITLE_IST_PUB="","",TITLE_IST_PUB),TITLE_IST_PUB_CHANGE)</f>
        <v/>
      </c>
      <c r="W32" s="2535"/>
      <c r="X32" s="2535"/>
      <c r="Y32" s="2535"/>
      <c r="Z32" s="2535"/>
      <c r="AA32" s="2535"/>
      <c r="AB32" s="2535"/>
      <c r="AC32" s="610"/>
      <c r="AD32" s="2535" t="str">
        <f>IF(TITLE_IST_PUB_CHANGE="",IF(TITLE_IST_PUB="","",TITLE_IST_PUB),TITLE_IST_PUB_CHANGE)</f>
        <v/>
      </c>
      <c r="AE32" s="2535"/>
      <c r="AF32" s="2535"/>
      <c r="AG32" s="2535"/>
      <c r="AH32" s="2535"/>
      <c r="AI32" s="2535"/>
      <c r="AJ32" s="2535"/>
      <c r="AK32" s="610"/>
      <c r="AL32" s="610"/>
      <c r="AM32" s="564"/>
      <c r="AN32" s="652"/>
      <c r="AO32" s="652"/>
      <c r="AP32" s="652"/>
      <c r="AQ32" s="652"/>
      <c r="AR32" s="652"/>
      <c r="AS32" s="702">
        <v>0</v>
      </c>
    </row>
    <row customHeight="1" ht="14.25">
      <c r="Q33" s="660"/>
      <c r="R33" s="660"/>
      <c r="S33" s="1559"/>
      <c r="T33" s="647"/>
      <c r="U33" s="647"/>
      <c r="V33" s="606"/>
      <c r="W33" s="606"/>
      <c r="X33" s="606"/>
      <c r="Y33" s="606"/>
      <c r="Z33" s="606"/>
      <c r="AA33" s="606"/>
      <c r="AB33" s="606"/>
      <c r="AC33" s="606"/>
      <c r="AD33" s="606"/>
      <c r="AE33" s="606"/>
      <c r="AF33" s="606"/>
      <c r="AG33" s="606"/>
      <c r="AH33" s="606"/>
      <c r="AI33" s="606"/>
      <c r="AJ33" s="606"/>
      <c r="AK33" s="606"/>
      <c r="AL33" s="793"/>
      <c r="AS33" s="1439">
        <v>0</v>
      </c>
    </row>
    <row s="14284" customFormat="1" customHeight="1" ht="18.75">
      <c r="A34" s="1652"/>
      <c r="B34" s="1652"/>
      <c r="C34" s="1652"/>
      <c r="D34" s="1652"/>
      <c r="E34" s="1652"/>
      <c r="F34" s="1652"/>
      <c r="G34" s="1652"/>
      <c r="H34" s="1652"/>
      <c r="I34" s="1652"/>
      <c r="J34" s="1652"/>
      <c r="K34" s="1652"/>
      <c r="L34" s="1653"/>
      <c r="M34" s="1652"/>
      <c r="N34" s="1652"/>
      <c r="O34" s="1652"/>
      <c r="S34" s="2534" t="s">
        <v>427</v>
      </c>
      <c r="T34" s="2534"/>
      <c r="U34" s="1656"/>
      <c r="V34" s="2548" t="str">
        <f>IF(TITLE_DATE_PR_CHANGE="",IF(TITLE_DATE_PR="","",TITLE_DATE_PR),TITLE_DATE_PR_CHANGE)</f>
        <v>45471</v>
      </c>
      <c r="W34" s="2548"/>
      <c r="X34" s="2548"/>
      <c r="Y34" s="2548"/>
      <c r="Z34" s="2548"/>
      <c r="AA34" s="2548"/>
      <c r="AB34" s="2548"/>
      <c r="AC34" s="610"/>
      <c r="AD34" s="2548" t="str">
        <f>IF(TITLE_DATE_PR_CHANGE="",IF(TITLE_DATE_PR="","",TITLE_DATE_PR),TITLE_DATE_PR_CHANGE)</f>
        <v>45471</v>
      </c>
      <c r="AE34" s="2548"/>
      <c r="AF34" s="2548"/>
      <c r="AG34" s="2548"/>
      <c r="AH34" s="2548"/>
      <c r="AI34" s="2548"/>
      <c r="AJ34" s="2548"/>
      <c r="AK34" s="610"/>
      <c r="AL34" s="610"/>
      <c r="AM34" s="564"/>
      <c r="AN34" s="652"/>
      <c r="AO34" s="652"/>
      <c r="AP34" s="652"/>
      <c r="AQ34" s="652"/>
      <c r="AR34" s="652"/>
      <c r="AS34" s="702">
        <v>0</v>
      </c>
    </row>
    <row s="14284" customFormat="1" customHeight="1" ht="25.5">
      <c r="A35" s="1652"/>
      <c r="B35" s="1652"/>
      <c r="C35" s="1652"/>
      <c r="D35" s="1652"/>
      <c r="E35" s="1652"/>
      <c r="F35" s="1652"/>
      <c r="G35" s="1652"/>
      <c r="H35" s="1652"/>
      <c r="I35" s="1652"/>
      <c r="J35" s="1652"/>
      <c r="K35" s="1652"/>
      <c r="L35" s="1653"/>
      <c r="M35" s="1652"/>
      <c r="N35" s="1652"/>
      <c r="O35" s="1652"/>
      <c r="S35" s="2534" t="s">
        <v>428</v>
      </c>
      <c r="T35" s="2534"/>
      <c r="U35" s="1656"/>
      <c r="V35" s="2535" t="str">
        <f>IF(TITLE_NUMBER_PR_CHANGE="",IF(TITLE_NUMBER_PR="","",TITLE_NUMBER_PR),TITLE_NUMBER_PR_CHANGE)</f>
        <v>50/18-01/261</v>
      </c>
      <c r="W35" s="2535"/>
      <c r="X35" s="2535"/>
      <c r="Y35" s="2535"/>
      <c r="Z35" s="2535"/>
      <c r="AA35" s="2535"/>
      <c r="AB35" s="2535"/>
      <c r="AC35" s="610"/>
      <c r="AD35" s="2535" t="str">
        <f>IF(TITLE_NUMBER_PR_CHANGE="",IF(TITLE_NUMBER_PR="","",TITLE_NUMBER_PR),TITLE_NUMBER_PR_CHANGE)</f>
        <v>50/18-01/261</v>
      </c>
      <c r="AE35" s="2535"/>
      <c r="AF35" s="2535"/>
      <c r="AG35" s="2535"/>
      <c r="AH35" s="2535"/>
      <c r="AI35" s="2535"/>
      <c r="AJ35" s="2535"/>
      <c r="AK35" s="610"/>
      <c r="AL35" s="610"/>
      <c r="AM35" s="564"/>
      <c r="AN35" s="652"/>
      <c r="AO35" s="652"/>
      <c r="AP35" s="652"/>
      <c r="AQ35" s="652"/>
      <c r="AR35" s="652"/>
      <c r="AS35" s="702">
        <v>0</v>
      </c>
    </row>
    <row s="14284" customFormat="1" customHeight="1" ht="0">
      <c r="A36" s="1652"/>
      <c r="B36" s="1652"/>
      <c r="C36" s="1652"/>
      <c r="D36" s="1652"/>
      <c r="E36" s="1652"/>
      <c r="F36" s="1652"/>
      <c r="G36" s="1652"/>
      <c r="H36" s="1652"/>
      <c r="I36" s="1652"/>
      <c r="J36" s="1652"/>
      <c r="K36" s="1652"/>
      <c r="L36" s="1653"/>
      <c r="M36" s="1652"/>
      <c r="N36" s="1652"/>
      <c r="O36" s="1652"/>
      <c r="S36" s="607"/>
      <c r="T36" s="607"/>
      <c r="U36" s="1624"/>
      <c r="V36" s="610"/>
      <c r="W36" s="610"/>
      <c r="X36" s="610"/>
      <c r="Y36" s="610"/>
      <c r="Z36" s="610"/>
      <c r="AA36" s="610"/>
      <c r="AB36" s="610"/>
      <c r="AC36" s="562" t="s">
        <v>429</v>
      </c>
      <c r="AD36" s="610"/>
      <c r="AE36" s="610"/>
      <c r="AF36" s="610"/>
      <c r="AG36" s="610"/>
      <c r="AH36" s="610"/>
      <c r="AI36" s="610"/>
      <c r="AJ36" s="610"/>
      <c r="AK36" s="562" t="s">
        <v>429</v>
      </c>
      <c r="AN36" s="652"/>
      <c r="AO36" s="652"/>
      <c r="AP36" s="652"/>
      <c r="AQ36" s="652"/>
      <c r="AR36" s="652"/>
      <c r="AS36" s="702">
        <v>0</v>
      </c>
    </row>
    <row customHeight="1" ht="14.699999999999998">
      <c r="Q37" s="660"/>
      <c r="R37" s="660"/>
      <c r="S37" s="1559"/>
      <c r="T37" s="647"/>
      <c r="U37" s="1528"/>
      <c r="V37" s="2536"/>
      <c r="W37" s="2536"/>
      <c r="X37" s="2536"/>
      <c r="Y37" s="2536"/>
      <c r="Z37" s="2536"/>
      <c r="AA37" s="2536"/>
      <c r="AB37" s="2536"/>
      <c r="AC37" s="2536"/>
      <c r="AD37" s="2536"/>
      <c r="AE37" s="2536"/>
      <c r="AF37" s="2536"/>
      <c r="AG37" s="2536"/>
      <c r="AH37" s="2536"/>
      <c r="AI37" s="2536"/>
      <c r="AJ37" s="2536"/>
      <c r="AK37" s="2536"/>
      <c r="AS37" s="1439">
        <v>14</v>
      </c>
    </row>
    <row customHeight="1" ht="14.699999999999998">
      <c r="Q38" s="660"/>
      <c r="R38" s="660"/>
      <c r="S38" s="2411" t="s">
        <v>305</v>
      </c>
      <c r="T38" s="2411"/>
      <c r="U38" s="2411"/>
      <c r="V38" s="2411"/>
      <c r="W38" s="2411"/>
      <c r="X38" s="2411"/>
      <c r="Y38" s="2411"/>
      <c r="Z38" s="2411"/>
      <c r="AA38" s="2411"/>
      <c r="AB38" s="2411"/>
      <c r="AC38" s="2411"/>
      <c r="AD38" s="2411"/>
      <c r="AE38" s="2411"/>
      <c r="AF38" s="2411"/>
      <c r="AG38" s="2411"/>
      <c r="AH38" s="2411"/>
      <c r="AI38" s="2411"/>
      <c r="AJ38" s="2411"/>
      <c r="AK38" s="2411"/>
      <c r="AL38" s="2411"/>
      <c r="AM38" s="2411" t="s">
        <v>306</v>
      </c>
      <c r="AS38" s="1439">
        <v>14</v>
      </c>
    </row>
    <row customHeight="1" ht="14.699999999999998">
      <c r="Q39" s="660"/>
      <c r="R39" s="660"/>
      <c r="S39" s="2557" t="s">
        <v>89</v>
      </c>
      <c r="T39" s="2493" t="s">
        <v>430</v>
      </c>
      <c r="U39" s="585"/>
      <c r="V39" s="2558" t="s">
        <v>431</v>
      </c>
      <c r="W39" s="2559"/>
      <c r="X39" s="2559"/>
      <c r="Y39" s="2559"/>
      <c r="Z39" s="2559"/>
      <c r="AA39" s="2559"/>
      <c r="AB39" s="2560"/>
      <c r="AC39" s="2561" t="s">
        <v>432</v>
      </c>
      <c r="AD39" s="2558" t="s">
        <v>431</v>
      </c>
      <c r="AE39" s="2559"/>
      <c r="AF39" s="2559"/>
      <c r="AG39" s="2559"/>
      <c r="AH39" s="2559"/>
      <c r="AI39" s="2559"/>
      <c r="AJ39" s="2560"/>
      <c r="AK39" s="2561" t="s">
        <v>433</v>
      </c>
      <c r="AL39" s="2564" t="s">
        <v>434</v>
      </c>
      <c r="AM39" s="2411"/>
      <c r="AS39" s="1439">
        <v>14</v>
      </c>
    </row>
    <row customHeight="1" ht="35.699999999999996">
      <c r="Q40" s="660"/>
      <c r="R40" s="660"/>
      <c r="S40" s="2557"/>
      <c r="T40" s="2493"/>
      <c r="U40" s="1315"/>
      <c r="V40" s="2544" t="s">
        <v>435</v>
      </c>
      <c r="W40" s="2567"/>
      <c r="X40" s="2546" t="s">
        <v>437</v>
      </c>
      <c r="Y40" s="2547"/>
      <c r="Z40" s="2546" t="s">
        <v>438</v>
      </c>
      <c r="AA40" s="2553"/>
      <c r="AB40" s="2547"/>
      <c r="AC40" s="2562"/>
      <c r="AD40" s="2544" t="s">
        <v>458</v>
      </c>
      <c r="AE40" s="2567"/>
      <c r="AF40" s="2546" t="s">
        <v>437</v>
      </c>
      <c r="AG40" s="2547"/>
      <c r="AH40" s="2546" t="s">
        <v>438</v>
      </c>
      <c r="AI40" s="2553"/>
      <c r="AJ40" s="2547"/>
      <c r="AK40" s="2562"/>
      <c r="AL40" s="2565"/>
      <c r="AM40" s="2411"/>
      <c r="AS40" s="1439">
        <v>34</v>
      </c>
    </row>
    <row customHeight="1" ht="35.699999999999996">
      <c r="A41" s="1654"/>
      <c r="B41" s="1654" t="s">
        <v>136</v>
      </c>
      <c r="C41" s="1654" t="s">
        <v>137</v>
      </c>
      <c r="D41" s="1654" t="s">
        <v>138</v>
      </c>
      <c r="E41" s="1648" t="s">
        <v>439</v>
      </c>
      <c r="F41" s="1648" t="s">
        <v>440</v>
      </c>
      <c r="G41" s="1648" t="s">
        <v>441</v>
      </c>
      <c r="H41" s="1648" t="s">
        <v>442</v>
      </c>
      <c r="I41" s="1648" t="s">
        <v>443</v>
      </c>
      <c r="J41" s="1648" t="s">
        <v>444</v>
      </c>
      <c r="K41" s="1648" t="s">
        <v>445</v>
      </c>
      <c r="L41" s="1648" t="s">
        <v>420</v>
      </c>
      <c r="Q41" s="660"/>
      <c r="R41" s="660"/>
      <c r="S41" s="2557"/>
      <c r="T41" s="2493"/>
      <c r="U41" s="586"/>
      <c r="V41" s="2545"/>
      <c r="W41" s="2568"/>
      <c r="X41" s="1506" t="s">
        <v>446</v>
      </c>
      <c r="Y41" s="1506" t="s">
        <v>447</v>
      </c>
      <c r="Z41" s="1622" t="s">
        <v>448</v>
      </c>
      <c r="AA41" s="2554" t="s">
        <v>449</v>
      </c>
      <c r="AB41" s="2555"/>
      <c r="AC41" s="2563"/>
      <c r="AD41" s="2545"/>
      <c r="AE41" s="2568"/>
      <c r="AF41" s="1506" t="s">
        <v>446</v>
      </c>
      <c r="AG41" s="1506" t="s">
        <v>447</v>
      </c>
      <c r="AH41" s="1622" t="s">
        <v>448</v>
      </c>
      <c r="AI41" s="2554" t="s">
        <v>449</v>
      </c>
      <c r="AJ41" s="2555"/>
      <c r="AK41" s="2563"/>
      <c r="AL41" s="2566"/>
      <c r="AM41" s="2411"/>
      <c r="AS41" s="1439">
        <v>34</v>
      </c>
    </row>
    <row s="14730" customFormat="1" customHeight="1" ht="11.25" hidden="1">
      <c r="A42" s="1654"/>
      <c r="B42" s="1654"/>
      <c r="C42" s="1654"/>
      <c r="D42" s="1654"/>
      <c r="E42" s="1654"/>
      <c r="F42" s="1654"/>
      <c r="G42" s="1654"/>
      <c r="H42" s="1654"/>
      <c r="I42" s="1654"/>
      <c r="J42" s="1654"/>
      <c r="K42" s="1654"/>
      <c r="L42" s="1648"/>
      <c r="M42" s="1646"/>
      <c r="N42" s="1646"/>
      <c r="O42" s="1646"/>
      <c r="P42" s="1530"/>
      <c r="Q42" s="1531"/>
      <c r="R42" s="1538">
        <v>1</v>
      </c>
      <c r="S42" s="1561" t="s">
        <v>110</v>
      </c>
      <c r="T42" s="1539" t="s">
        <v>111</v>
      </c>
      <c r="U42" s="1529" t="str">
        <f>OFFSET(U42,0,-1)</f>
        <v>2</v>
      </c>
      <c r="V42" s="1619">
        <f>OFFSET(V42,0,-1)+1</f>
        <v>3</v>
      </c>
      <c r="W42" s="1619"/>
      <c r="X42" s="1619">
        <f>OFFSET(X42,0,-1)+1</f>
        <v>1</v>
      </c>
      <c r="Y42" s="1619">
        <f>OFFSET(Y42,0,-1)+1</f>
        <v>2</v>
      </c>
      <c r="Z42" s="1619">
        <f>OFFSET(Z42,0,-1)+1</f>
        <v>3</v>
      </c>
      <c r="AA42" s="2556">
        <f>OFFSET(AA42,0,-1)+1</f>
        <v>4</v>
      </c>
      <c r="AB42" s="2556"/>
      <c r="AC42" s="1619">
        <f>OFFSET(AC42,0,-2)+1</f>
        <v>5</v>
      </c>
      <c r="AD42" s="1619">
        <f>OFFSET(AD42,0,-1)+1</f>
        <v>6</v>
      </c>
      <c r="AE42" s="1619"/>
      <c r="AF42" s="1619">
        <f>OFFSET(AF42,0,-1)+1</f>
        <v>1</v>
      </c>
      <c r="AG42" s="1619">
        <f>OFFSET(AG42,0,-1)+1</f>
        <v>2</v>
      </c>
      <c r="AH42" s="1619">
        <f>OFFSET(AH42,0,-1)+1</f>
        <v>3</v>
      </c>
      <c r="AI42" s="2556">
        <f>OFFSET(AI42,0,-1)+1</f>
        <v>4</v>
      </c>
      <c r="AJ42" s="2556"/>
      <c r="AK42" s="1619">
        <f>OFFSET(AK42,0,-2)+1</f>
        <v>5</v>
      </c>
      <c r="AL42" s="1529">
        <f>OFFSET(AL42,0,-1)</f>
        <v>5</v>
      </c>
      <c r="AM42" s="1619">
        <f>OFFSET(AM42,0,-1)+1</f>
        <v>6</v>
      </c>
      <c r="AN42" s="795"/>
      <c r="AO42" s="795"/>
      <c r="AP42" s="795"/>
      <c r="AQ42" s="795"/>
      <c r="AR42" s="795"/>
      <c r="AS42" s="780">
        <v>0</v>
      </c>
    </row>
    <row customHeight="1" ht="22.049999999999997">
      <c r="A43" s="1647" t="s">
        <v>193</v>
      </c>
      <c r="B43" s="1647"/>
      <c r="C43" s="1647"/>
      <c r="D43" s="1647"/>
      <c r="E43" s="2542">
        <v>1</v>
      </c>
      <c r="F43" s="1647"/>
      <c r="G43" s="1647"/>
      <c r="H43" s="1647"/>
      <c r="I43" s="1647"/>
      <c r="J43" s="1647"/>
      <c r="K43" s="1647"/>
      <c r="L43" s="1648"/>
      <c r="M43" s="1649"/>
      <c r="N43" s="1649"/>
      <c r="O43" s="1649"/>
      <c r="P43" s="645"/>
      <c r="Q43" s="644"/>
      <c r="R43" s="639"/>
      <c r="S43" s="1620">
        <f>INDEX(PT_DIFFERENTIATION_NUM_NTAR,MATCH(A43,PT_DIFFERENTIATION_NTAR_ID,0))</f>
        <v>0</v>
      </c>
      <c r="T43" s="582" t="s">
        <v>124</v>
      </c>
      <c r="U43" s="584"/>
      <c r="V43" s="2526"/>
      <c r="W43" s="2527"/>
      <c r="X43" s="2527"/>
      <c r="Y43" s="2527"/>
      <c r="Z43" s="2527"/>
      <c r="AA43" s="2527"/>
      <c r="AB43" s="2527"/>
      <c r="AC43" s="2528"/>
      <c r="AD43" s="2526" t="str">
        <f>INDEX(PT_DIFFERENTIATION_NTAR,MATCH(A43,PT_DIFFERENTIATION_NTAR_ID,0))</f>
        <v/>
      </c>
      <c r="AE43" s="2527"/>
      <c r="AF43" s="2527"/>
      <c r="AG43" s="2527"/>
      <c r="AH43" s="2527"/>
      <c r="AI43" s="2527"/>
      <c r="AJ43" s="2527"/>
      <c r="AK43" s="2527"/>
      <c r="AL43" s="2528"/>
      <c r="AM43" s="1542"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784"/>
      <c r="AP43" s="784" t="str">
        <f>IF(T43="","",T43)</f>
        <v>Наименование тарифа</v>
      </c>
      <c r="AQ43" s="784"/>
      <c r="AR43" s="784"/>
      <c r="AS43" s="1439">
        <v>21</v>
      </c>
    </row>
    <row customHeight="1" ht="22.049999999999997">
      <c r="A44" s="1647" t="s">
        <v>193</v>
      </c>
      <c r="B44" s="1647" t="s">
        <v>194</v>
      </c>
      <c r="C44" s="1647"/>
      <c r="D44" s="1647"/>
      <c r="E44" s="2543"/>
      <c r="F44" s="2542">
        <v>1</v>
      </c>
      <c r="G44" s="1647"/>
      <c r="H44" s="1647"/>
      <c r="I44" s="1647"/>
      <c r="J44" s="1647"/>
      <c r="K44" s="1647"/>
      <c r="L44" s="1648"/>
      <c r="M44" s="1649"/>
      <c r="N44" s="1649"/>
      <c r="O44" s="1649"/>
      <c r="P44" s="1616"/>
      <c r="Q44" s="636"/>
      <c r="R44" s="637"/>
      <c r="S44" s="1620" t="str">
        <f>INDEX(PT_DIFFERENTIATION_NUM_TER,MATCH(B44,PT_DIFFERENTIATION_TER_ID,0))</f>
        <v>.</v>
      </c>
      <c r="T44" s="592" t="s">
        <v>402</v>
      </c>
      <c r="U44" s="584"/>
      <c r="V44" s="2526"/>
      <c r="W44" s="2527"/>
      <c r="X44" s="2527"/>
      <c r="Y44" s="2527"/>
      <c r="Z44" s="2527"/>
      <c r="AA44" s="2527"/>
      <c r="AB44" s="2527"/>
      <c r="AC44" s="2528"/>
      <c r="AD44" s="2526" t="str">
        <f>INDEX(PT_DIFFERENTIATION_TER,MATCH(B44,PT_DIFFERENTIATION_TER_ID,0))</f>
        <v/>
      </c>
      <c r="AE44" s="2527"/>
      <c r="AF44" s="2527"/>
      <c r="AG44" s="2527"/>
      <c r="AH44" s="2527"/>
      <c r="AI44" s="2527"/>
      <c r="AJ44" s="2527"/>
      <c r="AK44" s="2527"/>
      <c r="AL44" s="2528"/>
      <c r="AM44" s="1542" t="s">
        <v>403</v>
      </c>
      <c r="AO44" s="784"/>
      <c r="AP44" s="784" t="str">
        <f>IF(T44="","",T44)</f>
        <v>Территория действия тарифа</v>
      </c>
      <c r="AQ44" s="784"/>
      <c r="AR44" s="784"/>
      <c r="AS44" s="1439">
        <v>21</v>
      </c>
    </row>
    <row customHeight="1" ht="24">
      <c r="A45" s="1647" t="s">
        <v>193</v>
      </c>
      <c r="B45" s="1647" t="s">
        <v>194</v>
      </c>
      <c r="C45" s="1647" t="s">
        <v>195</v>
      </c>
      <c r="D45" s="1647"/>
      <c r="E45" s="2543"/>
      <c r="F45" s="2543"/>
      <c r="G45" s="2542">
        <v>1</v>
      </c>
      <c r="H45" s="1647"/>
      <c r="I45" s="1647"/>
      <c r="J45" s="1647"/>
      <c r="K45" s="1647"/>
      <c r="L45" s="1648"/>
      <c r="M45" s="1649"/>
      <c r="N45" s="1649"/>
      <c r="O45" s="1649"/>
      <c r="P45" s="638"/>
      <c r="Q45" s="636"/>
      <c r="R45" s="637"/>
      <c r="S45" s="1620" t="str">
        <f>INDEX(PT_DIFFERENTIATION_NUM_CS,MATCH(C45,PT_DIFFERENTIATION_CS_ID,0))</f>
        <v>..</v>
      </c>
      <c r="T45" s="593" t="s">
        <v>404</v>
      </c>
      <c r="U45" s="584"/>
      <c r="V45" s="2526"/>
      <c r="W45" s="2527"/>
      <c r="X45" s="2527"/>
      <c r="Y45" s="2527"/>
      <c r="Z45" s="2527"/>
      <c r="AA45" s="2527"/>
      <c r="AB45" s="2527"/>
      <c r="AC45" s="2528"/>
      <c r="AD45" s="2526" t="str">
        <f>INDEX(PT_DIFFERENTIATION_CS,MATCH(C45,PT_DIFFERENTIATION_CS_ID,0))</f>
        <v/>
      </c>
      <c r="AE45" s="2527"/>
      <c r="AF45" s="2527"/>
      <c r="AG45" s="2527"/>
      <c r="AH45" s="2527"/>
      <c r="AI45" s="2527"/>
      <c r="AJ45" s="2527"/>
      <c r="AK45" s="2527"/>
      <c r="AL45" s="2528"/>
      <c r="AM45" s="1542" t="s">
        <v>405</v>
      </c>
      <c r="AO45" s="784"/>
      <c r="AP45" s="784" t="str">
        <f>IF(T45="","",T45)</f>
        <v>Наименование системы теплоснабжения </v>
      </c>
      <c r="AQ45" s="784"/>
      <c r="AR45" s="784"/>
      <c r="AS45" s="1439">
        <v>23</v>
      </c>
    </row>
    <row customHeight="1" ht="22.049999999999997">
      <c r="A46" s="1647" t="s">
        <v>193</v>
      </c>
      <c r="B46" s="1647" t="s">
        <v>194</v>
      </c>
      <c r="C46" s="1647" t="s">
        <v>195</v>
      </c>
      <c r="D46" s="1647" t="s">
        <v>196</v>
      </c>
      <c r="E46" s="2543"/>
      <c r="F46" s="2543"/>
      <c r="G46" s="2543"/>
      <c r="H46" s="2542">
        <v>1</v>
      </c>
      <c r="I46" s="1647"/>
      <c r="J46" s="1647"/>
      <c r="K46" s="1647"/>
      <c r="L46" s="1648"/>
      <c r="M46" s="1649"/>
      <c r="N46" s="1649"/>
      <c r="O46" s="1649"/>
      <c r="P46" s="638"/>
      <c r="Q46" s="636"/>
      <c r="R46" s="637"/>
      <c r="S46" s="1620" t="str">
        <f>INDEX(PT_DIFFERENTIATION_NUM_IST_TE,MATCH(D46,PT_DIFFERENTIATION_IST_TE_ID,0))</f>
        <v>...</v>
      </c>
      <c r="T46" s="594" t="s">
        <v>406</v>
      </c>
      <c r="U46" s="584"/>
      <c r="V46" s="2526"/>
      <c r="W46" s="2527"/>
      <c r="X46" s="2527"/>
      <c r="Y46" s="2527"/>
      <c r="Z46" s="2527"/>
      <c r="AA46" s="2527"/>
      <c r="AB46" s="2527"/>
      <c r="AC46" s="2528"/>
      <c r="AD46" s="2526" t="str">
        <f>INDEX(PT_DIFFERENTIATION_IST_TE,MATCH(D46,PT_DIFFERENTIATION_IST_TE_ID,0))</f>
        <v/>
      </c>
      <c r="AE46" s="2527"/>
      <c r="AF46" s="2527"/>
      <c r="AG46" s="2527"/>
      <c r="AH46" s="2527"/>
      <c r="AI46" s="2527"/>
      <c r="AJ46" s="2527"/>
      <c r="AK46" s="2527"/>
      <c r="AL46" s="2528"/>
      <c r="AM46" s="1542" t="s">
        <v>407</v>
      </c>
      <c r="AO46" s="784"/>
      <c r="AP46" s="784" t="str">
        <f>IF(T46="","",T46)</f>
        <v>Источник тепловой энергии  </v>
      </c>
      <c r="AQ46" s="784"/>
      <c r="AR46" s="784"/>
      <c r="AS46" s="1439">
        <v>21</v>
      </c>
    </row>
    <row s="14158" customFormat="1" customHeight="1" ht="0">
      <c r="A47" s="1627" t="s">
        <v>193</v>
      </c>
      <c r="B47" s="1627" t="s">
        <v>194</v>
      </c>
      <c r="C47" s="1627" t="s">
        <v>195</v>
      </c>
      <c r="D47" s="1627" t="s">
        <v>196</v>
      </c>
      <c r="E47" s="2543"/>
      <c r="F47" s="2543"/>
      <c r="G47" s="2543"/>
      <c r="H47" s="2543"/>
      <c r="I47" s="2540" t="str">
        <f>S46&amp;".1"</f>
        <v>....1</v>
      </c>
      <c r="J47" s="1627"/>
      <c r="K47" s="1627"/>
      <c r="L47" s="1630" t="s">
        <v>408</v>
      </c>
      <c r="M47" s="794"/>
      <c r="N47" s="794"/>
      <c r="O47" s="794"/>
      <c r="P47" s="2541">
        <v>1</v>
      </c>
      <c r="Q47" s="1615"/>
      <c r="R47" s="640"/>
      <c r="S47" s="1326"/>
      <c r="T47" s="1667"/>
      <c r="U47" s="1668"/>
      <c r="V47" s="2580"/>
      <c r="W47" s="2581"/>
      <c r="X47" s="2581"/>
      <c r="Y47" s="2581"/>
      <c r="Z47" s="2581"/>
      <c r="AA47" s="2581"/>
      <c r="AB47" s="2581"/>
      <c r="AC47" s="2582"/>
      <c r="AD47" s="2580"/>
      <c r="AE47" s="2581"/>
      <c r="AF47" s="2581"/>
      <c r="AG47" s="2581"/>
      <c r="AH47" s="2581"/>
      <c r="AI47" s="2581"/>
      <c r="AJ47" s="2581"/>
      <c r="AK47" s="2581"/>
      <c r="AL47" s="2582"/>
      <c r="AM47" s="1669"/>
      <c r="AO47" s="784"/>
      <c r="AP47" s="784" t="str">
        <f>IF(T47="","",T47)</f>
        <v/>
      </c>
      <c r="AQ47" s="784"/>
      <c r="AR47" s="784"/>
      <c r="AS47" s="795">
        <v>0</v>
      </c>
    </row>
    <row customHeight="1" ht="22.049999999999997">
      <c r="A48" s="1647" t="s">
        <v>193</v>
      </c>
      <c r="B48" s="1647" t="s">
        <v>194</v>
      </c>
      <c r="C48" s="1647" t="s">
        <v>195</v>
      </c>
      <c r="D48" s="1647" t="s">
        <v>196</v>
      </c>
      <c r="E48" s="2543"/>
      <c r="F48" s="2543"/>
      <c r="G48" s="2543"/>
      <c r="H48" s="2543"/>
      <c r="I48" s="2570"/>
      <c r="J48" s="2540" t="str">
        <f>S46&amp;".1"</f>
        <v>....1</v>
      </c>
      <c r="K48" s="1647"/>
      <c r="L48" s="1648" t="s">
        <v>411</v>
      </c>
      <c r="P48" s="2541"/>
      <c r="Q48" s="2541">
        <v>1</v>
      </c>
      <c r="R48" s="641"/>
      <c r="S48" s="1620" t="str">
        <f>$J48</f>
        <v>....1</v>
      </c>
      <c r="T48" s="570" t="s">
        <v>412</v>
      </c>
      <c r="U48" s="584"/>
      <c r="V48" s="2529"/>
      <c r="W48" s="2530"/>
      <c r="X48" s="2530"/>
      <c r="Y48" s="2530"/>
      <c r="Z48" s="2530"/>
      <c r="AA48" s="2530"/>
      <c r="AB48" s="2530"/>
      <c r="AC48" s="2531"/>
      <c r="AD48" s="2529"/>
      <c r="AE48" s="2530"/>
      <c r="AF48" s="2530"/>
      <c r="AG48" s="2530"/>
      <c r="AH48" s="2530"/>
      <c r="AI48" s="2530"/>
      <c r="AJ48" s="2530"/>
      <c r="AK48" s="2530"/>
      <c r="AL48" s="2531"/>
      <c r="AM48" s="1542" t="s">
        <v>413</v>
      </c>
      <c r="AO48" s="784"/>
      <c r="AP48" s="784" t="str">
        <f>IF(T48="","",T48)</f>
        <v>Группа потребителей</v>
      </c>
      <c r="AQ48" s="784"/>
      <c r="AR48" s="784"/>
      <c r="AS48" s="1439">
        <v>21</v>
      </c>
    </row>
    <row customHeight="1" ht="22.049999999999997">
      <c r="A49" s="1647" t="s">
        <v>193</v>
      </c>
      <c r="B49" s="1647" t="s">
        <v>194</v>
      </c>
      <c r="C49" s="1647" t="s">
        <v>195</v>
      </c>
      <c r="D49" s="1647" t="s">
        <v>196</v>
      </c>
      <c r="E49" s="2543"/>
      <c r="F49" s="2543"/>
      <c r="G49" s="2543"/>
      <c r="H49" s="2543"/>
      <c r="I49" s="2570"/>
      <c r="J49" s="2570"/>
      <c r="K49" s="2540" t="str">
        <f>J48&amp;".1"</f>
        <v>....1.1</v>
      </c>
      <c r="L49" s="1648" t="s">
        <v>414</v>
      </c>
      <c r="P49" s="2541"/>
      <c r="Q49" s="2541"/>
      <c r="R49" s="641">
        <v>1</v>
      </c>
      <c r="S49" s="1620" t="str">
        <f>$K49</f>
        <v>....1.1</v>
      </c>
      <c r="T49" s="1631"/>
      <c r="U49" s="584"/>
      <c r="V49" s="1035"/>
      <c r="W49" s="609"/>
      <c r="X49" s="1035"/>
      <c r="Y49" s="1541"/>
      <c r="Z49" s="2549"/>
      <c r="AA49" s="2391" t="s">
        <v>67</v>
      </c>
      <c r="AB49" s="2549"/>
      <c r="AC49" s="2391" t="s">
        <v>67</v>
      </c>
      <c r="AD49" s="1035"/>
      <c r="AE49" s="609"/>
      <c r="AF49" s="1035"/>
      <c r="AG49" s="1541"/>
      <c r="AH49" s="2549"/>
      <c r="AI49" s="2391" t="s">
        <v>67</v>
      </c>
      <c r="AJ49" s="2571"/>
      <c r="AK49" s="2391" t="s">
        <v>67</v>
      </c>
      <c r="AL49" s="1632"/>
      <c r="AM49" s="2537" t="s">
        <v>459</v>
      </c>
      <c r="AN49" s="795">
        <f>STRCHECKDATE(V50:AL50)</f>
      </c>
      <c r="AO49" s="784"/>
      <c r="AP49" s="784" t="str">
        <f>IF(T49="","",T49)</f>
        <v/>
      </c>
      <c r="AQ49" s="784"/>
      <c r="AR49" s="784"/>
      <c r="AS49" s="1439">
        <v>21</v>
      </c>
    </row>
    <row customHeight="1" ht="0">
      <c r="A50" s="1647" t="s">
        <v>193</v>
      </c>
      <c r="B50" s="1647" t="s">
        <v>194</v>
      </c>
      <c r="C50" s="1647" t="s">
        <v>195</v>
      </c>
      <c r="D50" s="1647" t="s">
        <v>196</v>
      </c>
      <c r="E50" s="2543"/>
      <c r="F50" s="2543"/>
      <c r="G50" s="2543"/>
      <c r="H50" s="2543"/>
      <c r="I50" s="2570"/>
      <c r="J50" s="2570"/>
      <c r="K50" s="2540"/>
      <c r="L50" s="1648"/>
      <c r="P50" s="2541"/>
      <c r="Q50" s="2541"/>
      <c r="R50" s="641"/>
      <c r="S50" s="1626"/>
      <c r="T50" s="584"/>
      <c r="U50" s="584"/>
      <c r="V50" s="609"/>
      <c r="W50" s="609"/>
      <c r="X50" s="609"/>
      <c r="Y50" s="612" t="str">
        <f>Z49&amp;"-"&amp;AB49</f>
        <v>-</v>
      </c>
      <c r="Z50" s="2550"/>
      <c r="AA50" s="2391"/>
      <c r="AB50" s="2550"/>
      <c r="AC50" s="2391"/>
      <c r="AD50" s="609"/>
      <c r="AE50" s="609"/>
      <c r="AF50" s="609"/>
      <c r="AG50" s="612" t="str">
        <f>AH49&amp;"-"&amp;AJ49</f>
        <v>-</v>
      </c>
      <c r="AH50" s="2550"/>
      <c r="AI50" s="2391"/>
      <c r="AJ50" s="2572"/>
      <c r="AK50" s="2391"/>
      <c r="AL50" s="1633"/>
      <c r="AM50" s="2538"/>
      <c r="AO50" s="784"/>
      <c r="AP50" s="784" t="str">
        <f>IF(T50="","",T50)</f>
        <v/>
      </c>
      <c r="AQ50" s="784"/>
      <c r="AR50" s="784"/>
      <c r="AS50" s="1439">
        <v>0</v>
      </c>
    </row>
    <row customHeight="1" ht="11.549999999999999">
      <c r="A51" s="1647" t="s">
        <v>193</v>
      </c>
      <c r="B51" s="1647" t="s">
        <v>194</v>
      </c>
      <c r="C51" s="1647" t="s">
        <v>195</v>
      </c>
      <c r="D51" s="1647" t="s">
        <v>196</v>
      </c>
      <c r="E51" s="2543"/>
      <c r="F51" s="2543"/>
      <c r="G51" s="2543"/>
      <c r="H51" s="2543"/>
      <c r="I51" s="2570"/>
      <c r="J51" s="2540"/>
      <c r="K51" s="1647"/>
      <c r="L51" s="1648"/>
      <c r="P51" s="2541"/>
      <c r="Q51" s="2541"/>
      <c r="R51" s="640"/>
      <c r="S51" s="1562"/>
      <c r="T51" s="571" t="s">
        <v>416</v>
      </c>
      <c r="U51" s="651"/>
      <c r="V51" s="651"/>
      <c r="W51" s="651"/>
      <c r="X51" s="651"/>
      <c r="Y51" s="651"/>
      <c r="Z51" s="651"/>
      <c r="AA51" s="651"/>
      <c r="AB51" s="651"/>
      <c r="AC51" s="651"/>
      <c r="AD51" s="651"/>
      <c r="AE51" s="651"/>
      <c r="AF51" s="651"/>
      <c r="AG51" s="651"/>
      <c r="AH51" s="651"/>
      <c r="AI51" s="651"/>
      <c r="AJ51" s="651"/>
      <c r="AK51" s="651"/>
      <c r="AL51" s="608"/>
      <c r="AM51" s="2539"/>
      <c r="AO51" s="784"/>
      <c r="AP51" s="784" t="str">
        <f>IF(T51="","",T51)</f>
        <v>Добавить вид теплоносителя (параметры теплоносителя)</v>
      </c>
      <c r="AQ51" s="784"/>
      <c r="AR51" s="784"/>
      <c r="AS51" s="1439">
        <v>11</v>
      </c>
    </row>
    <row customHeight="1" ht="11.549999999999999">
      <c r="A52" s="1647" t="s">
        <v>193</v>
      </c>
      <c r="B52" s="1647" t="s">
        <v>194</v>
      </c>
      <c r="C52" s="1647" t="s">
        <v>195</v>
      </c>
      <c r="D52" s="1647" t="s">
        <v>196</v>
      </c>
      <c r="E52" s="2543"/>
      <c r="F52" s="2543"/>
      <c r="G52" s="2543"/>
      <c r="H52" s="2543"/>
      <c r="I52" s="2540"/>
      <c r="J52" s="1647"/>
      <c r="K52" s="1647"/>
      <c r="L52" s="1648"/>
      <c r="P52" s="2541"/>
      <c r="Q52" s="1615"/>
      <c r="R52" s="640"/>
      <c r="S52" s="1562"/>
      <c r="T52" s="649" t="s">
        <v>417</v>
      </c>
      <c r="U52" s="651"/>
      <c r="V52" s="651"/>
      <c r="W52" s="651"/>
      <c r="X52" s="651"/>
      <c r="Y52" s="651"/>
      <c r="Z52" s="651"/>
      <c r="AA52" s="651"/>
      <c r="AB52" s="651"/>
      <c r="AC52" s="650"/>
      <c r="AD52" s="651"/>
      <c r="AE52" s="651"/>
      <c r="AF52" s="651"/>
      <c r="AG52" s="651"/>
      <c r="AH52" s="651"/>
      <c r="AI52" s="651"/>
      <c r="AJ52" s="651"/>
      <c r="AK52" s="650"/>
      <c r="AL52" s="651"/>
      <c r="AM52" s="587"/>
      <c r="AO52" s="784"/>
      <c r="AP52" s="784" t="str">
        <f>IF(T52="","",T52)</f>
        <v>Добавить группу потребителей</v>
      </c>
      <c r="AQ52" s="784"/>
      <c r="AR52" s="784"/>
      <c r="AS52" s="1439">
        <v>11</v>
      </c>
    </row>
    <row customHeight="1" ht="0">
      <c r="A53" s="1647" t="s">
        <v>193</v>
      </c>
      <c r="B53" s="1647" t="s">
        <v>194</v>
      </c>
      <c r="C53" s="1647" t="s">
        <v>195</v>
      </c>
      <c r="D53" s="1647" t="s">
        <v>196</v>
      </c>
      <c r="E53" s="2543"/>
      <c r="F53" s="2543"/>
      <c r="G53" s="2543"/>
      <c r="H53" s="2542"/>
      <c r="I53" s="1647"/>
      <c r="J53" s="1647"/>
      <c r="K53" s="1647"/>
      <c r="L53" s="1648"/>
      <c r="M53" s="1649"/>
      <c r="N53" s="1649"/>
      <c r="O53" s="821"/>
      <c r="P53" s="644"/>
      <c r="Q53" s="659"/>
      <c r="R53" s="639"/>
      <c r="S53" s="1670"/>
      <c r="T53" s="1671"/>
      <c r="U53" s="1672"/>
      <c r="V53" s="1672"/>
      <c r="W53" s="1672"/>
      <c r="X53" s="1672"/>
      <c r="Y53" s="1672"/>
      <c r="Z53" s="1672"/>
      <c r="AA53" s="1672"/>
      <c r="AB53" s="1672"/>
      <c r="AC53" s="1672"/>
      <c r="AD53" s="1672"/>
      <c r="AE53" s="1672"/>
      <c r="AF53" s="1672"/>
      <c r="AG53" s="1672"/>
      <c r="AH53" s="1672"/>
      <c r="AI53" s="1672"/>
      <c r="AJ53" s="1672"/>
      <c r="AK53" s="1672"/>
      <c r="AL53" s="1672"/>
      <c r="AM53" s="1673"/>
      <c r="AO53" s="784"/>
      <c r="AP53" s="784" t="str">
        <f>IF(T53="","",T53)</f>
        <v/>
      </c>
      <c r="AQ53" s="784"/>
      <c r="AR53" s="784"/>
      <c r="AS53" s="1439">
        <v>0</v>
      </c>
    </row>
    <row s="14158" customFormat="1" customHeight="1" ht="0">
      <c r="A54" s="1627" t="s">
        <v>193</v>
      </c>
      <c r="B54" s="1627" t="s">
        <v>194</v>
      </c>
      <c r="C54" s="1627" t="s">
        <v>195</v>
      </c>
      <c r="D54" s="1598"/>
      <c r="E54" s="2543"/>
      <c r="F54" s="2543"/>
      <c r="G54" s="2542"/>
      <c r="H54" s="1598"/>
      <c r="I54" s="1598"/>
      <c r="J54" s="1598"/>
      <c r="K54" s="1598"/>
      <c r="L54" s="1623"/>
      <c r="M54" s="1599"/>
      <c r="N54" s="1599"/>
      <c r="P54" s="1600"/>
      <c r="Q54" s="1601"/>
      <c r="R54" s="1600"/>
      <c r="S54" s="1606"/>
      <c r="T54" s="1609" t="s">
        <v>169</v>
      </c>
      <c r="U54" s="1608"/>
      <c r="V54" s="1608"/>
      <c r="W54" s="1608"/>
      <c r="X54" s="1608"/>
      <c r="Y54" s="1608"/>
      <c r="Z54" s="1608"/>
      <c r="AA54" s="1608"/>
      <c r="AB54" s="1608"/>
      <c r="AC54" s="1608"/>
      <c r="AD54" s="1608"/>
      <c r="AE54" s="1608"/>
      <c r="AF54" s="1608"/>
      <c r="AG54" s="1608"/>
      <c r="AH54" s="1608"/>
      <c r="AI54" s="1608"/>
      <c r="AJ54" s="1608"/>
      <c r="AK54" s="1608"/>
      <c r="AL54" s="1608"/>
      <c r="AM54" s="1608"/>
      <c r="AO54" s="1073"/>
      <c r="AP54" s="1073" t="str">
        <f>IF(T54="","",T54)</f>
        <v>Добавить источник для дифференциации</v>
      </c>
      <c r="AQ54" s="1073"/>
      <c r="AR54" s="1073"/>
      <c r="AS54" s="802">
        <v>0</v>
      </c>
    </row>
    <row s="14158" customFormat="1" customHeight="1" ht="0">
      <c r="A55" s="1627" t="s">
        <v>193</v>
      </c>
      <c r="B55" s="1627" t="s">
        <v>194</v>
      </c>
      <c r="C55" s="1598"/>
      <c r="D55" s="1598"/>
      <c r="E55" s="2543"/>
      <c r="F55" s="2542"/>
      <c r="G55" s="1598"/>
      <c r="H55" s="1598"/>
      <c r="I55" s="1598"/>
      <c r="J55" s="1598"/>
      <c r="K55" s="1598"/>
      <c r="L55" s="1623"/>
      <c r="M55" s="1605"/>
      <c r="N55" s="1605"/>
      <c r="P55" s="1600"/>
      <c r="Q55" s="1601"/>
      <c r="R55" s="1600"/>
      <c r="S55" s="1606"/>
      <c r="T55" s="1609" t="s">
        <v>170</v>
      </c>
      <c r="U55" s="1608"/>
      <c r="V55" s="1608"/>
      <c r="W55" s="1608"/>
      <c r="X55" s="1608"/>
      <c r="Y55" s="1608"/>
      <c r="Z55" s="1608"/>
      <c r="AA55" s="1608"/>
      <c r="AB55" s="1608"/>
      <c r="AC55" s="1608"/>
      <c r="AD55" s="1608"/>
      <c r="AE55" s="1608"/>
      <c r="AF55" s="1608"/>
      <c r="AG55" s="1608"/>
      <c r="AH55" s="1608"/>
      <c r="AI55" s="1608"/>
      <c r="AJ55" s="1608"/>
      <c r="AK55" s="1608"/>
      <c r="AL55" s="1608"/>
      <c r="AM55" s="1608"/>
      <c r="AO55" s="1073"/>
      <c r="AP55" s="1073" t="str">
        <f>IF(T55="","",T55)</f>
        <v>Добавить централизованную систему для дифференциации</v>
      </c>
      <c r="AQ55" s="1073"/>
      <c r="AR55" s="1073"/>
      <c r="AS55" s="802">
        <v>0</v>
      </c>
    </row>
    <row s="14158" customFormat="1" customHeight="1" ht="0">
      <c r="A56" s="1627" t="s">
        <v>193</v>
      </c>
      <c r="B56" s="1627"/>
      <c r="C56" s="1627"/>
      <c r="D56" s="1627"/>
      <c r="E56" s="2542"/>
      <c r="F56" s="1627"/>
      <c r="G56" s="1627"/>
      <c r="H56" s="1627"/>
      <c r="I56" s="1627"/>
      <c r="J56" s="1627"/>
      <c r="K56" s="1627"/>
      <c r="L56" s="1630"/>
      <c r="M56" s="1605"/>
      <c r="N56" s="1605"/>
      <c r="O56" s="802"/>
      <c r="P56" s="664"/>
      <c r="Q56" s="1628"/>
      <c r="R56" s="664"/>
      <c r="S56" s="1606"/>
      <c r="T56" s="1609" t="s">
        <v>171</v>
      </c>
      <c r="U56" s="1608"/>
      <c r="V56" s="1608"/>
      <c r="W56" s="1608"/>
      <c r="X56" s="1608"/>
      <c r="Y56" s="1608"/>
      <c r="Z56" s="1608"/>
      <c r="AA56" s="1608"/>
      <c r="AB56" s="1608"/>
      <c r="AC56" s="1608"/>
      <c r="AD56" s="1608"/>
      <c r="AE56" s="1608"/>
      <c r="AF56" s="1608"/>
      <c r="AG56" s="1608"/>
      <c r="AH56" s="1608"/>
      <c r="AI56" s="1608"/>
      <c r="AJ56" s="1608"/>
      <c r="AK56" s="1608"/>
      <c r="AL56" s="1608"/>
      <c r="AM56" s="1608"/>
      <c r="AO56" s="784"/>
      <c r="AP56" s="784" t="str">
        <f>IF(T56="","",T56)</f>
        <v>Добавить территорию для дифференциации</v>
      </c>
      <c r="AQ56" s="784"/>
      <c r="AR56" s="784"/>
      <c r="AS56" s="795">
        <v>0</v>
      </c>
    </row>
    <row s="14158" customFormat="1" customHeight="1" ht="4.2">
      <c r="A57" s="1598"/>
      <c r="B57" s="1598"/>
      <c r="C57" s="1598"/>
      <c r="D57" s="1598"/>
      <c r="E57" s="1627"/>
      <c r="F57" s="1598"/>
      <c r="G57" s="1598"/>
      <c r="H57" s="1598"/>
      <c r="I57" s="1598"/>
      <c r="J57" s="1598"/>
      <c r="K57" s="1598"/>
      <c r="L57" s="1623"/>
      <c r="M57" s="1605"/>
      <c r="N57" s="1605"/>
      <c r="P57" s="1600"/>
      <c r="Q57" s="1601"/>
      <c r="R57" s="1600"/>
      <c r="S57" s="1606"/>
      <c r="T57" s="1609" t="s">
        <v>172</v>
      </c>
      <c r="U57" s="1608"/>
      <c r="V57" s="1608"/>
      <c r="W57" s="1608"/>
      <c r="X57" s="1608"/>
      <c r="Y57" s="1608"/>
      <c r="Z57" s="1608"/>
      <c r="AA57" s="1608"/>
      <c r="AB57" s="1608"/>
      <c r="AC57" s="1608"/>
      <c r="AD57" s="1608"/>
      <c r="AE57" s="1608"/>
      <c r="AF57" s="1608"/>
      <c r="AG57" s="1608"/>
      <c r="AH57" s="1608"/>
      <c r="AI57" s="1608"/>
      <c r="AJ57" s="1608"/>
      <c r="AK57" s="1608"/>
      <c r="AL57" s="1608"/>
      <c r="AM57" s="1608"/>
      <c r="AO57" s="1073"/>
      <c r="AP57" s="1073" t="str">
        <f>IF(T57="","",T57)</f>
        <v>Добавить наименование тарифа</v>
      </c>
      <c r="AQ57" s="1073"/>
      <c r="AR57" s="1073"/>
      <c r="AS57" s="802">
        <v>4</v>
      </c>
    </row>
    <row customHeight="1" ht="11.549999999999999">
      <c r="M58" s="1444"/>
      <c r="N58" s="1444"/>
      <c r="O58" s="821"/>
      <c r="P58" s="1439"/>
      <c r="Q58" s="1439"/>
      <c r="R58" s="1439"/>
      <c r="S58" s="1439"/>
      <c r="AN58" s="1439"/>
      <c r="AO58" s="1439"/>
      <c r="AP58" s="1439"/>
      <c r="AQ58" s="1439"/>
      <c r="AR58" s="1439"/>
      <c r="AS58" s="1439">
        <v>11</v>
      </c>
    </row>
    <row customHeight="1" ht="14.699999999999998">
      <c r="O59" s="821"/>
      <c r="S59" s="1537"/>
      <c r="T59" s="2569"/>
      <c r="U59" s="2569"/>
      <c r="V59" s="2569"/>
      <c r="W59" s="2569"/>
      <c r="X59" s="2569"/>
      <c r="Y59" s="2569"/>
      <c r="Z59" s="2569"/>
      <c r="AA59" s="2569"/>
      <c r="AB59" s="2569"/>
      <c r="AC59" s="2569"/>
      <c r="AD59" s="2569"/>
      <c r="AE59" s="2569"/>
      <c r="AF59" s="2569"/>
      <c r="AG59" s="2569"/>
      <c r="AH59" s="2569"/>
      <c r="AI59" s="2569"/>
      <c r="AJ59" s="2569"/>
      <c r="AK59" s="2569"/>
      <c r="AL59" s="2569"/>
      <c r="AM59" s="2569"/>
      <c r="AS59" s="1439">
        <v>14</v>
      </c>
    </row>
    <row customHeight="1" ht="14.699999999999998">
      <c r="O60" s="821"/>
      <c r="T60" s="2569"/>
      <c r="U60" s="2569"/>
      <c r="V60" s="2569"/>
      <c r="W60" s="2569"/>
      <c r="X60" s="2569"/>
      <c r="Y60" s="2569"/>
      <c r="Z60" s="2569"/>
      <c r="AA60" s="2569"/>
      <c r="AB60" s="2569"/>
      <c r="AC60" s="2569"/>
      <c r="AD60" s="2569"/>
      <c r="AE60" s="2569"/>
      <c r="AF60" s="2569"/>
      <c r="AG60" s="2569"/>
      <c r="AH60" s="2569"/>
      <c r="AI60" s="2569"/>
      <c r="AJ60" s="2569"/>
      <c r="AK60" s="2569"/>
      <c r="AL60" s="2569"/>
      <c r="AM60" s="2569"/>
      <c r="AS60" s="1439">
        <v>14</v>
      </c>
    </row>
    <row customHeight="1" ht="14.699999999999998">
      <c r="O61" s="821"/>
      <c r="T61" s="2569"/>
      <c r="U61" s="2569"/>
      <c r="V61" s="2569"/>
      <c r="W61" s="2569"/>
      <c r="X61" s="2569"/>
      <c r="Y61" s="2569"/>
      <c r="Z61" s="2569"/>
      <c r="AA61" s="2569"/>
      <c r="AB61" s="2569"/>
      <c r="AC61" s="2569"/>
      <c r="AD61" s="2569"/>
      <c r="AE61" s="2569"/>
      <c r="AF61" s="2569"/>
      <c r="AG61" s="2569"/>
      <c r="AH61" s="2569"/>
      <c r="AI61" s="2569"/>
      <c r="AJ61" s="2569"/>
      <c r="AK61" s="2569"/>
      <c r="AL61" s="2569"/>
      <c r="AM61" s="2569"/>
      <c r="AS61" s="1439">
        <v>14</v>
      </c>
    </row>
    <row customHeight="1" ht="14.699999999999998">
      <c r="O62" s="821"/>
      <c r="AS62" s="1439">
        <v>14</v>
      </c>
    </row>
    <row customHeight="1" ht="14.699999999999998">
      <c r="O63" s="821"/>
      <c r="S63" s="1537"/>
      <c r="T63" s="2583"/>
      <c r="U63" s="2569"/>
      <c r="V63" s="2569"/>
      <c r="W63" s="2569"/>
      <c r="X63" s="2569"/>
      <c r="Y63" s="2569"/>
      <c r="Z63" s="2569"/>
      <c r="AA63" s="2569"/>
      <c r="AB63" s="2569"/>
      <c r="AC63" s="2569"/>
      <c r="AD63" s="2569"/>
      <c r="AE63" s="2569"/>
      <c r="AF63" s="2569"/>
      <c r="AG63" s="2569"/>
      <c r="AH63" s="2569"/>
      <c r="AI63" s="2569"/>
      <c r="AJ63" s="2569"/>
      <c r="AK63" s="2569"/>
      <c r="AL63" s="2569"/>
      <c r="AM63" s="2569"/>
      <c r="AS63" s="1439">
        <v>14</v>
      </c>
    </row>
    <row customHeight="1" ht="14.699999999999998">
      <c r="O64" s="821"/>
      <c r="T64" s="2569"/>
      <c r="U64" s="2569"/>
      <c r="V64" s="2569"/>
      <c r="W64" s="2569"/>
      <c r="X64" s="2569"/>
      <c r="Y64" s="2569"/>
      <c r="Z64" s="2569"/>
      <c r="AA64" s="2569"/>
      <c r="AB64" s="2569"/>
      <c r="AC64" s="2569"/>
      <c r="AD64" s="2569"/>
      <c r="AE64" s="2569"/>
      <c r="AF64" s="2569"/>
      <c r="AG64" s="2569"/>
      <c r="AH64" s="2569"/>
      <c r="AI64" s="2569"/>
      <c r="AJ64" s="2569"/>
      <c r="AK64" s="2569"/>
      <c r="AL64" s="2569"/>
      <c r="AM64" s="2569"/>
      <c r="AS64" s="1439">
        <v>14</v>
      </c>
    </row>
    <row customHeight="1" ht="14.699999999999998">
      <c r="T65" s="2569"/>
      <c r="U65" s="2569"/>
      <c r="V65" s="2569"/>
      <c r="W65" s="2569"/>
      <c r="X65" s="2569"/>
      <c r="Y65" s="2569"/>
      <c r="Z65" s="2569"/>
      <c r="AA65" s="2569"/>
      <c r="AB65" s="2569"/>
      <c r="AC65" s="2569"/>
      <c r="AD65" s="2569"/>
      <c r="AE65" s="2569"/>
      <c r="AF65" s="2569"/>
      <c r="AG65" s="2569"/>
      <c r="AH65" s="2569"/>
      <c r="AI65" s="2569"/>
      <c r="AJ65" s="2569"/>
      <c r="AK65" s="2569"/>
      <c r="AL65" s="2569"/>
      <c r="AM65" s="2569"/>
      <c r="AS65" s="1439">
        <v>14</v>
      </c>
    </row>
    <row customHeight="1" ht="22.5" hidden="1">
      <c r="A66" s="1444" t="s">
        <v>83</v>
      </c>
      <c r="B66" s="1444">
        <v>0</v>
      </c>
      <c r="C66" s="1444">
        <v>0</v>
      </c>
      <c r="D66" s="1444">
        <v>0</v>
      </c>
      <c r="E66" s="1444">
        <v>0</v>
      </c>
      <c r="F66" s="1444">
        <v>0</v>
      </c>
      <c r="G66" s="1444">
        <v>0</v>
      </c>
      <c r="H66" s="1444">
        <v>0</v>
      </c>
      <c r="I66" s="1444">
        <v>0</v>
      </c>
      <c r="J66" s="1444">
        <v>0</v>
      </c>
      <c r="K66" s="1444">
        <v>0</v>
      </c>
      <c r="L66" s="1613">
        <v>0</v>
      </c>
      <c r="M66" s="1646">
        <v>0</v>
      </c>
      <c r="N66" s="1646">
        <v>0</v>
      </c>
      <c r="O66" s="1646">
        <v>0</v>
      </c>
      <c r="P66" s="1612">
        <v>0</v>
      </c>
      <c r="Q66" s="628">
        <v>3</v>
      </c>
      <c r="R66" s="628">
        <v>3</v>
      </c>
      <c r="S66" s="865">
        <v>12</v>
      </c>
      <c r="T66" s="1439">
        <v>31</v>
      </c>
      <c r="U66" s="1439">
        <v>0</v>
      </c>
      <c r="V66" s="1439">
        <v>0</v>
      </c>
      <c r="W66" s="1439">
        <v>0</v>
      </c>
      <c r="X66" s="1439">
        <v>0</v>
      </c>
      <c r="Y66" s="1439">
        <v>0</v>
      </c>
      <c r="Z66" s="1439">
        <v>0</v>
      </c>
      <c r="AA66" s="1439">
        <v>0</v>
      </c>
      <c r="AB66" s="1439">
        <v>0</v>
      </c>
      <c r="AC66" s="1439">
        <v>0</v>
      </c>
      <c r="AD66" s="1439">
        <v>24</v>
      </c>
      <c r="AE66" s="1439">
        <v>0</v>
      </c>
      <c r="AF66" s="1439">
        <v>24</v>
      </c>
      <c r="AG66" s="1439">
        <v>24</v>
      </c>
      <c r="AH66" s="1439">
        <v>11</v>
      </c>
      <c r="AI66" s="1439">
        <v>3</v>
      </c>
      <c r="AJ66" s="1439">
        <v>11</v>
      </c>
      <c r="AK66" s="1439">
        <v>0</v>
      </c>
      <c r="AL66" s="1439">
        <v>4</v>
      </c>
      <c r="AM66" s="1439">
        <v>115</v>
      </c>
      <c r="AN66" s="795">
        <v>10</v>
      </c>
      <c r="AO66" s="795">
        <v>10</v>
      </c>
      <c r="AP66" s="795">
        <v>10</v>
      </c>
      <c r="AQ66" s="795">
        <v>10</v>
      </c>
      <c r="AR66" s="795">
        <v>10</v>
      </c>
      <c r="AS66" s="1439">
        <v>23</v>
      </c>
    </row>
  </sheetData>
  <sheetProtection formatColumns="0" formatRows="0" autoFilter="0" sort="0" insertRows="0" insertColumns="1" deleteRows="0" deleteColumns="0"/>
  <mergeCells count="113">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83C40A8-DD6F-6888-38F5-B920969BACD1}" mc:Ignorable="x14ac xr xr2 xr3">
  <sheetPr>
    <tabColor theme="6" tint="0.4"/>
  </sheetPr>
  <dimension ref="A1:AW72"/>
  <sheetViews>
    <sheetView topLeftCell="A1" showGridLines="0" zoomScale="90" workbookViewId="0">
      <selection activeCell="A1" sqref="A1"/>
    </sheetView>
  </sheetViews>
  <sheetFormatPr defaultColWidth="10.57421875" customHeight="1" defaultRowHeight="14.25"/>
  <cols>
    <col min="1" max="1" style="14077" width="10.57421875" hidden="1"/>
    <col min="2" max="2" style="14077" width="11.00390625" hidden="1" customWidth="1"/>
    <col min="3" max="3" style="14077" width="10.57421875" hidden="1"/>
    <col min="4" max="4" style="14077" width="11.8515625" hidden="1" customWidth="1"/>
    <col min="5" max="5" style="14077" width="10.00390625" hidden="1" customWidth="1"/>
    <col min="6" max="6" style="14077" width="8.7109375" hidden="1" customWidth="1"/>
    <col min="7" max="7" style="14077" width="7.57421875" hidden="1" customWidth="1"/>
    <col min="8" max="8" style="14077" width="11.421875" hidden="1" customWidth="1"/>
    <col min="9" max="9" style="14077" width="12.00390625" hidden="1" customWidth="1"/>
    <col min="10" max="10" style="14077" width="9.8515625" hidden="1" customWidth="1"/>
    <col min="11" max="12" style="14077" width="11.421875" hidden="1" customWidth="1"/>
    <col min="13" max="13" style="14155" width="19.140625" hidden="1" customWidth="1"/>
    <col min="14" max="15" style="14976" width="12.28125" hidden="1" customWidth="1"/>
    <col min="16" max="16" style="14976" width="23.421875" hidden="1" customWidth="1"/>
    <col min="17" max="17" style="14976" width="3.7109375" hidden="1" customWidth="1"/>
    <col min="18" max="20" style="14977" width="3.00390625" customWidth="1"/>
    <col min="21" max="21" style="14978" width="12.00390625" customWidth="1"/>
    <col min="22" max="22" style="14077" width="31.00390625" customWidth="1"/>
    <col min="23" max="23" style="14077" width="0.140625" customWidth="1"/>
    <col min="24" max="28" style="14077" width="21.7109375" hidden="1" customWidth="1"/>
    <col min="29" max="29" style="14077" width="11.7109375" hidden="1" customWidth="1"/>
    <col min="30" max="30" style="14077" width="3.7109375" hidden="1" customWidth="1"/>
    <col min="31" max="31" style="14077" width="11.7109375" hidden="1" customWidth="1"/>
    <col min="32" max="32" style="14077" width="8.57421875" hidden="1" customWidth="1"/>
    <col min="33" max="33" style="14077" width="21.7109375" customWidth="1"/>
    <col min="34" max="37" style="14077" width="21.00390625" customWidth="1"/>
    <col min="38" max="38" style="14077" width="11.00390625" customWidth="1"/>
    <col min="39" max="39" style="14077" width="3.7109375" customWidth="1"/>
    <col min="40" max="40" style="14077" width="11.00390625" customWidth="1"/>
    <col min="41" max="41" style="14077" width="8.57421875" hidden="1" customWidth="1"/>
    <col min="42" max="42" style="14077" width="4.00390625" customWidth="1"/>
    <col min="43" max="43" style="14077" width="115.00390625" customWidth="1"/>
    <col min="44" max="48" style="14158" width="10.00390625" customWidth="1"/>
    <col min="49" max="49" style="14077" width="10.57421875" hidden="1"/>
  </cols>
  <sheetData>
    <row customHeight="1" ht="22.5" hidden="1">
      <c r="AB1" s="611"/>
      <c r="AC1" s="611"/>
      <c r="AK1" s="611"/>
      <c r="AL1" s="611"/>
      <c r="AW1" s="1439" t="s">
        <v>14</v>
      </c>
    </row>
    <row customHeight="1" ht="21" hidden="1">
      <c r="A2" s="1551"/>
      <c r="B2" s="1551"/>
      <c r="C2" s="1551"/>
      <c r="D2" s="1551"/>
      <c r="E2" s="2573">
        <v>1</v>
      </c>
      <c r="F2" s="1551"/>
      <c r="G2" s="1551"/>
      <c r="H2" s="1551"/>
      <c r="I2" s="1551"/>
      <c r="J2" s="1551"/>
      <c r="K2" s="1551"/>
      <c r="L2" s="1551"/>
      <c r="M2" s="1594"/>
      <c r="N2" s="972"/>
      <c r="O2" s="972"/>
      <c r="P2" s="972"/>
      <c r="Q2" s="645"/>
      <c r="R2" s="644"/>
      <c r="S2" s="644"/>
      <c r="T2" s="639"/>
      <c r="U2" s="1620">
        <f>INDEX(PT_DIFFERENTIATION_NUM_NTAR,MATCH(A2,PT_DIFFERENTIATION_NTAR_ID,0))</f>
      </c>
      <c r="V2" s="582" t="s">
        <v>124</v>
      </c>
      <c r="W2" s="584"/>
      <c r="X2" s="2526"/>
      <c r="Y2" s="2527"/>
      <c r="Z2" s="2527"/>
      <c r="AA2" s="2527"/>
      <c r="AB2" s="2527"/>
      <c r="AC2" s="2527"/>
      <c r="AD2" s="2527"/>
      <c r="AE2" s="2527"/>
      <c r="AF2" s="2528"/>
      <c r="AG2" s="2526">
        <f>INDEX(PT_DIFFERENTIATION_NTAR,MATCH(A2,PT_DIFFERENTIATION_NTAR_ID,0))</f>
      </c>
      <c r="AH2" s="2527"/>
      <c r="AI2" s="2527"/>
      <c r="AJ2" s="2527"/>
      <c r="AK2" s="2527"/>
      <c r="AL2" s="2527"/>
      <c r="AM2" s="2527"/>
      <c r="AN2" s="2527"/>
      <c r="AO2" s="2527"/>
      <c r="AP2" s="2528"/>
      <c r="AQ2" s="1542" t="s">
        <v>401</v>
      </c>
      <c r="AS2" s="784"/>
      <c r="AT2" s="784" t="str">
        <f>IF(V2="","",V2)</f>
        <v>Наименование тарифа</v>
      </c>
      <c r="AU2" s="784"/>
      <c r="AV2" s="784"/>
      <c r="AW2" s="1439">
        <v>0</v>
      </c>
    </row>
    <row customHeight="1" ht="21" hidden="1">
      <c r="A3" s="1551"/>
      <c r="B3" s="1551"/>
      <c r="C3" s="1551"/>
      <c r="D3" s="1551"/>
      <c r="E3" s="2574"/>
      <c r="F3" s="2573">
        <v>1</v>
      </c>
      <c r="G3" s="1551"/>
      <c r="H3" s="1551"/>
      <c r="I3" s="1551"/>
      <c r="J3" s="1551"/>
      <c r="K3" s="1551"/>
      <c r="L3" s="1551"/>
      <c r="M3" s="1594"/>
      <c r="N3" s="972"/>
      <c r="O3" s="972"/>
      <c r="P3" s="972"/>
      <c r="Q3" s="1616"/>
      <c r="R3" s="636"/>
      <c r="S3" s="793"/>
      <c r="T3" s="637"/>
      <c r="U3" s="1620">
        <f>INDEX(PT_DIFFERENTIATION_NUM_TER,MATCH(B3,PT_DIFFERENTIATION_TER_ID,0))</f>
      </c>
      <c r="V3" s="592" t="s">
        <v>402</v>
      </c>
      <c r="W3" s="584"/>
      <c r="X3" s="2526"/>
      <c r="Y3" s="2527"/>
      <c r="Z3" s="2527"/>
      <c r="AA3" s="2527"/>
      <c r="AB3" s="2527"/>
      <c r="AC3" s="2527"/>
      <c r="AD3" s="2527"/>
      <c r="AE3" s="2527"/>
      <c r="AF3" s="2528"/>
      <c r="AG3" s="2526">
        <f>INDEX(PT_DIFFERENTIATION_TER,MATCH(B3,PT_DIFFERENTIATION_TER_ID,0))</f>
      </c>
      <c r="AH3" s="2527"/>
      <c r="AI3" s="2527"/>
      <c r="AJ3" s="2527"/>
      <c r="AK3" s="2527"/>
      <c r="AL3" s="2527"/>
      <c r="AM3" s="2527"/>
      <c r="AN3" s="2527"/>
      <c r="AO3" s="2527"/>
      <c r="AP3" s="2528"/>
      <c r="AQ3" s="1542" t="s">
        <v>403</v>
      </c>
      <c r="AS3" s="784"/>
      <c r="AT3" s="784" t="str">
        <f>IF(V3="","",V3)</f>
        <v>Территория действия тарифа</v>
      </c>
      <c r="AU3" s="784"/>
      <c r="AV3" s="784"/>
      <c r="AW3" s="1439">
        <v>0</v>
      </c>
    </row>
    <row customHeight="1" ht="22.5" hidden="1">
      <c r="A4" s="1551"/>
      <c r="B4" s="1551"/>
      <c r="C4" s="1551"/>
      <c r="D4" s="1551"/>
      <c r="E4" s="2574"/>
      <c r="F4" s="2574"/>
      <c r="G4" s="2573">
        <v>1</v>
      </c>
      <c r="H4" s="1551"/>
      <c r="I4" s="1551"/>
      <c r="J4" s="1551"/>
      <c r="K4" s="1551"/>
      <c r="L4" s="1551"/>
      <c r="M4" s="1594"/>
      <c r="N4" s="972"/>
      <c r="O4" s="972"/>
      <c r="P4" s="972"/>
      <c r="Q4" s="638"/>
      <c r="R4" s="636"/>
      <c r="S4" s="793"/>
      <c r="T4" s="637"/>
      <c r="U4" s="1620">
        <f>INDEX(PT_DIFFERENTIATION_NUM_CS,MATCH(C4,PT_DIFFERENTIATION_CS_ID,0))</f>
      </c>
      <c r="V4" s="593" t="s">
        <v>404</v>
      </c>
      <c r="W4" s="584"/>
      <c r="X4" s="2526"/>
      <c r="Y4" s="2527"/>
      <c r="Z4" s="2527"/>
      <c r="AA4" s="2527"/>
      <c r="AB4" s="2527"/>
      <c r="AC4" s="2527"/>
      <c r="AD4" s="2527"/>
      <c r="AE4" s="2527"/>
      <c r="AF4" s="2528"/>
      <c r="AG4" s="2526">
        <f>INDEX(PT_DIFFERENTIATION_CS,MATCH(C4,PT_DIFFERENTIATION_CS_ID,0))</f>
      </c>
      <c r="AH4" s="2527"/>
      <c r="AI4" s="2527"/>
      <c r="AJ4" s="2527"/>
      <c r="AK4" s="2527"/>
      <c r="AL4" s="2527"/>
      <c r="AM4" s="2527"/>
      <c r="AN4" s="2527"/>
      <c r="AO4" s="2527"/>
      <c r="AP4" s="2528"/>
      <c r="AQ4" s="1542" t="s">
        <v>405</v>
      </c>
      <c r="AS4" s="784"/>
      <c r="AT4" s="784" t="str">
        <f>IF(V4="","",V4)</f>
        <v>Наименование системы теплоснабжения </v>
      </c>
      <c r="AU4" s="784"/>
      <c r="AV4" s="784"/>
      <c r="AW4" s="1439">
        <v>0</v>
      </c>
    </row>
    <row customHeight="1" ht="21" hidden="1">
      <c r="A5" s="1551"/>
      <c r="B5" s="1551"/>
      <c r="C5" s="1551"/>
      <c r="D5" s="1551"/>
      <c r="E5" s="2574"/>
      <c r="F5" s="2574"/>
      <c r="G5" s="2574"/>
      <c r="H5" s="2573">
        <v>1</v>
      </c>
      <c r="I5" s="1551"/>
      <c r="J5" s="1551"/>
      <c r="K5" s="1551"/>
      <c r="L5" s="1551"/>
      <c r="M5" s="1594"/>
      <c r="N5" s="972"/>
      <c r="O5" s="972"/>
      <c r="P5" s="972"/>
      <c r="Q5" s="638"/>
      <c r="R5" s="636"/>
      <c r="S5" s="793"/>
      <c r="T5" s="637"/>
      <c r="U5" s="1620">
        <f>INDEX(PT_DIFFERENTIATION_NUM_IST_TE,MATCH(D5,PT_DIFFERENTIATION_IST_TE_ID,0))</f>
      </c>
      <c r="V5" s="594" t="s">
        <v>406</v>
      </c>
      <c r="W5" s="584"/>
      <c r="X5" s="2526"/>
      <c r="Y5" s="2527"/>
      <c r="Z5" s="2527"/>
      <c r="AA5" s="2527"/>
      <c r="AB5" s="2527"/>
      <c r="AC5" s="2527"/>
      <c r="AD5" s="2527"/>
      <c r="AE5" s="2527"/>
      <c r="AF5" s="2528"/>
      <c r="AG5" s="2526">
        <f>INDEX(PT_DIFFERENTIATION_IST_TE,MATCH(D5,PT_DIFFERENTIATION_IST_TE_ID,0))</f>
      </c>
      <c r="AH5" s="2527"/>
      <c r="AI5" s="2527"/>
      <c r="AJ5" s="2527"/>
      <c r="AK5" s="2527"/>
      <c r="AL5" s="2527"/>
      <c r="AM5" s="2527"/>
      <c r="AN5" s="2527"/>
      <c r="AO5" s="2527"/>
      <c r="AP5" s="2528"/>
      <c r="AQ5" s="1542" t="s">
        <v>407</v>
      </c>
      <c r="AS5" s="784"/>
      <c r="AT5" s="784" t="str">
        <f>IF(V5="","",V5)</f>
        <v>Источник тепловой энергии  </v>
      </c>
      <c r="AU5" s="784"/>
      <c r="AV5" s="784"/>
      <c r="AW5" s="1439">
        <v>0</v>
      </c>
    </row>
    <row customHeight="1" ht="14.25" hidden="1">
      <c r="A6" s="1551"/>
      <c r="B6" s="1551"/>
      <c r="C6" s="1551"/>
      <c r="D6" s="1551"/>
      <c r="E6" s="2574"/>
      <c r="F6" s="2574"/>
      <c r="G6" s="2574"/>
      <c r="H6" s="2574"/>
      <c r="I6" s="2411">
        <f>U5&amp;".1"</f>
      </c>
      <c r="J6" s="1551"/>
      <c r="K6" s="1551"/>
      <c r="L6" s="1551"/>
      <c r="M6" s="1594" t="s">
        <v>408</v>
      </c>
      <c r="N6" s="793"/>
      <c r="Q6" s="2541">
        <v>1</v>
      </c>
      <c r="R6" s="1615"/>
      <c r="S6" s="1615"/>
      <c r="T6" s="640"/>
      <c r="U6" s="1326"/>
      <c r="V6" s="1667"/>
      <c r="W6" s="1668"/>
      <c r="X6" s="2580"/>
      <c r="Y6" s="2581"/>
      <c r="Z6" s="2581"/>
      <c r="AA6" s="2581"/>
      <c r="AB6" s="2581"/>
      <c r="AC6" s="2581"/>
      <c r="AD6" s="2581"/>
      <c r="AE6" s="2581"/>
      <c r="AF6" s="2582"/>
      <c r="AG6" s="2580"/>
      <c r="AH6" s="2581"/>
      <c r="AI6" s="2581"/>
      <c r="AJ6" s="2581"/>
      <c r="AK6" s="2581"/>
      <c r="AL6" s="2581"/>
      <c r="AM6" s="2581"/>
      <c r="AN6" s="2581"/>
      <c r="AO6" s="2581"/>
      <c r="AP6" s="2582"/>
      <c r="AQ6" s="1669"/>
      <c r="AS6" s="784"/>
      <c r="AT6" s="784" t="str">
        <f>IF(V6="","",V6)</f>
        <v/>
      </c>
      <c r="AU6" s="784"/>
      <c r="AV6" s="784"/>
      <c r="AW6" s="1439">
        <v>0</v>
      </c>
    </row>
    <row customHeight="1" ht="21" hidden="1">
      <c r="A7" s="1551"/>
      <c r="B7" s="1551"/>
      <c r="C7" s="1551"/>
      <c r="D7" s="1551"/>
      <c r="E7" s="2574"/>
      <c r="F7" s="2574"/>
      <c r="G7" s="2574"/>
      <c r="H7" s="2574"/>
      <c r="I7" s="2385"/>
      <c r="J7" s="2411">
        <f>I6&amp;".1"</f>
      </c>
      <c r="K7" s="1551"/>
      <c r="L7" s="1551"/>
      <c r="M7" s="1594" t="s">
        <v>411</v>
      </c>
      <c r="N7" s="793"/>
      <c r="O7" s="611"/>
      <c r="Q7" s="2541"/>
      <c r="R7" s="2541">
        <v>1</v>
      </c>
      <c r="S7" s="802"/>
      <c r="T7" s="641"/>
      <c r="U7" s="1620">
        <f>$J7</f>
      </c>
      <c r="V7" s="570" t="s">
        <v>412</v>
      </c>
      <c r="W7" s="584"/>
      <c r="X7" s="2529"/>
      <c r="Y7" s="2530"/>
      <c r="Z7" s="2530"/>
      <c r="AA7" s="2530"/>
      <c r="AB7" s="2530"/>
      <c r="AC7" s="2519"/>
      <c r="AD7" s="2519"/>
      <c r="AE7" s="2519"/>
      <c r="AF7" s="2592"/>
      <c r="AG7" s="2529"/>
      <c r="AH7" s="2530"/>
      <c r="AI7" s="2530"/>
      <c r="AJ7" s="2530"/>
      <c r="AK7" s="2530"/>
      <c r="AL7" s="2530"/>
      <c r="AM7" s="2530"/>
      <c r="AN7" s="2530"/>
      <c r="AO7" s="2530"/>
      <c r="AP7" s="2531"/>
      <c r="AQ7" s="1542" t="s">
        <v>413</v>
      </c>
      <c r="AS7" s="784"/>
      <c r="AT7" s="784" t="str">
        <f>IF(V7="","",V7)</f>
        <v>Группа потребителей</v>
      </c>
      <c r="AU7" s="784"/>
      <c r="AV7" s="784"/>
      <c r="AW7" s="1439">
        <v>0</v>
      </c>
    </row>
    <row customHeight="1" ht="21" hidden="1">
      <c r="A8" s="1551"/>
      <c r="B8" s="1551"/>
      <c r="C8" s="1551"/>
      <c r="D8" s="1551"/>
      <c r="E8" s="2574"/>
      <c r="F8" s="2574"/>
      <c r="G8" s="2574"/>
      <c r="H8" s="2574"/>
      <c r="I8" s="2385"/>
      <c r="J8" s="2385"/>
      <c r="K8" s="2411">
        <f>J7&amp;".1"</f>
      </c>
      <c r="L8" s="423"/>
      <c r="M8" s="1594" t="s">
        <v>414</v>
      </c>
      <c r="N8" s="793"/>
      <c r="O8" s="611"/>
      <c r="P8" s="611"/>
      <c r="Q8" s="2541"/>
      <c r="R8" s="2541"/>
      <c r="S8" s="2541">
        <v>1</v>
      </c>
      <c r="T8" s="641"/>
      <c r="U8" s="1620">
        <f>$K8</f>
      </c>
      <c r="V8" s="1631"/>
      <c r="W8" s="584"/>
      <c r="X8" s="1035"/>
      <c r="Y8" s="1035"/>
      <c r="Z8" s="1035"/>
      <c r="AA8" s="1035"/>
      <c r="AB8" s="1689"/>
      <c r="AC8" s="2549"/>
      <c r="AD8" s="2391" t="s">
        <v>67</v>
      </c>
      <c r="AE8" s="2549"/>
      <c r="AF8" s="2391" t="s">
        <v>67</v>
      </c>
      <c r="AG8" s="1691"/>
      <c r="AH8" s="1035"/>
      <c r="AI8" s="1035"/>
      <c r="AJ8" s="1035"/>
      <c r="AK8" s="1541"/>
      <c r="AL8" s="2549"/>
      <c r="AM8" s="2391" t="s">
        <v>67</v>
      </c>
      <c r="AN8" s="2549"/>
      <c r="AO8" s="2391" t="s">
        <v>67</v>
      </c>
      <c r="AP8" s="609"/>
      <c r="AQ8" s="1591" t="s">
        <v>460</v>
      </c>
      <c r="AR8" s="795">
        <f>STRCHECKDATE(X10:AP10)</f>
      </c>
      <c r="AS8" s="784"/>
      <c r="AT8" s="784" t="str">
        <f>IF(V8="","",V8)</f>
        <v/>
      </c>
      <c r="AU8" s="784"/>
      <c r="AV8" s="784"/>
      <c r="AW8" s="1439">
        <v>0</v>
      </c>
    </row>
    <row customHeight="1" ht="21" hidden="1">
      <c r="A9" s="1551"/>
      <c r="B9" s="1551"/>
      <c r="C9" s="1551"/>
      <c r="D9" s="1551"/>
      <c r="E9" s="2574"/>
      <c r="F9" s="2574"/>
      <c r="G9" s="2574"/>
      <c r="H9" s="2574"/>
      <c r="I9" s="2385"/>
      <c r="J9" s="2385"/>
      <c r="K9" s="2385"/>
      <c r="L9" s="2411">
        <f>K8&amp;".1"</f>
      </c>
      <c r="M9" s="1594"/>
      <c r="N9" s="793"/>
      <c r="O9" s="611"/>
      <c r="P9" s="611"/>
      <c r="Q9" s="2541"/>
      <c r="R9" s="2541"/>
      <c r="S9" s="2541"/>
      <c r="T9" s="641"/>
      <c r="U9" s="1620">
        <f>$L9</f>
      </c>
      <c r="V9" s="1675"/>
      <c r="W9" s="584"/>
      <c r="X9" s="609"/>
      <c r="Y9" s="1035"/>
      <c r="Z9" s="1035"/>
      <c r="AA9" s="1035"/>
      <c r="AB9" s="1689"/>
      <c r="AC9" s="2593"/>
      <c r="AD9" s="2391"/>
      <c r="AE9" s="2593"/>
      <c r="AF9" s="2391"/>
      <c r="AG9" s="1691"/>
      <c r="AH9" s="1035"/>
      <c r="AI9" s="1035"/>
      <c r="AJ9" s="1035"/>
      <c r="AK9" s="1541"/>
      <c r="AL9" s="2593"/>
      <c r="AM9" s="2391"/>
      <c r="AN9" s="2593"/>
      <c r="AO9" s="2391"/>
      <c r="AP9" s="609"/>
      <c r="AQ9" s="2537" t="s">
        <v>461</v>
      </c>
      <c r="AS9" s="784"/>
      <c r="AT9" s="784"/>
      <c r="AU9" s="784"/>
      <c r="AV9" s="784"/>
      <c r="AW9" s="1439">
        <v>0</v>
      </c>
    </row>
    <row customHeight="1" ht="14.25" hidden="1">
      <c r="A10" s="1551"/>
      <c r="B10" s="1551"/>
      <c r="C10" s="1551"/>
      <c r="D10" s="1551"/>
      <c r="E10" s="2574"/>
      <c r="F10" s="2574"/>
      <c r="G10" s="2574"/>
      <c r="H10" s="2574"/>
      <c r="I10" s="2385"/>
      <c r="J10" s="2385"/>
      <c r="K10" s="2385"/>
      <c r="L10" s="2411"/>
      <c r="M10" s="1594"/>
      <c r="N10" s="793"/>
      <c r="O10" s="611"/>
      <c r="P10" s="611"/>
      <c r="Q10" s="2541"/>
      <c r="R10" s="2541"/>
      <c r="S10" s="2541"/>
      <c r="T10" s="641"/>
      <c r="U10" s="1626"/>
      <c r="V10" s="584"/>
      <c r="W10" s="584"/>
      <c r="X10" s="609"/>
      <c r="Y10" s="609"/>
      <c r="Z10" s="609"/>
      <c r="AA10" s="609"/>
      <c r="AB10" s="1690" t="str">
        <f>AC8&amp;"-"&amp;AE8</f>
        <v>-</v>
      </c>
      <c r="AC10" s="2593"/>
      <c r="AD10" s="2391"/>
      <c r="AE10" s="2593"/>
      <c r="AF10" s="2391"/>
      <c r="AG10" s="1666"/>
      <c r="AH10" s="609"/>
      <c r="AI10" s="609"/>
      <c r="AJ10" s="609"/>
      <c r="AK10" s="612" t="str">
        <f>AL8&amp;"-"&amp;AN8</f>
        <v>-</v>
      </c>
      <c r="AL10" s="2593"/>
      <c r="AM10" s="2391"/>
      <c r="AN10" s="2593"/>
      <c r="AO10" s="2391"/>
      <c r="AP10" s="609"/>
      <c r="AQ10" s="2538"/>
      <c r="AS10" s="784"/>
      <c r="AT10" s="784" t="str">
        <f>IF(V10="","",V10)</f>
        <v/>
      </c>
      <c r="AU10" s="784"/>
      <c r="AV10" s="784"/>
      <c r="AW10" s="1439">
        <v>0</v>
      </c>
    </row>
    <row customHeight="1" ht="11.25" hidden="1">
      <c r="A11" s="1551"/>
      <c r="B11" s="1551"/>
      <c r="C11" s="1551"/>
      <c r="D11" s="1551"/>
      <c r="E11" s="2574"/>
      <c r="F11" s="2574"/>
      <c r="G11" s="2574"/>
      <c r="H11" s="2574"/>
      <c r="I11" s="2385"/>
      <c r="J11" s="2385"/>
      <c r="K11" s="2411"/>
      <c r="L11" s="1551"/>
      <c r="M11" s="1594"/>
      <c r="N11" s="793"/>
      <c r="O11" s="611"/>
      <c r="P11" s="611"/>
      <c r="Q11" s="2541"/>
      <c r="R11" s="2541"/>
      <c r="S11" s="2541"/>
      <c r="T11" s="641"/>
      <c r="U11" s="1562"/>
      <c r="V11" s="572" t="s">
        <v>462</v>
      </c>
      <c r="W11" s="1676"/>
      <c r="X11" s="1677"/>
      <c r="Y11" s="1677"/>
      <c r="Z11" s="1677"/>
      <c r="AA11" s="1677"/>
      <c r="AB11" s="1678"/>
      <c r="AC11" s="2593"/>
      <c r="AD11" s="2391"/>
      <c r="AE11" s="2593"/>
      <c r="AF11" s="2391"/>
      <c r="AG11" s="1677"/>
      <c r="AH11" s="1677"/>
      <c r="AI11" s="1677"/>
      <c r="AJ11" s="1677"/>
      <c r="AK11" s="1678"/>
      <c r="AL11" s="2593"/>
      <c r="AM11" s="2391"/>
      <c r="AN11" s="2593"/>
      <c r="AO11" s="2391"/>
      <c r="AP11" s="1679"/>
      <c r="AQ11" s="2538"/>
      <c r="AS11" s="784"/>
      <c r="AT11" s="784"/>
      <c r="AU11" s="784"/>
      <c r="AV11" s="784"/>
      <c r="AW11" s="1439">
        <v>0</v>
      </c>
    </row>
    <row customHeight="1" ht="15" hidden="1">
      <c r="A12" s="1551"/>
      <c r="B12" s="1551"/>
      <c r="C12" s="1551"/>
      <c r="D12" s="1551"/>
      <c r="E12" s="2574"/>
      <c r="F12" s="2574"/>
      <c r="G12" s="2574"/>
      <c r="H12" s="2574"/>
      <c r="I12" s="2385"/>
      <c r="J12" s="2411"/>
      <c r="K12" s="1551"/>
      <c r="L12" s="1551"/>
      <c r="M12" s="1594"/>
      <c r="N12" s="793"/>
      <c r="O12" s="611"/>
      <c r="Q12" s="2541"/>
      <c r="R12" s="2541"/>
      <c r="S12" s="1615"/>
      <c r="T12" s="640"/>
      <c r="U12" s="1562"/>
      <c r="V12" s="571" t="s">
        <v>416</v>
      </c>
      <c r="W12" s="651"/>
      <c r="X12" s="651"/>
      <c r="Y12" s="651"/>
      <c r="Z12" s="651"/>
      <c r="AA12" s="651"/>
      <c r="AB12" s="651"/>
      <c r="AC12" s="1692"/>
      <c r="AD12" s="1692"/>
      <c r="AE12" s="1692"/>
      <c r="AF12" s="1692"/>
      <c r="AG12" s="651"/>
      <c r="AH12" s="651"/>
      <c r="AI12" s="651"/>
      <c r="AJ12" s="651"/>
      <c r="AK12" s="651"/>
      <c r="AL12" s="651"/>
      <c r="AM12" s="651"/>
      <c r="AN12" s="651"/>
      <c r="AO12" s="651"/>
      <c r="AP12" s="608"/>
      <c r="AQ12" s="2539"/>
      <c r="AS12" s="784"/>
      <c r="AT12" s="784" t="str">
        <f>IF(V12="","",V12)</f>
        <v>Добавить вид теплоносителя (параметры теплоносителя)</v>
      </c>
      <c r="AU12" s="784"/>
      <c r="AV12" s="784"/>
      <c r="AW12" s="1439">
        <v>0</v>
      </c>
    </row>
    <row customHeight="1" ht="11.25" hidden="1">
      <c r="A13" s="1551"/>
      <c r="B13" s="1551"/>
      <c r="C13" s="1551"/>
      <c r="D13" s="1551"/>
      <c r="E13" s="2574"/>
      <c r="F13" s="2574"/>
      <c r="G13" s="2574"/>
      <c r="H13" s="2574"/>
      <c r="I13" s="2411"/>
      <c r="J13" s="1551"/>
      <c r="K13" s="1551"/>
      <c r="L13" s="1551"/>
      <c r="M13" s="1594"/>
      <c r="N13" s="793"/>
      <c r="Q13" s="2541"/>
      <c r="R13" s="1615"/>
      <c r="S13" s="1615"/>
      <c r="T13" s="640"/>
      <c r="U13" s="1562"/>
      <c r="V13" s="649" t="s">
        <v>417</v>
      </c>
      <c r="W13" s="651"/>
      <c r="X13" s="651"/>
      <c r="Y13" s="651"/>
      <c r="Z13" s="651"/>
      <c r="AA13" s="651"/>
      <c r="AB13" s="651"/>
      <c r="AC13" s="651"/>
      <c r="AD13" s="651"/>
      <c r="AE13" s="651"/>
      <c r="AF13" s="650"/>
      <c r="AG13" s="651"/>
      <c r="AH13" s="651"/>
      <c r="AI13" s="651"/>
      <c r="AJ13" s="651"/>
      <c r="AK13" s="651"/>
      <c r="AL13" s="651"/>
      <c r="AM13" s="651"/>
      <c r="AN13" s="651"/>
      <c r="AO13" s="650"/>
      <c r="AP13" s="651"/>
      <c r="AQ13" s="587"/>
      <c r="AS13" s="784"/>
      <c r="AT13" s="784" t="str">
        <f>IF(V13="","",V13)</f>
        <v>Добавить группу потребителей</v>
      </c>
      <c r="AU13" s="784"/>
      <c r="AV13" s="784"/>
      <c r="AW13" s="1439">
        <v>0</v>
      </c>
    </row>
    <row customHeight="1" ht="14.25" hidden="1">
      <c r="A14" s="1551"/>
      <c r="B14" s="1551"/>
      <c r="C14" s="1551"/>
      <c r="D14" s="1551"/>
      <c r="E14" s="2574"/>
      <c r="F14" s="2574"/>
      <c r="G14" s="2574"/>
      <c r="H14" s="2573"/>
      <c r="I14" s="1551"/>
      <c r="J14" s="1551"/>
      <c r="K14" s="1551"/>
      <c r="L14" s="1551"/>
      <c r="M14" s="1594"/>
      <c r="N14" s="972"/>
      <c r="O14" s="972"/>
      <c r="P14" s="793"/>
      <c r="Q14" s="644"/>
      <c r="R14" s="659"/>
      <c r="S14" s="639"/>
      <c r="T14" s="644"/>
      <c r="U14" s="1670"/>
      <c r="V14" s="1671"/>
      <c r="W14" s="1672"/>
      <c r="X14" s="1672"/>
      <c r="Y14" s="1672"/>
      <c r="Z14" s="1672"/>
      <c r="AA14" s="1672"/>
      <c r="AB14" s="1672"/>
      <c r="AC14" s="1672"/>
      <c r="AD14" s="1672"/>
      <c r="AE14" s="1672"/>
      <c r="AF14" s="1672"/>
      <c r="AG14" s="1672"/>
      <c r="AH14" s="1672"/>
      <c r="AI14" s="1672"/>
      <c r="AJ14" s="1672"/>
      <c r="AK14" s="1672"/>
      <c r="AL14" s="1672"/>
      <c r="AM14" s="1672"/>
      <c r="AN14" s="1672"/>
      <c r="AO14" s="1672"/>
      <c r="AP14" s="1672"/>
      <c r="AQ14" s="1673"/>
      <c r="AS14" s="784"/>
      <c r="AT14" s="784" t="str">
        <f>IF(V14="","",V14)</f>
        <v/>
      </c>
      <c r="AU14" s="784"/>
      <c r="AV14" s="784"/>
      <c r="AW14" s="1439">
        <v>0</v>
      </c>
    </row>
    <row s="14158" customFormat="1" customHeight="1" ht="14.25" hidden="1">
      <c r="A15" s="1658"/>
      <c r="B15" s="1658"/>
      <c r="C15" s="1658"/>
      <c r="D15" s="1658"/>
      <c r="E15" s="2574"/>
      <c r="F15" s="2574"/>
      <c r="G15" s="2573"/>
      <c r="H15" s="1658"/>
      <c r="I15" s="1658"/>
      <c r="J15" s="1658"/>
      <c r="K15" s="1658"/>
      <c r="L15" s="1658"/>
      <c r="M15" s="1661"/>
      <c r="N15" s="1662"/>
      <c r="O15" s="1662"/>
      <c r="P15" s="635"/>
      <c r="Q15" s="1600"/>
      <c r="R15" s="1601"/>
      <c r="S15" s="1600"/>
      <c r="T15" s="1600"/>
      <c r="U15" s="1602"/>
      <c r="V15" s="1603" t="s">
        <v>169</v>
      </c>
      <c r="W15" s="1604"/>
      <c r="X15" s="1604"/>
      <c r="Y15" s="1604"/>
      <c r="Z15" s="1604"/>
      <c r="AA15" s="1604"/>
      <c r="AB15" s="1604"/>
      <c r="AC15" s="1604"/>
      <c r="AD15" s="1604"/>
      <c r="AE15" s="1604"/>
      <c r="AF15" s="1604"/>
      <c r="AG15" s="1604"/>
      <c r="AH15" s="1604"/>
      <c r="AI15" s="1604"/>
      <c r="AJ15" s="1604"/>
      <c r="AK15" s="1604"/>
      <c r="AL15" s="1604"/>
      <c r="AM15" s="1604"/>
      <c r="AN15" s="1604"/>
      <c r="AO15" s="1604"/>
      <c r="AP15" s="1604"/>
      <c r="AQ15" s="1604"/>
      <c r="AS15" s="1073"/>
      <c r="AT15" s="1073" t="str">
        <f>IF(V15="","",V15)</f>
        <v>Добавить источник для дифференциации</v>
      </c>
      <c r="AU15" s="1073"/>
      <c r="AV15" s="1073"/>
      <c r="AW15" s="802">
        <v>0</v>
      </c>
    </row>
    <row s="14158" customFormat="1" customHeight="1" ht="14.25" hidden="1">
      <c r="A16" s="1658"/>
      <c r="B16" s="1658"/>
      <c r="C16" s="1658"/>
      <c r="D16" s="1658"/>
      <c r="E16" s="2574"/>
      <c r="F16" s="2573"/>
      <c r="G16" s="1658"/>
      <c r="H16" s="1658"/>
      <c r="I16" s="1658"/>
      <c r="J16" s="1658"/>
      <c r="K16" s="1658"/>
      <c r="L16" s="1658"/>
      <c r="M16" s="1661"/>
      <c r="N16" s="1663"/>
      <c r="O16" s="1663"/>
      <c r="P16" s="635"/>
      <c r="Q16" s="1600"/>
      <c r="R16" s="1601"/>
      <c r="S16" s="1600"/>
      <c r="T16" s="1600"/>
      <c r="U16" s="1606"/>
      <c r="V16" s="1607" t="s">
        <v>170</v>
      </c>
      <c r="W16" s="1608"/>
      <c r="X16" s="1608"/>
      <c r="Y16" s="1608"/>
      <c r="Z16" s="1608"/>
      <c r="AA16" s="1608"/>
      <c r="AB16" s="1608"/>
      <c r="AC16" s="1608"/>
      <c r="AD16" s="1608"/>
      <c r="AE16" s="1608"/>
      <c r="AF16" s="1608"/>
      <c r="AG16" s="1608"/>
      <c r="AH16" s="1608"/>
      <c r="AI16" s="1608"/>
      <c r="AJ16" s="1608"/>
      <c r="AK16" s="1608"/>
      <c r="AL16" s="1608"/>
      <c r="AM16" s="1608"/>
      <c r="AN16" s="1608"/>
      <c r="AO16" s="1608"/>
      <c r="AP16" s="1608"/>
      <c r="AQ16" s="1608"/>
      <c r="AS16" s="1073"/>
      <c r="AT16" s="1073" t="str">
        <f>IF(V16="","",V16)</f>
        <v>Добавить централизованную систему для дифференциации</v>
      </c>
      <c r="AU16" s="1073"/>
      <c r="AV16" s="1073"/>
      <c r="AW16" s="802">
        <v>0</v>
      </c>
    </row>
    <row s="14158" customFormat="1" customHeight="1" ht="14.25" hidden="1">
      <c r="A17" s="1658"/>
      <c r="B17" s="1658"/>
      <c r="C17" s="1658"/>
      <c r="D17" s="1658"/>
      <c r="E17" s="2573"/>
      <c r="F17" s="1658"/>
      <c r="G17" s="1658"/>
      <c r="H17" s="1658"/>
      <c r="I17" s="1658"/>
      <c r="J17" s="1658"/>
      <c r="K17" s="1658"/>
      <c r="L17" s="1658"/>
      <c r="M17" s="1661"/>
      <c r="N17" s="1663"/>
      <c r="O17" s="1663"/>
      <c r="P17" s="635"/>
      <c r="Q17" s="1600"/>
      <c r="R17" s="1601"/>
      <c r="S17" s="1600"/>
      <c r="T17" s="1600"/>
      <c r="U17" s="1606"/>
      <c r="V17" s="1609" t="s">
        <v>171</v>
      </c>
      <c r="W17" s="1608"/>
      <c r="X17" s="1608"/>
      <c r="Y17" s="1608"/>
      <c r="Z17" s="1608"/>
      <c r="AA17" s="1608"/>
      <c r="AB17" s="1608"/>
      <c r="AC17" s="1608"/>
      <c r="AD17" s="1608"/>
      <c r="AE17" s="1608"/>
      <c r="AF17" s="1608"/>
      <c r="AG17" s="1608"/>
      <c r="AH17" s="1608"/>
      <c r="AI17" s="1608"/>
      <c r="AJ17" s="1608"/>
      <c r="AK17" s="1608"/>
      <c r="AL17" s="1608"/>
      <c r="AM17" s="1608"/>
      <c r="AN17" s="1608"/>
      <c r="AO17" s="1608"/>
      <c r="AP17" s="1608"/>
      <c r="AQ17" s="1608"/>
      <c r="AS17" s="1073"/>
      <c r="AT17" s="1073" t="str">
        <f>IF(V17="","",V17)</f>
        <v>Добавить территорию для дифференциации</v>
      </c>
      <c r="AU17" s="1073"/>
      <c r="AV17" s="1073"/>
      <c r="AW17" s="802">
        <v>0</v>
      </c>
    </row>
    <row customHeight="1" ht="14.25" hidden="1">
      <c r="AF18" s="611"/>
      <c r="AO18" s="611"/>
      <c r="AW18" s="1439">
        <v>0</v>
      </c>
    </row>
    <row customHeight="1" ht="14.25" hidden="1">
      <c r="AG19" s="1644"/>
      <c r="AH19" s="1644"/>
      <c r="AI19" s="1644"/>
      <c r="AJ19" s="1644"/>
      <c r="AK19" s="1645"/>
      <c r="AL19" s="2551"/>
      <c r="AM19" s="2552" t="s">
        <v>67</v>
      </c>
      <c r="AN19" s="2551"/>
      <c r="AO19" s="2552" t="s">
        <v>67</v>
      </c>
      <c r="AW19" s="1439">
        <v>0</v>
      </c>
    </row>
    <row customHeight="1" ht="14.25" hidden="1">
      <c r="AG20" s="1644"/>
      <c r="AH20" s="1644"/>
      <c r="AI20" s="1644"/>
      <c r="AJ20" s="1644"/>
      <c r="AK20" s="1645"/>
      <c r="AL20" s="2551"/>
      <c r="AM20" s="2552"/>
      <c r="AN20" s="2551"/>
      <c r="AO20" s="2552"/>
      <c r="AW20" s="1439">
        <v>0</v>
      </c>
    </row>
    <row customHeight="1" ht="14.25" hidden="1">
      <c r="AG21" s="1644"/>
      <c r="AH21" s="1644"/>
      <c r="AI21" s="1644"/>
      <c r="AJ21" s="1644"/>
      <c r="AK21" s="1645"/>
      <c r="AL21" s="2551"/>
      <c r="AM21" s="2552"/>
      <c r="AN21" s="2551"/>
      <c r="AO21" s="2552"/>
      <c r="AW21" s="1439">
        <v>0</v>
      </c>
    </row>
    <row customHeight="1" ht="14.25" hidden="1">
      <c r="AG22" s="1644"/>
      <c r="AH22" s="1644"/>
      <c r="AI22" s="1644"/>
      <c r="AJ22" s="1644"/>
      <c r="AK22" s="612" t="str">
        <f>AL19&amp;"-"&amp;AN19</f>
        <v>-</v>
      </c>
      <c r="AL22" s="2552"/>
      <c r="AM22" s="2552"/>
      <c r="AN22" s="2552"/>
      <c r="AO22" s="2552"/>
      <c r="AW22" s="1439">
        <v>0</v>
      </c>
    </row>
    <row customHeight="1" ht="14.25" hidden="1">
      <c r="AO23" s="611"/>
      <c r="AW23" s="1439">
        <v>0</v>
      </c>
    </row>
    <row s="14157" customFormat="1" customHeight="1" ht="22.5" hidden="1">
      <c r="A24" s="1439"/>
      <c r="B24" s="1439"/>
      <c r="C24" s="1439"/>
      <c r="D24" s="1439"/>
      <c r="E24" s="1439"/>
      <c r="F24" s="1439"/>
      <c r="G24" s="1439"/>
      <c r="H24" s="1439"/>
      <c r="I24" s="1439"/>
      <c r="J24" s="1439"/>
      <c r="K24" s="1439"/>
      <c r="L24" s="1439"/>
      <c r="M24" s="1611"/>
      <c r="N24" s="1612"/>
      <c r="O24" s="1612"/>
      <c r="P24" s="1629" t="s">
        <v>419</v>
      </c>
      <c r="Q24" s="1646"/>
      <c r="R24" s="1655"/>
      <c r="S24" s="1655"/>
      <c r="T24" s="1655"/>
      <c r="U24" s="1013"/>
      <c r="AC24" s="1651"/>
      <c r="AE24" s="1651"/>
      <c r="AF24" s="1650"/>
      <c r="AL24" s="1651"/>
      <c r="AN24" s="1651"/>
      <c r="AO24" s="1650"/>
      <c r="AR24" s="795"/>
      <c r="AS24" s="795"/>
      <c r="AT24" s="795"/>
      <c r="AU24" s="795"/>
      <c r="AV24" s="795"/>
      <c r="AW24" s="1444">
        <v>0</v>
      </c>
    </row>
    <row s="14157" customFormat="1" customHeight="1" ht="14.25" hidden="1">
      <c r="A25" s="1439"/>
      <c r="B25" s="1439"/>
      <c r="C25" s="1439"/>
      <c r="D25" s="1439"/>
      <c r="E25" s="1439"/>
      <c r="F25" s="1439"/>
      <c r="G25" s="1439"/>
      <c r="H25" s="1439"/>
      <c r="I25" s="1439"/>
      <c r="J25" s="1439"/>
      <c r="K25" s="1439"/>
      <c r="L25" s="1439"/>
      <c r="M25" s="1611"/>
      <c r="N25" s="1612"/>
      <c r="O25" s="1612"/>
      <c r="P25" s="1612"/>
      <c r="Q25" s="1646"/>
      <c r="R25" s="1655"/>
      <c r="S25" s="1655"/>
      <c r="T25" s="1655"/>
      <c r="U25" s="1013"/>
      <c r="AF25" s="1650"/>
      <c r="AO25" s="1650"/>
      <c r="AR25" s="795"/>
      <c r="AS25" s="795"/>
      <c r="AT25" s="795"/>
      <c r="AU25" s="795"/>
      <c r="AV25" s="795"/>
      <c r="AW25" s="1444">
        <v>0</v>
      </c>
    </row>
    <row s="14157" customFormat="1" customHeight="1" ht="14.25" hidden="1">
      <c r="A26" s="1439"/>
      <c r="B26" s="1439"/>
      <c r="C26" s="1439"/>
      <c r="D26" s="1439"/>
      <c r="E26" s="1439"/>
      <c r="F26" s="1439"/>
      <c r="G26" s="1439"/>
      <c r="H26" s="1439"/>
      <c r="I26" s="1439"/>
      <c r="J26" s="1439"/>
      <c r="K26" s="1439"/>
      <c r="L26" s="1439"/>
      <c r="M26" s="1611"/>
      <c r="N26" s="1612"/>
      <c r="O26" s="1612"/>
      <c r="P26" s="1594" t="s">
        <v>420</v>
      </c>
      <c r="Q26" s="1646"/>
      <c r="R26" s="1655"/>
      <c r="S26" s="1655"/>
      <c r="T26" s="1655"/>
      <c r="U26" s="1013"/>
      <c r="V26" s="1444" t="s">
        <v>421</v>
      </c>
      <c r="AD26" s="470" t="s">
        <v>422</v>
      </c>
      <c r="AF26" s="470" t="s">
        <v>423</v>
      </c>
      <c r="AG26" s="1444" t="s">
        <v>421</v>
      </c>
      <c r="AM26" s="470" t="s">
        <v>424</v>
      </c>
      <c r="AO26" s="470" t="s">
        <v>423</v>
      </c>
      <c r="AR26" s="795"/>
      <c r="AS26" s="795"/>
      <c r="AT26" s="795"/>
      <c r="AU26" s="795"/>
      <c r="AV26" s="795"/>
      <c r="AW26" s="1444">
        <v>0</v>
      </c>
    </row>
    <row customHeight="1" ht="14.25" hidden="1">
      <c r="P27" s="1594"/>
      <c r="AW27" s="1439">
        <v>0</v>
      </c>
    </row>
    <row customHeight="1" ht="14.25" hidden="1">
      <c r="P28" s="1594"/>
      <c r="AW28" s="1439">
        <v>0</v>
      </c>
    </row>
    <row customHeight="1" ht="14.699999999999998">
      <c r="R29" s="660"/>
      <c r="S29" s="660"/>
      <c r="T29" s="660"/>
      <c r="U29" s="1559"/>
      <c r="V29" s="647"/>
      <c r="W29" s="647"/>
      <c r="X29" s="793"/>
      <c r="Y29" s="793"/>
      <c r="Z29" s="793"/>
      <c r="AA29" s="793"/>
      <c r="AB29" s="793"/>
      <c r="AC29" s="793"/>
      <c r="AD29" s="793"/>
      <c r="AE29" s="793"/>
      <c r="AF29" s="793"/>
      <c r="AG29" s="793"/>
      <c r="AH29" s="793"/>
      <c r="AI29" s="793"/>
      <c r="AJ29" s="793"/>
      <c r="AK29" s="793"/>
      <c r="AL29" s="793"/>
      <c r="AM29" s="793"/>
      <c r="AN29" s="793"/>
      <c r="AO29" s="793"/>
      <c r="AW29" s="1439">
        <v>14</v>
      </c>
    </row>
    <row customHeight="1" ht="56.699999999999996">
      <c r="R30" s="660"/>
      <c r="S30" s="660"/>
      <c r="T30" s="660"/>
      <c r="U30" s="2532" t="str">
        <f>IF(TEMPLATE_GROUP="P",PT_P_FORM_HEAT_6_NAME_FORM,PT_R_FORM_HEAT_23_NAME_FORM)</f>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532"/>
      <c r="W30" s="2532"/>
      <c r="X30" s="2532"/>
      <c r="Y30" s="2532"/>
      <c r="Z30" s="2532"/>
      <c r="AA30" s="2532"/>
      <c r="AB30" s="2532"/>
      <c r="AC30" s="2532"/>
      <c r="AD30" s="2532"/>
      <c r="AE30" s="2532"/>
      <c r="AF30" s="2532"/>
      <c r="AG30" s="2532"/>
      <c r="AH30" s="2532"/>
      <c r="AI30" s="2532"/>
      <c r="AJ30" s="2532"/>
      <c r="AK30" s="2532"/>
      <c r="AL30" s="2532"/>
      <c r="AM30" s="2532"/>
      <c r="AN30" s="2532"/>
      <c r="AO30" s="1527"/>
      <c r="AW30" s="1439">
        <v>54</v>
      </c>
    </row>
    <row customHeight="1" ht="14.699999999999998">
      <c r="R31" s="660"/>
      <c r="S31" s="660"/>
      <c r="T31" s="660"/>
      <c r="U31" s="2533" t="str">
        <f>IF(org=0,"Не определено",org)</f>
        <v>МУП г. Азова "Теплоэнерго"</v>
      </c>
      <c r="V31" s="2533"/>
      <c r="W31" s="2533"/>
      <c r="X31" s="2533"/>
      <c r="Y31" s="2533"/>
      <c r="Z31" s="2533"/>
      <c r="AA31" s="2533"/>
      <c r="AB31" s="2533"/>
      <c r="AC31" s="2533"/>
      <c r="AD31" s="2533"/>
      <c r="AE31" s="2533"/>
      <c r="AF31" s="2533"/>
      <c r="AG31" s="2533"/>
      <c r="AH31" s="2533"/>
      <c r="AI31" s="2533"/>
      <c r="AJ31" s="2533"/>
      <c r="AK31" s="2533"/>
      <c r="AL31" s="2533"/>
      <c r="AM31" s="2533"/>
      <c r="AN31" s="2533"/>
      <c r="AO31" s="1527"/>
      <c r="AW31" s="1439">
        <v>14</v>
      </c>
    </row>
    <row customHeight="1" ht="14.25" hidden="1">
      <c r="R32" s="660"/>
      <c r="S32" s="660"/>
      <c r="T32" s="660"/>
      <c r="U32" s="1559"/>
      <c r="V32" s="647"/>
      <c r="W32" s="647"/>
      <c r="X32" s="606"/>
      <c r="Y32" s="606"/>
      <c r="Z32" s="606"/>
      <c r="AA32" s="606"/>
      <c r="AB32" s="606"/>
      <c r="AC32" s="606"/>
      <c r="AD32" s="606"/>
      <c r="AE32" s="606"/>
      <c r="AF32" s="606"/>
      <c r="AG32" s="606"/>
      <c r="AH32" s="606"/>
      <c r="AI32" s="606"/>
      <c r="AJ32" s="606"/>
      <c r="AK32" s="606"/>
      <c r="AL32" s="606"/>
      <c r="AM32" s="606"/>
      <c r="AN32" s="606"/>
      <c r="AO32" s="606"/>
      <c r="AP32" s="793"/>
      <c r="AW32" s="1439">
        <v>0</v>
      </c>
    </row>
    <row s="14284" customFormat="1" customHeight="1" ht="25.5" hidden="1">
      <c r="A33" s="1532"/>
      <c r="B33" s="1532"/>
      <c r="C33" s="1532"/>
      <c r="D33" s="1532"/>
      <c r="E33" s="1532"/>
      <c r="F33" s="1532"/>
      <c r="G33" s="1532"/>
      <c r="H33" s="1532"/>
      <c r="I33" s="1532"/>
      <c r="J33" s="1532"/>
      <c r="K33" s="1532"/>
      <c r="L33" s="1532"/>
      <c r="M33" s="1664"/>
      <c r="N33" s="1532"/>
      <c r="O33" s="1532"/>
      <c r="P33" s="1532"/>
      <c r="U33" s="2534" t="s">
        <v>42</v>
      </c>
      <c r="V33" s="2534"/>
      <c r="W33" s="1656"/>
      <c r="X33" s="2535" t="str">
        <f>IF(TITLE_NAME_OR_PR_CHANGE="",IF(TITLE_NAME_OR_PR="","",TITLE_NAME_OR_PR),TITLE_NAME_OR_PR_CHANGE)</f>
        <v/>
      </c>
      <c r="Y33" s="2535"/>
      <c r="Z33" s="2535"/>
      <c r="AA33" s="2535"/>
      <c r="AB33" s="2535"/>
      <c r="AC33" s="2535"/>
      <c r="AD33" s="2535"/>
      <c r="AE33" s="2535"/>
      <c r="AF33" s="610"/>
      <c r="AG33" s="2535" t="str">
        <f>IF(TITLE_NAME_OR_PR_CHANGE="",IF(TITLE_NAME_OR_PR="","",TITLE_NAME_OR_PR),TITLE_NAME_OR_PR_CHANGE)</f>
        <v/>
      </c>
      <c r="AH33" s="2535"/>
      <c r="AI33" s="2535"/>
      <c r="AJ33" s="2535"/>
      <c r="AK33" s="2535"/>
      <c r="AL33" s="2535"/>
      <c r="AM33" s="2535"/>
      <c r="AN33" s="2535"/>
      <c r="AO33" s="610"/>
      <c r="AP33" s="610"/>
      <c r="AQ33" s="564"/>
      <c r="AR33" s="652"/>
      <c r="AS33" s="652"/>
      <c r="AT33" s="652"/>
      <c r="AU33" s="652"/>
      <c r="AV33" s="652"/>
      <c r="AW33" s="702">
        <v>0</v>
      </c>
    </row>
    <row s="14284" customFormat="1" customHeight="1" ht="18.75" hidden="1">
      <c r="A34" s="1532"/>
      <c r="B34" s="1532"/>
      <c r="C34" s="1532"/>
      <c r="D34" s="1532"/>
      <c r="E34" s="1532"/>
      <c r="F34" s="1532"/>
      <c r="G34" s="1532"/>
      <c r="H34" s="1532"/>
      <c r="I34" s="1532"/>
      <c r="J34" s="1532"/>
      <c r="K34" s="1532"/>
      <c r="L34" s="1532"/>
      <c r="M34" s="1664"/>
      <c r="N34" s="1532"/>
      <c r="O34" s="1532"/>
      <c r="P34" s="1532"/>
      <c r="U34" s="2534" t="s">
        <v>425</v>
      </c>
      <c r="V34" s="2534"/>
      <c r="W34" s="1656"/>
      <c r="X34" s="2548" t="str">
        <f>IF(TITLE_DATE_PR_CHANGE="",IF(TITLE_DATE_PR="","",TITLE_DATE_PR),TITLE_DATE_PR_CHANGE)</f>
        <v>45471</v>
      </c>
      <c r="Y34" s="2548"/>
      <c r="Z34" s="2548"/>
      <c r="AA34" s="2548"/>
      <c r="AB34" s="2548"/>
      <c r="AC34" s="2548"/>
      <c r="AD34" s="2548"/>
      <c r="AE34" s="2548"/>
      <c r="AF34" s="610"/>
      <c r="AG34" s="2548" t="str">
        <f>IF(TITLE_DATE_PR_CHANGE="",IF(TITLE_DATE_PR="","",TITLE_DATE_PR),TITLE_DATE_PR_CHANGE)</f>
        <v>45471</v>
      </c>
      <c r="AH34" s="2548"/>
      <c r="AI34" s="2548"/>
      <c r="AJ34" s="2548"/>
      <c r="AK34" s="2548"/>
      <c r="AL34" s="2548"/>
      <c r="AM34" s="2548"/>
      <c r="AN34" s="2548"/>
      <c r="AO34" s="610"/>
      <c r="AP34" s="610"/>
      <c r="AQ34" s="564"/>
      <c r="AR34" s="652"/>
      <c r="AS34" s="652"/>
      <c r="AT34" s="652"/>
      <c r="AU34" s="652"/>
      <c r="AV34" s="652"/>
      <c r="AW34" s="702">
        <v>0</v>
      </c>
    </row>
    <row s="14284" customFormat="1" customHeight="1" ht="18.75" hidden="1">
      <c r="A35" s="1532"/>
      <c r="B35" s="1532"/>
      <c r="C35" s="1532"/>
      <c r="D35" s="1532"/>
      <c r="E35" s="1532"/>
      <c r="F35" s="1532"/>
      <c r="G35" s="1532"/>
      <c r="H35" s="1532"/>
      <c r="I35" s="1532"/>
      <c r="J35" s="1532"/>
      <c r="K35" s="1532"/>
      <c r="L35" s="1532"/>
      <c r="M35" s="1664"/>
      <c r="N35" s="1532"/>
      <c r="O35" s="1532"/>
      <c r="P35" s="1532"/>
      <c r="U35" s="2534" t="s">
        <v>426</v>
      </c>
      <c r="V35" s="2534"/>
      <c r="W35" s="1656"/>
      <c r="X35" s="2535" t="str">
        <f>IF(TITLE_NUMBER_PR_CHANGE="",IF(TITLE_NUMBER_PR="","",TITLE_NUMBER_PR),TITLE_NUMBER_PR_CHANGE)</f>
        <v>50/18-01/261</v>
      </c>
      <c r="Y35" s="2535"/>
      <c r="Z35" s="2535"/>
      <c r="AA35" s="2535"/>
      <c r="AB35" s="2535"/>
      <c r="AC35" s="2535"/>
      <c r="AD35" s="2535"/>
      <c r="AE35" s="2535"/>
      <c r="AF35" s="610"/>
      <c r="AG35" s="2535" t="str">
        <f>IF(TITLE_NUMBER_PR_CHANGE="",IF(TITLE_NUMBER_PR="","",TITLE_NUMBER_PR),TITLE_NUMBER_PR_CHANGE)</f>
        <v>50/18-01/261</v>
      </c>
      <c r="AH35" s="2535"/>
      <c r="AI35" s="2535"/>
      <c r="AJ35" s="2535"/>
      <c r="AK35" s="2535"/>
      <c r="AL35" s="2535"/>
      <c r="AM35" s="2535"/>
      <c r="AN35" s="2535"/>
      <c r="AO35" s="610"/>
      <c r="AP35" s="610"/>
      <c r="AQ35" s="564"/>
      <c r="AR35" s="652"/>
      <c r="AS35" s="652"/>
      <c r="AT35" s="652"/>
      <c r="AU35" s="652"/>
      <c r="AV35" s="652"/>
      <c r="AW35" s="702">
        <v>0</v>
      </c>
    </row>
    <row s="14284" customFormat="1" customHeight="1" ht="18.75" hidden="1">
      <c r="A36" s="1532"/>
      <c r="B36" s="1532"/>
      <c r="C36" s="1532"/>
      <c r="D36" s="1532"/>
      <c r="E36" s="1532"/>
      <c r="F36" s="1532"/>
      <c r="G36" s="1532"/>
      <c r="H36" s="1532"/>
      <c r="I36" s="1532"/>
      <c r="J36" s="1532"/>
      <c r="K36" s="1532"/>
      <c r="L36" s="1532"/>
      <c r="M36" s="1664"/>
      <c r="N36" s="1532"/>
      <c r="O36" s="1532"/>
      <c r="P36" s="1532"/>
      <c r="U36" s="2534" t="s">
        <v>43</v>
      </c>
      <c r="V36" s="2534"/>
      <c r="W36" s="1656"/>
      <c r="X36" s="2535" t="str">
        <f>IF(TITLE_IST_PUB_CHANGE="",IF(TITLE_IST_PUB="","",TITLE_IST_PUB),TITLE_IST_PUB_CHANGE)</f>
        <v/>
      </c>
      <c r="Y36" s="2535"/>
      <c r="Z36" s="2535"/>
      <c r="AA36" s="2535"/>
      <c r="AB36" s="2535"/>
      <c r="AC36" s="2535"/>
      <c r="AD36" s="2535"/>
      <c r="AE36" s="2535"/>
      <c r="AF36" s="610"/>
      <c r="AG36" s="2535" t="str">
        <f>IF(TITLE_IST_PUB_CHANGE="",IF(TITLE_IST_PUB="","",TITLE_IST_PUB),TITLE_IST_PUB_CHANGE)</f>
        <v/>
      </c>
      <c r="AH36" s="2535"/>
      <c r="AI36" s="2535"/>
      <c r="AJ36" s="2535"/>
      <c r="AK36" s="2535"/>
      <c r="AL36" s="2535"/>
      <c r="AM36" s="2535"/>
      <c r="AN36" s="2535"/>
      <c r="AO36" s="610"/>
      <c r="AP36" s="610"/>
      <c r="AQ36" s="564"/>
      <c r="AR36" s="652"/>
      <c r="AS36" s="652"/>
      <c r="AT36" s="652"/>
      <c r="AU36" s="652"/>
      <c r="AV36" s="652"/>
      <c r="AW36" s="702">
        <v>0</v>
      </c>
    </row>
    <row customHeight="1" ht="14.25">
      <c r="R37" s="660"/>
      <c r="S37" s="660"/>
      <c r="T37" s="660"/>
      <c r="U37" s="1559"/>
      <c r="V37" s="647"/>
      <c r="W37" s="647"/>
      <c r="X37" s="606"/>
      <c r="Y37" s="606"/>
      <c r="Z37" s="606"/>
      <c r="AA37" s="606"/>
      <c r="AB37" s="606"/>
      <c r="AC37" s="606"/>
      <c r="AD37" s="606"/>
      <c r="AE37" s="606"/>
      <c r="AF37" s="606"/>
      <c r="AG37" s="606"/>
      <c r="AH37" s="606"/>
      <c r="AI37" s="606"/>
      <c r="AJ37" s="606"/>
      <c r="AK37" s="606"/>
      <c r="AL37" s="606"/>
      <c r="AM37" s="606"/>
      <c r="AN37" s="606"/>
      <c r="AO37" s="606"/>
      <c r="AP37" s="793"/>
      <c r="AW37" s="1439">
        <v>0</v>
      </c>
    </row>
    <row s="14284" customFormat="1" customHeight="1" ht="18.75">
      <c r="A38" s="1532"/>
      <c r="B38" s="1532"/>
      <c r="C38" s="1532"/>
      <c r="D38" s="1532"/>
      <c r="E38" s="1532"/>
      <c r="F38" s="1532"/>
      <c r="G38" s="1532"/>
      <c r="H38" s="1532"/>
      <c r="I38" s="1532"/>
      <c r="J38" s="1532"/>
      <c r="K38" s="1532"/>
      <c r="L38" s="1532"/>
      <c r="M38" s="1664"/>
      <c r="N38" s="1532"/>
      <c r="O38" s="1532"/>
      <c r="P38" s="1532"/>
      <c r="U38" s="2534" t="s">
        <v>427</v>
      </c>
      <c r="V38" s="2534"/>
      <c r="W38" s="1656"/>
      <c r="X38" s="2548" t="str">
        <f>IF(TITLE_DATE_PR_CHANGE="",IF(TITLE_DATE_PR="","",TITLE_DATE_PR),TITLE_DATE_PR_CHANGE)</f>
        <v>45471</v>
      </c>
      <c r="Y38" s="2548"/>
      <c r="Z38" s="2548"/>
      <c r="AA38" s="2548"/>
      <c r="AB38" s="2548"/>
      <c r="AC38" s="2548"/>
      <c r="AD38" s="2548"/>
      <c r="AE38" s="2548"/>
      <c r="AF38" s="610"/>
      <c r="AG38" s="2548" t="str">
        <f>IF(TITLE_DATE_PR_CHANGE="",IF(TITLE_DATE_PR="","",TITLE_DATE_PR),TITLE_DATE_PR_CHANGE)</f>
        <v>45471</v>
      </c>
      <c r="AH38" s="2548"/>
      <c r="AI38" s="2548"/>
      <c r="AJ38" s="2548"/>
      <c r="AK38" s="2548"/>
      <c r="AL38" s="2548"/>
      <c r="AM38" s="2548"/>
      <c r="AN38" s="2548"/>
      <c r="AO38" s="610"/>
      <c r="AP38" s="610"/>
      <c r="AQ38" s="564"/>
      <c r="AR38" s="652"/>
      <c r="AS38" s="652"/>
      <c r="AT38" s="652"/>
      <c r="AU38" s="652"/>
      <c r="AV38" s="652"/>
      <c r="AW38" s="702">
        <v>0</v>
      </c>
    </row>
    <row s="14284" customFormat="1" customHeight="1" ht="18.75">
      <c r="A39" s="1532"/>
      <c r="B39" s="1532"/>
      <c r="C39" s="1532"/>
      <c r="D39" s="1532"/>
      <c r="E39" s="1532"/>
      <c r="F39" s="1532"/>
      <c r="G39" s="1532"/>
      <c r="H39" s="1532"/>
      <c r="I39" s="1532"/>
      <c r="J39" s="1532"/>
      <c r="K39" s="1532"/>
      <c r="L39" s="1532"/>
      <c r="M39" s="1664"/>
      <c r="N39" s="1532"/>
      <c r="O39" s="1532"/>
      <c r="P39" s="1532"/>
      <c r="U39" s="2534" t="s">
        <v>428</v>
      </c>
      <c r="V39" s="2534"/>
      <c r="W39" s="1656"/>
      <c r="X39" s="2535" t="str">
        <f>IF(TITLE_NUMBER_PR_CHANGE="",IF(TITLE_NUMBER_PR="","",TITLE_NUMBER_PR),TITLE_NUMBER_PR_CHANGE)</f>
        <v>50/18-01/261</v>
      </c>
      <c r="Y39" s="2535"/>
      <c r="Z39" s="2535"/>
      <c r="AA39" s="2535"/>
      <c r="AB39" s="2535"/>
      <c r="AC39" s="2535"/>
      <c r="AD39" s="2535"/>
      <c r="AE39" s="2535"/>
      <c r="AF39" s="610"/>
      <c r="AG39" s="2535" t="str">
        <f>IF(TITLE_NUMBER_PR_CHANGE="",IF(TITLE_NUMBER_PR="","",TITLE_NUMBER_PR),TITLE_NUMBER_PR_CHANGE)</f>
        <v>50/18-01/261</v>
      </c>
      <c r="AH39" s="2535"/>
      <c r="AI39" s="2535"/>
      <c r="AJ39" s="2535"/>
      <c r="AK39" s="2535"/>
      <c r="AL39" s="2535"/>
      <c r="AM39" s="2535"/>
      <c r="AN39" s="2535"/>
      <c r="AO39" s="610"/>
      <c r="AP39" s="610"/>
      <c r="AQ39" s="564"/>
      <c r="AR39" s="652"/>
      <c r="AS39" s="652"/>
      <c r="AT39" s="652"/>
      <c r="AU39" s="652"/>
      <c r="AV39" s="652"/>
      <c r="AW39" s="702">
        <v>0</v>
      </c>
    </row>
    <row s="14284" customFormat="1" customHeight="1" ht="0">
      <c r="A40" s="1532"/>
      <c r="B40" s="1532"/>
      <c r="C40" s="1532"/>
      <c r="D40" s="1532"/>
      <c r="E40" s="1532"/>
      <c r="F40" s="1532"/>
      <c r="G40" s="1532"/>
      <c r="H40" s="1532"/>
      <c r="I40" s="1532"/>
      <c r="J40" s="1532"/>
      <c r="K40" s="1532"/>
      <c r="L40" s="1532"/>
      <c r="M40" s="1664"/>
      <c r="N40" s="1532"/>
      <c r="O40" s="1532"/>
      <c r="P40" s="1532"/>
      <c r="U40" s="607"/>
      <c r="V40" s="607"/>
      <c r="W40" s="1624"/>
      <c r="X40" s="610"/>
      <c r="Y40" s="610"/>
      <c r="Z40" s="610"/>
      <c r="AA40" s="610"/>
      <c r="AB40" s="610"/>
      <c r="AC40" s="610"/>
      <c r="AD40" s="610"/>
      <c r="AE40" s="610"/>
      <c r="AF40" s="562" t="s">
        <v>429</v>
      </c>
      <c r="AG40" s="610"/>
      <c r="AH40" s="610"/>
      <c r="AI40" s="610"/>
      <c r="AJ40" s="610"/>
      <c r="AK40" s="610"/>
      <c r="AL40" s="610"/>
      <c r="AM40" s="610"/>
      <c r="AN40" s="610"/>
      <c r="AO40" s="562" t="s">
        <v>429</v>
      </c>
      <c r="AR40" s="652"/>
      <c r="AS40" s="652"/>
      <c r="AT40" s="652"/>
      <c r="AU40" s="652"/>
      <c r="AV40" s="652"/>
      <c r="AW40" s="702">
        <v>0</v>
      </c>
    </row>
    <row customHeight="1" ht="14.699999999999998">
      <c r="R41" s="660"/>
      <c r="S41" s="660"/>
      <c r="T41" s="660"/>
      <c r="U41" s="1559"/>
      <c r="V41" s="647"/>
      <c r="W41" s="1528"/>
      <c r="X41" s="2536"/>
      <c r="Y41" s="2536"/>
      <c r="Z41" s="2536"/>
      <c r="AA41" s="2536"/>
      <c r="AB41" s="2536"/>
      <c r="AC41" s="2536"/>
      <c r="AD41" s="2536"/>
      <c r="AE41" s="2536"/>
      <c r="AF41" s="2536"/>
      <c r="AG41" s="2536"/>
      <c r="AH41" s="2536"/>
      <c r="AI41" s="2536"/>
      <c r="AJ41" s="2536"/>
      <c r="AK41" s="2536"/>
      <c r="AL41" s="2536"/>
      <c r="AM41" s="2536"/>
      <c r="AN41" s="2536"/>
      <c r="AO41" s="2536"/>
      <c r="AW41" s="1439">
        <v>14</v>
      </c>
    </row>
    <row customHeight="1" ht="14.699999999999998">
      <c r="R42" s="660"/>
      <c r="S42" s="660"/>
      <c r="T42" s="660"/>
      <c r="U42" s="2411" t="s">
        <v>305</v>
      </c>
      <c r="V42" s="2411"/>
      <c r="W42" s="2411"/>
      <c r="X42" s="2411"/>
      <c r="Y42" s="2411"/>
      <c r="Z42" s="2411"/>
      <c r="AA42" s="2411"/>
      <c r="AB42" s="2411"/>
      <c r="AC42" s="2411"/>
      <c r="AD42" s="2411"/>
      <c r="AE42" s="2411"/>
      <c r="AF42" s="2411"/>
      <c r="AG42" s="2411"/>
      <c r="AH42" s="2411"/>
      <c r="AI42" s="2411"/>
      <c r="AJ42" s="2411"/>
      <c r="AK42" s="2411"/>
      <c r="AL42" s="2411"/>
      <c r="AM42" s="2411"/>
      <c r="AN42" s="2411"/>
      <c r="AO42" s="2411"/>
      <c r="AP42" s="2411"/>
      <c r="AQ42" s="2411" t="s">
        <v>306</v>
      </c>
      <c r="AW42" s="1439">
        <v>14</v>
      </c>
    </row>
    <row customHeight="1" ht="14.699999999999998">
      <c r="R43" s="660"/>
      <c r="S43" s="660"/>
      <c r="T43" s="660"/>
      <c r="U43" s="2557" t="s">
        <v>89</v>
      </c>
      <c r="V43" s="2493" t="s">
        <v>430</v>
      </c>
      <c r="W43" s="585"/>
      <c r="X43" s="2558" t="s">
        <v>431</v>
      </c>
      <c r="Y43" s="2575"/>
      <c r="Z43" s="2575"/>
      <c r="AA43" s="2575"/>
      <c r="AB43" s="2575"/>
      <c r="AC43" s="2559"/>
      <c r="AD43" s="2559"/>
      <c r="AE43" s="2560"/>
      <c r="AF43" s="2561" t="s">
        <v>432</v>
      </c>
      <c r="AG43" s="2558" t="s">
        <v>431</v>
      </c>
      <c r="AH43" s="2575"/>
      <c r="AI43" s="2575"/>
      <c r="AJ43" s="2575"/>
      <c r="AK43" s="2575"/>
      <c r="AL43" s="2559"/>
      <c r="AM43" s="2559"/>
      <c r="AN43" s="2560"/>
      <c r="AO43" s="2561" t="s">
        <v>433</v>
      </c>
      <c r="AP43" s="2564" t="s">
        <v>434</v>
      </c>
      <c r="AQ43" s="2411"/>
      <c r="AW43" s="1439">
        <v>14</v>
      </c>
    </row>
    <row customHeight="1" ht="35.699999999999996">
      <c r="R44" s="660"/>
      <c r="S44" s="660"/>
      <c r="T44" s="660"/>
      <c r="U44" s="2557"/>
      <c r="V44" s="2493"/>
      <c r="W44" s="1315"/>
      <c r="X44" s="2578" t="s">
        <v>463</v>
      </c>
      <c r="Y44" s="2596" t="s">
        <v>464</v>
      </c>
      <c r="Z44" s="2596"/>
      <c r="AA44" s="2596"/>
      <c r="AB44" s="2596"/>
      <c r="AC44" s="2578" t="s">
        <v>438</v>
      </c>
      <c r="AD44" s="2895"/>
      <c r="AE44" s="2598"/>
      <c r="AF44" s="2562"/>
      <c r="AG44" s="2578" t="s">
        <v>463</v>
      </c>
      <c r="AH44" s="2596" t="s">
        <v>464</v>
      </c>
      <c r="AI44" s="2596"/>
      <c r="AJ44" s="2596"/>
      <c r="AK44" s="2596"/>
      <c r="AL44" s="2578" t="s">
        <v>438</v>
      </c>
      <c r="AM44" s="2895"/>
      <c r="AN44" s="2598"/>
      <c r="AO44" s="2562"/>
      <c r="AP44" s="2565"/>
      <c r="AQ44" s="2411"/>
      <c r="AW44" s="1439">
        <v>34</v>
      </c>
    </row>
    <row customHeight="1" ht="14.699999999999998">
      <c r="R45" s="660"/>
      <c r="S45" s="660"/>
      <c r="T45" s="660"/>
      <c r="U45" s="2557"/>
      <c r="V45" s="2493"/>
      <c r="W45" s="1315"/>
      <c r="X45" s="2609"/>
      <c r="Y45" s="2601" t="s">
        <v>465</v>
      </c>
      <c r="Z45" s="2554" t="s">
        <v>466</v>
      </c>
      <c r="AA45" s="2604"/>
      <c r="AB45" s="2555"/>
      <c r="AC45" s="2579"/>
      <c r="AD45" s="2896"/>
      <c r="AE45" s="2600"/>
      <c r="AF45" s="2562"/>
      <c r="AG45" s="2609"/>
      <c r="AH45" s="2601" t="s">
        <v>465</v>
      </c>
      <c r="AI45" s="2554" t="s">
        <v>466</v>
      </c>
      <c r="AJ45" s="2604"/>
      <c r="AK45" s="2555"/>
      <c r="AL45" s="2579"/>
      <c r="AM45" s="2896"/>
      <c r="AN45" s="2600"/>
      <c r="AO45" s="2562"/>
      <c r="AP45" s="2565"/>
      <c r="AQ45" s="2411"/>
      <c r="AW45" s="1439">
        <v>14</v>
      </c>
    </row>
    <row customHeight="1" ht="27.299999999999997">
      <c r="R46" s="660"/>
      <c r="S46" s="660"/>
      <c r="T46" s="660"/>
      <c r="U46" s="2557"/>
      <c r="V46" s="2493"/>
      <c r="W46" s="1315"/>
      <c r="X46" s="2609"/>
      <c r="Y46" s="2602"/>
      <c r="Z46" s="2601" t="s">
        <v>467</v>
      </c>
      <c r="AA46" s="2554" t="s">
        <v>468</v>
      </c>
      <c r="AB46" s="2555"/>
      <c r="AC46" s="2601" t="s">
        <v>448</v>
      </c>
      <c r="AD46" s="2605" t="s">
        <v>449</v>
      </c>
      <c r="AE46" s="2606"/>
      <c r="AF46" s="2562"/>
      <c r="AG46" s="2609"/>
      <c r="AH46" s="2602"/>
      <c r="AI46" s="2601" t="s">
        <v>467</v>
      </c>
      <c r="AJ46" s="2554" t="s">
        <v>468</v>
      </c>
      <c r="AK46" s="2555"/>
      <c r="AL46" s="2601" t="s">
        <v>448</v>
      </c>
      <c r="AM46" s="2605" t="s">
        <v>449</v>
      </c>
      <c r="AN46" s="2606"/>
      <c r="AO46" s="2562"/>
      <c r="AP46" s="2565"/>
      <c r="AQ46" s="2411"/>
      <c r="AW46" s="1439">
        <v>26</v>
      </c>
    </row>
    <row customHeight="1" ht="65.25">
      <c r="A47" s="1543"/>
      <c r="B47" s="1543" t="s">
        <v>136</v>
      </c>
      <c r="C47" s="1543" t="s">
        <v>137</v>
      </c>
      <c r="D47" s="1543" t="s">
        <v>138</v>
      </c>
      <c r="E47" s="1594" t="s">
        <v>439</v>
      </c>
      <c r="F47" s="1594" t="s">
        <v>440</v>
      </c>
      <c r="G47" s="1594" t="s">
        <v>441</v>
      </c>
      <c r="H47" s="1594" t="s">
        <v>442</v>
      </c>
      <c r="I47" s="1594" t="s">
        <v>443</v>
      </c>
      <c r="J47" s="1594" t="s">
        <v>444</v>
      </c>
      <c r="K47" s="1594" t="s">
        <v>445</v>
      </c>
      <c r="L47" s="1594" t="s">
        <v>469</v>
      </c>
      <c r="M47" s="1594" t="s">
        <v>420</v>
      </c>
      <c r="R47" s="660"/>
      <c r="S47" s="660"/>
      <c r="T47" s="660"/>
      <c r="U47" s="2557"/>
      <c r="V47" s="2493"/>
      <c r="W47" s="586"/>
      <c r="X47" s="2579"/>
      <c r="Y47" s="2603"/>
      <c r="Z47" s="2603"/>
      <c r="AA47" s="1506" t="s">
        <v>470</v>
      </c>
      <c r="AB47" s="1506" t="s">
        <v>471</v>
      </c>
      <c r="AC47" s="2603"/>
      <c r="AD47" s="2607"/>
      <c r="AE47" s="2608"/>
      <c r="AF47" s="2563"/>
      <c r="AG47" s="2579"/>
      <c r="AH47" s="2603"/>
      <c r="AI47" s="2603"/>
      <c r="AJ47" s="1506" t="s">
        <v>470</v>
      </c>
      <c r="AK47" s="1506" t="s">
        <v>471</v>
      </c>
      <c r="AL47" s="2603"/>
      <c r="AM47" s="2607"/>
      <c r="AN47" s="2608"/>
      <c r="AO47" s="2563"/>
      <c r="AP47" s="2566"/>
      <c r="AQ47" s="2411"/>
      <c r="AW47" s="1439">
        <v>62</v>
      </c>
    </row>
    <row s="14730" customFormat="1" customHeight="1" ht="11.25" hidden="1">
      <c r="A48" s="1543"/>
      <c r="B48" s="1543"/>
      <c r="C48" s="1543"/>
      <c r="D48" s="1543"/>
      <c r="E48" s="1543"/>
      <c r="F48" s="1543"/>
      <c r="G48" s="1543"/>
      <c r="H48" s="1543"/>
      <c r="I48" s="1543"/>
      <c r="J48" s="1543"/>
      <c r="K48" s="1543"/>
      <c r="L48" s="1543"/>
      <c r="M48" s="1594"/>
      <c r="N48" s="1612"/>
      <c r="O48" s="1612"/>
      <c r="P48" s="1612"/>
      <c r="Q48" s="1530"/>
      <c r="R48" s="1531"/>
      <c r="S48" s="1538">
        <v>1</v>
      </c>
      <c r="T48" s="1538"/>
      <c r="U48" s="1561" t="s">
        <v>110</v>
      </c>
      <c r="V48" s="1539" t="s">
        <v>111</v>
      </c>
      <c r="W48" s="1529" t="str">
        <f>OFFSET(W48,0,-1)</f>
        <v>2</v>
      </c>
      <c r="X48" s="1619">
        <f>OFFSET(X48,0,-1)+1</f>
        <v>3</v>
      </c>
      <c r="Y48" s="1625"/>
      <c r="Z48" s="1625"/>
      <c r="AA48" s="1625">
        <f>OFFSET(AA48,0,-1)+1</f>
        <v>1</v>
      </c>
      <c r="AB48" s="1625">
        <f>OFFSET(AB48,0,-1)+1</f>
        <v>2</v>
      </c>
      <c r="AC48" s="1619">
        <f>OFFSET(AC48,0,-1)+1</f>
        <v>3</v>
      </c>
      <c r="AD48" s="2556">
        <f>OFFSET(AD48,0,-1)+1</f>
        <v>4</v>
      </c>
      <c r="AE48" s="2556"/>
      <c r="AF48" s="1619">
        <f>OFFSET(AF48,0,-2)+1</f>
        <v>5</v>
      </c>
      <c r="AG48" s="1619">
        <f>OFFSET(AG48,0,-1)+1</f>
        <v>6</v>
      </c>
      <c r="AH48" s="1619"/>
      <c r="AI48" s="1619"/>
      <c r="AJ48" s="1619">
        <f>OFFSET(AJ48,0,-1)+1</f>
        <v>1</v>
      </c>
      <c r="AK48" s="1619">
        <f>OFFSET(AK48,0,-1)+1</f>
        <v>2</v>
      </c>
      <c r="AL48" s="1619">
        <f>OFFSET(AL48,0,-1)+1</f>
        <v>3</v>
      </c>
      <c r="AM48" s="2556">
        <f>OFFSET(AM48,0,-1)+1</f>
        <v>4</v>
      </c>
      <c r="AN48" s="2556"/>
      <c r="AO48" s="1619">
        <f>OFFSET(AO48,0,-2)+1</f>
        <v>5</v>
      </c>
      <c r="AP48" s="1529">
        <f>OFFSET(AP48,0,-1)</f>
        <v>5</v>
      </c>
      <c r="AQ48" s="1619">
        <f>OFFSET(AQ48,0,-1)+1</f>
        <v>6</v>
      </c>
      <c r="AR48" s="795"/>
      <c r="AS48" s="795"/>
      <c r="AT48" s="795"/>
      <c r="AU48" s="795"/>
      <c r="AV48" s="795"/>
      <c r="AW48" s="780">
        <v>0</v>
      </c>
    </row>
    <row customHeight="1" ht="22.049999999999997">
      <c r="A49" s="1551" t="s">
        <v>181</v>
      </c>
      <c r="B49" s="1551"/>
      <c r="C49" s="1551"/>
      <c r="D49" s="1551"/>
      <c r="E49" s="2573">
        <v>1</v>
      </c>
      <c r="F49" s="1551"/>
      <c r="G49" s="1551"/>
      <c r="H49" s="1551"/>
      <c r="I49" s="1551"/>
      <c r="J49" s="1551"/>
      <c r="K49" s="1551"/>
      <c r="L49" s="1551"/>
      <c r="M49" s="1594"/>
      <c r="N49" s="972"/>
      <c r="O49" s="972"/>
      <c r="P49" s="972"/>
      <c r="Q49" s="645"/>
      <c r="R49" s="644"/>
      <c r="S49" s="644"/>
      <c r="T49" s="639"/>
      <c r="U49" s="1620">
        <f>INDEX(PT_DIFFERENTIATION_NUM_NTAR,MATCH(A49,PT_DIFFERENTIATION_NTAR_ID,0))</f>
        <v>0</v>
      </c>
      <c r="V49" s="582" t="s">
        <v>124</v>
      </c>
      <c r="W49" s="584"/>
      <c r="X49" s="2526"/>
      <c r="Y49" s="2527"/>
      <c r="Z49" s="2527"/>
      <c r="AA49" s="2527"/>
      <c r="AB49" s="2527"/>
      <c r="AC49" s="2527"/>
      <c r="AD49" s="2527"/>
      <c r="AE49" s="2527"/>
      <c r="AF49" s="2528"/>
      <c r="AG49" s="2526" t="str">
        <f>INDEX(PT_DIFFERENTIATION_NTAR,MATCH(A49,PT_DIFFERENTIATION_NTAR_ID,0))</f>
        <v/>
      </c>
      <c r="AH49" s="2527"/>
      <c r="AI49" s="2527"/>
      <c r="AJ49" s="2527"/>
      <c r="AK49" s="2527"/>
      <c r="AL49" s="2527"/>
      <c r="AM49" s="2527"/>
      <c r="AN49" s="2527"/>
      <c r="AO49" s="2527"/>
      <c r="AP49" s="2528"/>
      <c r="AQ49" s="1542"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 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S49" s="784"/>
      <c r="AT49" s="784" t="str">
        <f>IF(V49="","",V49)</f>
        <v>Наименование тарифа</v>
      </c>
      <c r="AU49" s="784"/>
      <c r="AV49" s="784"/>
      <c r="AW49" s="1439">
        <v>21</v>
      </c>
    </row>
    <row customHeight="1" ht="22.049999999999997">
      <c r="A50" s="1551" t="s">
        <v>181</v>
      </c>
      <c r="B50" s="1551" t="s">
        <v>182</v>
      </c>
      <c r="C50" s="1551"/>
      <c r="D50" s="1551"/>
      <c r="E50" s="2574"/>
      <c r="F50" s="2573">
        <v>1</v>
      </c>
      <c r="G50" s="1551"/>
      <c r="H50" s="1551"/>
      <c r="I50" s="1551"/>
      <c r="J50" s="1551"/>
      <c r="K50" s="1551"/>
      <c r="L50" s="1551"/>
      <c r="M50" s="1594"/>
      <c r="N50" s="972"/>
      <c r="O50" s="972"/>
      <c r="P50" s="972"/>
      <c r="Q50" s="1616"/>
      <c r="R50" s="636"/>
      <c r="S50" s="793"/>
      <c r="T50" s="637"/>
      <c r="U50" s="1620" t="str">
        <f>INDEX(PT_DIFFERENTIATION_NUM_TER,MATCH(B50,PT_DIFFERENTIATION_TER_ID,0))</f>
        <v>.</v>
      </c>
      <c r="V50" s="592" t="s">
        <v>402</v>
      </c>
      <c r="W50" s="584"/>
      <c r="X50" s="2526"/>
      <c r="Y50" s="2527"/>
      <c r="Z50" s="2527"/>
      <c r="AA50" s="2527"/>
      <c r="AB50" s="2527"/>
      <c r="AC50" s="2527"/>
      <c r="AD50" s="2527"/>
      <c r="AE50" s="2527"/>
      <c r="AF50" s="2528"/>
      <c r="AG50" s="2526" t="str">
        <f>INDEX(PT_DIFFERENTIATION_TER,MATCH(B50,PT_DIFFERENTIATION_TER_ID,0))</f>
        <v/>
      </c>
      <c r="AH50" s="2527"/>
      <c r="AI50" s="2527"/>
      <c r="AJ50" s="2527"/>
      <c r="AK50" s="2527"/>
      <c r="AL50" s="2527"/>
      <c r="AM50" s="2527"/>
      <c r="AN50" s="2527"/>
      <c r="AO50" s="2527"/>
      <c r="AP50" s="2528"/>
      <c r="AQ50" s="1542" t="s">
        <v>403</v>
      </c>
      <c r="AS50" s="784"/>
      <c r="AT50" s="784" t="str">
        <f>IF(V50="","",V50)</f>
        <v>Территория действия тарифа</v>
      </c>
      <c r="AU50" s="784"/>
      <c r="AV50" s="784"/>
      <c r="AW50" s="1439">
        <v>21</v>
      </c>
    </row>
    <row customHeight="1" ht="24">
      <c r="A51" s="1551" t="s">
        <v>181</v>
      </c>
      <c r="B51" s="1551" t="s">
        <v>182</v>
      </c>
      <c r="C51" s="1551" t="s">
        <v>183</v>
      </c>
      <c r="D51" s="1551"/>
      <c r="E51" s="2574"/>
      <c r="F51" s="2574"/>
      <c r="G51" s="2573">
        <v>1</v>
      </c>
      <c r="H51" s="1551"/>
      <c r="I51" s="1551"/>
      <c r="J51" s="1551"/>
      <c r="K51" s="1551"/>
      <c r="L51" s="1551"/>
      <c r="M51" s="1594"/>
      <c r="N51" s="972"/>
      <c r="O51" s="972"/>
      <c r="P51" s="972"/>
      <c r="Q51" s="638"/>
      <c r="R51" s="636"/>
      <c r="S51" s="793"/>
      <c r="T51" s="637"/>
      <c r="U51" s="1620" t="str">
        <f>INDEX(PT_DIFFERENTIATION_NUM_CS,MATCH(C51,PT_DIFFERENTIATION_CS_ID,0))</f>
        <v>..</v>
      </c>
      <c r="V51" s="593" t="s">
        <v>404</v>
      </c>
      <c r="W51" s="584"/>
      <c r="X51" s="2526"/>
      <c r="Y51" s="2527"/>
      <c r="Z51" s="2527"/>
      <c r="AA51" s="2527"/>
      <c r="AB51" s="2527"/>
      <c r="AC51" s="2527"/>
      <c r="AD51" s="2527"/>
      <c r="AE51" s="2527"/>
      <c r="AF51" s="2528"/>
      <c r="AG51" s="2526" t="str">
        <f>INDEX(PT_DIFFERENTIATION_CS,MATCH(C51,PT_DIFFERENTIATION_CS_ID,0))</f>
        <v/>
      </c>
      <c r="AH51" s="2527"/>
      <c r="AI51" s="2527"/>
      <c r="AJ51" s="2527"/>
      <c r="AK51" s="2527"/>
      <c r="AL51" s="2527"/>
      <c r="AM51" s="2527"/>
      <c r="AN51" s="2527"/>
      <c r="AO51" s="2527"/>
      <c r="AP51" s="2528"/>
      <c r="AQ51" s="1542" t="s">
        <v>405</v>
      </c>
      <c r="AS51" s="784"/>
      <c r="AT51" s="784" t="str">
        <f>IF(V51="","",V51)</f>
        <v>Наименование системы теплоснабжения </v>
      </c>
      <c r="AU51" s="784"/>
      <c r="AV51" s="784"/>
      <c r="AW51" s="1439">
        <v>23</v>
      </c>
    </row>
    <row customHeight="1" ht="22.049999999999997">
      <c r="A52" s="1551" t="s">
        <v>181</v>
      </c>
      <c r="B52" s="1551" t="s">
        <v>182</v>
      </c>
      <c r="C52" s="1551" t="s">
        <v>183</v>
      </c>
      <c r="D52" s="1551" t="s">
        <v>184</v>
      </c>
      <c r="E52" s="2574"/>
      <c r="F52" s="2574"/>
      <c r="G52" s="2574"/>
      <c r="H52" s="2594">
        <v>1</v>
      </c>
      <c r="I52" s="1551"/>
      <c r="J52" s="1551"/>
      <c r="K52" s="1551"/>
      <c r="L52" s="1551"/>
      <c r="M52" s="1594"/>
      <c r="N52" s="972"/>
      <c r="O52" s="972"/>
      <c r="P52" s="972"/>
      <c r="Q52" s="638"/>
      <c r="R52" s="636"/>
      <c r="S52" s="793"/>
      <c r="T52" s="637"/>
      <c r="U52" s="1620" t="str">
        <f>INDEX(PT_DIFFERENTIATION_NUM_IST_TE,MATCH(D52,PT_DIFFERENTIATION_IST_TE_ID,0))</f>
        <v>...</v>
      </c>
      <c r="V52" s="594" t="s">
        <v>406</v>
      </c>
      <c r="W52" s="584"/>
      <c r="X52" s="2526"/>
      <c r="Y52" s="2527"/>
      <c r="Z52" s="2527"/>
      <c r="AA52" s="2527"/>
      <c r="AB52" s="2527"/>
      <c r="AC52" s="2527"/>
      <c r="AD52" s="2527"/>
      <c r="AE52" s="2527"/>
      <c r="AF52" s="2528"/>
      <c r="AG52" s="2526" t="str">
        <f>INDEX(PT_DIFFERENTIATION_IST_TE,MATCH(D52,PT_DIFFERENTIATION_IST_TE_ID,0))</f>
        <v/>
      </c>
      <c r="AH52" s="2527"/>
      <c r="AI52" s="2527"/>
      <c r="AJ52" s="2527"/>
      <c r="AK52" s="2527"/>
      <c r="AL52" s="2527"/>
      <c r="AM52" s="2527"/>
      <c r="AN52" s="2527"/>
      <c r="AO52" s="2527"/>
      <c r="AP52" s="2528"/>
      <c r="AQ52" s="1542" t="s">
        <v>407</v>
      </c>
      <c r="AS52" s="784"/>
      <c r="AT52" s="784" t="str">
        <f>IF(V52="","",V52)</f>
        <v>Источник тепловой энергии  </v>
      </c>
      <c r="AU52" s="784"/>
      <c r="AV52" s="784"/>
      <c r="AW52" s="1439">
        <v>21</v>
      </c>
    </row>
    <row s="14158" customFormat="1" customHeight="1" ht="0">
      <c r="A53" s="1659" t="s">
        <v>181</v>
      </c>
      <c r="B53" s="1659" t="s">
        <v>182</v>
      </c>
      <c r="C53" s="1659" t="s">
        <v>183</v>
      </c>
      <c r="D53" s="1659" t="s">
        <v>184</v>
      </c>
      <c r="E53" s="2574"/>
      <c r="F53" s="2574"/>
      <c r="G53" s="2574"/>
      <c r="H53" s="2595"/>
      <c r="I53" s="2411" t="str">
        <f>U52&amp;".1"</f>
        <v>....1</v>
      </c>
      <c r="J53" s="1659"/>
      <c r="K53" s="1659"/>
      <c r="L53" s="1659"/>
      <c r="M53" s="1665" t="s">
        <v>408</v>
      </c>
      <c r="N53" s="1530"/>
      <c r="O53" s="1530"/>
      <c r="P53" s="1530"/>
      <c r="Q53" s="2541">
        <v>1</v>
      </c>
      <c r="R53" s="1615"/>
      <c r="S53" s="1615"/>
      <c r="T53" s="640"/>
      <c r="U53" s="1326"/>
      <c r="V53" s="1667"/>
      <c r="W53" s="1668"/>
      <c r="X53" s="2580"/>
      <c r="Y53" s="2581"/>
      <c r="Z53" s="2581"/>
      <c r="AA53" s="2581"/>
      <c r="AB53" s="2581"/>
      <c r="AC53" s="2581"/>
      <c r="AD53" s="2581"/>
      <c r="AE53" s="2581"/>
      <c r="AF53" s="2582"/>
      <c r="AG53" s="2580"/>
      <c r="AH53" s="2581"/>
      <c r="AI53" s="2581"/>
      <c r="AJ53" s="2581"/>
      <c r="AK53" s="2581"/>
      <c r="AL53" s="2581"/>
      <c r="AM53" s="2581"/>
      <c r="AN53" s="2581"/>
      <c r="AO53" s="2581"/>
      <c r="AP53" s="2582"/>
      <c r="AQ53" s="1669"/>
      <c r="AS53" s="784"/>
      <c r="AT53" s="784" t="str">
        <f>IF(V53="","",V53)</f>
        <v/>
      </c>
      <c r="AU53" s="784"/>
      <c r="AV53" s="784"/>
      <c r="AW53" s="795">
        <v>0</v>
      </c>
    </row>
    <row customHeight="1" ht="22.049999999999997">
      <c r="A54" s="1551" t="s">
        <v>181</v>
      </c>
      <c r="B54" s="1551" t="s">
        <v>182</v>
      </c>
      <c r="C54" s="1551" t="s">
        <v>183</v>
      </c>
      <c r="D54" s="1551" t="s">
        <v>184</v>
      </c>
      <c r="E54" s="2574"/>
      <c r="F54" s="2574"/>
      <c r="G54" s="2574"/>
      <c r="H54" s="2595"/>
      <c r="I54" s="2385"/>
      <c r="J54" s="2411" t="str">
        <f>I53&amp;".1"</f>
        <v>....1.1</v>
      </c>
      <c r="K54" s="1551"/>
      <c r="L54" s="1551"/>
      <c r="M54" s="1594" t="s">
        <v>411</v>
      </c>
      <c r="Q54" s="2541"/>
      <c r="R54" s="2541">
        <v>1</v>
      </c>
      <c r="S54" s="802"/>
      <c r="T54" s="641"/>
      <c r="U54" s="1620" t="str">
        <f>$J54</f>
        <v>....1.1</v>
      </c>
      <c r="V54" s="570" t="s">
        <v>412</v>
      </c>
      <c r="W54" s="584"/>
      <c r="X54" s="2529"/>
      <c r="Y54" s="2530"/>
      <c r="Z54" s="2530"/>
      <c r="AA54" s="2530"/>
      <c r="AB54" s="2530"/>
      <c r="AC54" s="2519"/>
      <c r="AD54" s="2519"/>
      <c r="AE54" s="2519"/>
      <c r="AF54" s="2592"/>
      <c r="AG54" s="2529"/>
      <c r="AH54" s="2530"/>
      <c r="AI54" s="2530"/>
      <c r="AJ54" s="2530"/>
      <c r="AK54" s="2530"/>
      <c r="AL54" s="2530"/>
      <c r="AM54" s="2530"/>
      <c r="AN54" s="2530"/>
      <c r="AO54" s="2530"/>
      <c r="AP54" s="2531"/>
      <c r="AQ54" s="1542" t="s">
        <v>413</v>
      </c>
      <c r="AS54" s="784"/>
      <c r="AT54" s="784" t="str">
        <f>IF(V54="","",V54)</f>
        <v>Группа потребителей</v>
      </c>
      <c r="AU54" s="784"/>
      <c r="AV54" s="784"/>
      <c r="AW54" s="1439">
        <v>21</v>
      </c>
    </row>
    <row customHeight="1" ht="22.049999999999997">
      <c r="A55" s="1551" t="s">
        <v>181</v>
      </c>
      <c r="B55" s="1551" t="s">
        <v>182</v>
      </c>
      <c r="C55" s="1551" t="s">
        <v>183</v>
      </c>
      <c r="D55" s="1551" t="s">
        <v>184</v>
      </c>
      <c r="E55" s="2574"/>
      <c r="F55" s="2574"/>
      <c r="G55" s="2574"/>
      <c r="H55" s="2595"/>
      <c r="I55" s="2385"/>
      <c r="J55" s="2385"/>
      <c r="K55" s="2411" t="str">
        <f>J54&amp;".1"</f>
        <v>....1.1.1</v>
      </c>
      <c r="L55" s="423"/>
      <c r="M55" s="1594" t="s">
        <v>414</v>
      </c>
      <c r="Q55" s="2541"/>
      <c r="R55" s="2541"/>
      <c r="S55" s="802">
        <v>1</v>
      </c>
      <c r="T55" s="641"/>
      <c r="U55" s="1620" t="str">
        <f>$K55</f>
        <v>....1.1.1</v>
      </c>
      <c r="V55" s="1631"/>
      <c r="W55" s="584"/>
      <c r="X55" s="1035"/>
      <c r="Y55" s="1035"/>
      <c r="Z55" s="1035"/>
      <c r="AA55" s="1035"/>
      <c r="AB55" s="1689"/>
      <c r="AC55" s="2549"/>
      <c r="AD55" s="2391" t="s">
        <v>67</v>
      </c>
      <c r="AE55" s="2549"/>
      <c r="AF55" s="2391" t="s">
        <v>67</v>
      </c>
      <c r="AG55" s="1691"/>
      <c r="AH55" s="1035"/>
      <c r="AI55" s="1035"/>
      <c r="AJ55" s="1035"/>
      <c r="AK55" s="1541"/>
      <c r="AL55" s="2549"/>
      <c r="AM55" s="2391" t="s">
        <v>67</v>
      </c>
      <c r="AN55" s="2549"/>
      <c r="AO55" s="2391" t="s">
        <v>67</v>
      </c>
      <c r="AP55" s="1632"/>
      <c r="AQ55" s="1591" t="s">
        <v>460</v>
      </c>
      <c r="AR55" s="795">
        <f>STRCHECKDATE(X57:AP57)</f>
      </c>
      <c r="AS55" s="784"/>
      <c r="AT55" s="784" t="str">
        <f>IF(V55="","",V55)</f>
        <v/>
      </c>
      <c r="AU55" s="784"/>
      <c r="AV55" s="784"/>
      <c r="AW55" s="1439">
        <v>21</v>
      </c>
    </row>
    <row customHeight="1" ht="11.549999999999999">
      <c r="A56" s="1551" t="s">
        <v>181</v>
      </c>
      <c r="B56" s="1551" t="s">
        <v>182</v>
      </c>
      <c r="C56" s="1551" t="s">
        <v>183</v>
      </c>
      <c r="D56" s="1551" t="s">
        <v>184</v>
      </c>
      <c r="E56" s="2574"/>
      <c r="F56" s="2574"/>
      <c r="G56" s="2574"/>
      <c r="H56" s="2595"/>
      <c r="I56" s="2385"/>
      <c r="J56" s="2385"/>
      <c r="K56" s="2385"/>
      <c r="L56" s="2411" t="str">
        <f>K55&amp;".1"</f>
        <v>....1.1.1.1</v>
      </c>
      <c r="M56" s="1594"/>
      <c r="Q56" s="2541"/>
      <c r="R56" s="2541"/>
      <c r="S56" s="802">
        <v>1</v>
      </c>
      <c r="T56" s="641"/>
      <c r="U56" s="1620" t="str">
        <f>$L56</f>
        <v>....1.1.1.1</v>
      </c>
      <c r="V56" s="1675"/>
      <c r="W56" s="584"/>
      <c r="X56" s="609"/>
      <c r="Y56" s="1035"/>
      <c r="Z56" s="1035"/>
      <c r="AA56" s="1035"/>
      <c r="AB56" s="1689"/>
      <c r="AC56" s="2593"/>
      <c r="AD56" s="2391"/>
      <c r="AE56" s="2593"/>
      <c r="AF56" s="2391"/>
      <c r="AG56" s="1691"/>
      <c r="AH56" s="1035"/>
      <c r="AI56" s="1035"/>
      <c r="AJ56" s="1035"/>
      <c r="AK56" s="1541"/>
      <c r="AL56" s="2593"/>
      <c r="AM56" s="2391"/>
      <c r="AN56" s="2593"/>
      <c r="AO56" s="2391"/>
      <c r="AP56" s="1632"/>
      <c r="AQ56" s="2537" t="s">
        <v>461</v>
      </c>
      <c r="AR56" s="795">
        <f>STRCHECKDATE(X58:AP58)</f>
      </c>
      <c r="AS56" s="784"/>
      <c r="AT56" s="784" t="str">
        <f>IF(V56="","",V56)</f>
        <v/>
      </c>
      <c r="AU56" s="784"/>
      <c r="AV56" s="784"/>
      <c r="AW56" s="1439">
        <v>11</v>
      </c>
    </row>
    <row customHeight="1" ht="0">
      <c r="A57" s="1551" t="s">
        <v>181</v>
      </c>
      <c r="B57" s="1551" t="s">
        <v>182</v>
      </c>
      <c r="C57" s="1551" t="s">
        <v>183</v>
      </c>
      <c r="D57" s="1551" t="s">
        <v>184</v>
      </c>
      <c r="E57" s="2574"/>
      <c r="F57" s="2574"/>
      <c r="G57" s="2574"/>
      <c r="H57" s="2595"/>
      <c r="I57" s="2385"/>
      <c r="J57" s="2385"/>
      <c r="K57" s="2385"/>
      <c r="L57" s="2411"/>
      <c r="M57" s="1594"/>
      <c r="Q57" s="2541"/>
      <c r="R57" s="2541"/>
      <c r="S57" s="802"/>
      <c r="T57" s="641"/>
      <c r="U57" s="1626"/>
      <c r="V57" s="584"/>
      <c r="W57" s="584"/>
      <c r="X57" s="609"/>
      <c r="Y57" s="609"/>
      <c r="Z57" s="609"/>
      <c r="AA57" s="609"/>
      <c r="AB57" s="1690" t="str">
        <f>AC55&amp;"-"&amp;AE55</f>
        <v>-</v>
      </c>
      <c r="AC57" s="2593"/>
      <c r="AD57" s="2391"/>
      <c r="AE57" s="2593"/>
      <c r="AF57" s="2391"/>
      <c r="AG57" s="1666"/>
      <c r="AH57" s="609"/>
      <c r="AI57" s="609"/>
      <c r="AJ57" s="609"/>
      <c r="AK57" s="612" t="str">
        <f>AL55&amp;"-"&amp;AN55</f>
        <v>-</v>
      </c>
      <c r="AL57" s="2593"/>
      <c r="AM57" s="2391"/>
      <c r="AN57" s="2593"/>
      <c r="AO57" s="2391"/>
      <c r="AP57" s="1633"/>
      <c r="AQ57" s="2538"/>
      <c r="AS57" s="784"/>
      <c r="AT57" s="784" t="str">
        <f>IF(V57="","",V57)</f>
        <v/>
      </c>
      <c r="AU57" s="784"/>
      <c r="AV57" s="784"/>
      <c r="AW57" s="1439">
        <v>0</v>
      </c>
    </row>
    <row customHeight="1" ht="11.549999999999999">
      <c r="A58" s="1551" t="s">
        <v>181</v>
      </c>
      <c r="B58" s="1551" t="s">
        <v>182</v>
      </c>
      <c r="C58" s="1551" t="s">
        <v>183</v>
      </c>
      <c r="D58" s="1551" t="s">
        <v>184</v>
      </c>
      <c r="E58" s="2574"/>
      <c r="F58" s="2574"/>
      <c r="G58" s="2574"/>
      <c r="H58" s="2595"/>
      <c r="I58" s="2385"/>
      <c r="J58" s="2385"/>
      <c r="K58" s="2411"/>
      <c r="L58" s="1551"/>
      <c r="M58" s="1594"/>
      <c r="Q58" s="2541"/>
      <c r="R58" s="2541"/>
      <c r="S58" s="1615"/>
      <c r="T58" s="640"/>
      <c r="U58" s="1562"/>
      <c r="V58" s="572" t="s">
        <v>462</v>
      </c>
      <c r="W58" s="651"/>
      <c r="X58" s="651"/>
      <c r="Y58" s="651"/>
      <c r="Z58" s="651"/>
      <c r="AA58" s="651"/>
      <c r="AB58" s="651"/>
      <c r="AC58" s="2593"/>
      <c r="AD58" s="2391"/>
      <c r="AE58" s="2593"/>
      <c r="AF58" s="2391"/>
      <c r="AG58" s="651"/>
      <c r="AH58" s="651"/>
      <c r="AI58" s="651"/>
      <c r="AJ58" s="651"/>
      <c r="AK58" s="651"/>
      <c r="AL58" s="2593"/>
      <c r="AM58" s="2391"/>
      <c r="AN58" s="2593"/>
      <c r="AO58" s="2391"/>
      <c r="AP58" s="608"/>
      <c r="AQ58" s="2538"/>
      <c r="AS58" s="784"/>
      <c r="AT58" s="784" t="str">
        <f>IF(V58="","",V58)</f>
        <v>Добавить наименование поставщика</v>
      </c>
      <c r="AU58" s="784"/>
      <c r="AV58" s="784"/>
      <c r="AW58" s="1439">
        <v>11</v>
      </c>
    </row>
    <row customHeight="1" ht="11.549999999999999">
      <c r="A59" s="1551" t="s">
        <v>181</v>
      </c>
      <c r="B59" s="1551" t="s">
        <v>182</v>
      </c>
      <c r="C59" s="1551" t="s">
        <v>183</v>
      </c>
      <c r="D59" s="1551" t="s">
        <v>184</v>
      </c>
      <c r="E59" s="2574"/>
      <c r="F59" s="2574"/>
      <c r="G59" s="2574"/>
      <c r="H59" s="2595"/>
      <c r="I59" s="2385"/>
      <c r="J59" s="2411"/>
      <c r="K59" s="1551"/>
      <c r="L59" s="1551"/>
      <c r="M59" s="1594"/>
      <c r="Q59" s="2541"/>
      <c r="R59" s="2541"/>
      <c r="S59" s="1615"/>
      <c r="T59" s="640"/>
      <c r="U59" s="1562"/>
      <c r="V59" s="571" t="s">
        <v>416</v>
      </c>
      <c r="W59" s="651"/>
      <c r="X59" s="651"/>
      <c r="Y59" s="651"/>
      <c r="Z59" s="651"/>
      <c r="AA59" s="651"/>
      <c r="AB59" s="651"/>
      <c r="AC59" s="1692"/>
      <c r="AD59" s="1692"/>
      <c r="AE59" s="1692"/>
      <c r="AF59" s="1692"/>
      <c r="AG59" s="651"/>
      <c r="AH59" s="651"/>
      <c r="AI59" s="651"/>
      <c r="AJ59" s="651"/>
      <c r="AK59" s="651"/>
      <c r="AL59" s="651"/>
      <c r="AM59" s="651"/>
      <c r="AN59" s="651"/>
      <c r="AO59" s="651"/>
      <c r="AP59" s="608"/>
      <c r="AQ59" s="2539"/>
      <c r="AS59" s="784"/>
      <c r="AT59" s="784" t="str">
        <f>IF(V59="","",V59)</f>
        <v>Добавить вид теплоносителя (параметры теплоносителя)</v>
      </c>
      <c r="AU59" s="784"/>
      <c r="AV59" s="784"/>
      <c r="AW59" s="1439">
        <v>11</v>
      </c>
    </row>
    <row customHeight="1" ht="11.549999999999999">
      <c r="A60" s="1551" t="s">
        <v>181</v>
      </c>
      <c r="B60" s="1551" t="s">
        <v>182</v>
      </c>
      <c r="C60" s="1551" t="s">
        <v>183</v>
      </c>
      <c r="D60" s="1551" t="s">
        <v>184</v>
      </c>
      <c r="E60" s="2574"/>
      <c r="F60" s="2574"/>
      <c r="G60" s="2574"/>
      <c r="H60" s="2595"/>
      <c r="I60" s="2411"/>
      <c r="J60" s="1551"/>
      <c r="K60" s="1551"/>
      <c r="L60" s="1551"/>
      <c r="M60" s="1594"/>
      <c r="Q60" s="2541"/>
      <c r="R60" s="1615"/>
      <c r="S60" s="1615"/>
      <c r="T60" s="640"/>
      <c r="U60" s="1562"/>
      <c r="V60" s="649" t="s">
        <v>417</v>
      </c>
      <c r="W60" s="651"/>
      <c r="X60" s="651"/>
      <c r="Y60" s="651"/>
      <c r="Z60" s="651"/>
      <c r="AA60" s="651"/>
      <c r="AB60" s="651"/>
      <c r="AC60" s="651"/>
      <c r="AD60" s="651"/>
      <c r="AE60" s="651"/>
      <c r="AF60" s="650"/>
      <c r="AG60" s="651"/>
      <c r="AH60" s="651"/>
      <c r="AI60" s="651"/>
      <c r="AJ60" s="651"/>
      <c r="AK60" s="651"/>
      <c r="AL60" s="651"/>
      <c r="AM60" s="651"/>
      <c r="AN60" s="651"/>
      <c r="AO60" s="650"/>
      <c r="AP60" s="651"/>
      <c r="AQ60" s="587"/>
      <c r="AS60" s="784"/>
      <c r="AT60" s="784" t="str">
        <f>IF(V60="","",V60)</f>
        <v>Добавить группу потребителей</v>
      </c>
      <c r="AU60" s="784"/>
      <c r="AV60" s="784"/>
      <c r="AW60" s="1439">
        <v>11</v>
      </c>
    </row>
    <row customHeight="1" ht="0">
      <c r="A61" s="1551" t="s">
        <v>181</v>
      </c>
      <c r="B61" s="1551" t="s">
        <v>182</v>
      </c>
      <c r="C61" s="1551" t="s">
        <v>183</v>
      </c>
      <c r="D61" s="1551" t="s">
        <v>184</v>
      </c>
      <c r="E61" s="2574"/>
      <c r="F61" s="2574"/>
      <c r="G61" s="2574"/>
      <c r="H61" s="2594"/>
      <c r="I61" s="1551"/>
      <c r="J61" s="1551"/>
      <c r="K61" s="1551"/>
      <c r="L61" s="1551"/>
      <c r="M61" s="1594"/>
      <c r="N61" s="972"/>
      <c r="O61" s="972"/>
      <c r="P61" s="793"/>
      <c r="Q61" s="644"/>
      <c r="R61" s="659"/>
      <c r="S61" s="639"/>
      <c r="T61" s="644"/>
      <c r="U61" s="1670"/>
      <c r="V61" s="1671"/>
      <c r="W61" s="1672"/>
      <c r="X61" s="1672"/>
      <c r="Y61" s="1672"/>
      <c r="Z61" s="1672"/>
      <c r="AA61" s="1672"/>
      <c r="AB61" s="1672"/>
      <c r="AC61" s="1672"/>
      <c r="AD61" s="1672"/>
      <c r="AE61" s="1672"/>
      <c r="AF61" s="1672"/>
      <c r="AG61" s="1672"/>
      <c r="AH61" s="1672"/>
      <c r="AI61" s="1672"/>
      <c r="AJ61" s="1672"/>
      <c r="AK61" s="1672"/>
      <c r="AL61" s="1672"/>
      <c r="AM61" s="1672"/>
      <c r="AN61" s="1672"/>
      <c r="AO61" s="1672"/>
      <c r="AP61" s="1672"/>
      <c r="AQ61" s="1673"/>
      <c r="AS61" s="784"/>
      <c r="AT61" s="784" t="str">
        <f>IF(V61="","",V61)</f>
        <v/>
      </c>
      <c r="AU61" s="784"/>
      <c r="AV61" s="784"/>
      <c r="AW61" s="1439">
        <v>0</v>
      </c>
    </row>
    <row s="14158" customFormat="1" customHeight="1" ht="0">
      <c r="A62" s="1659" t="s">
        <v>181</v>
      </c>
      <c r="B62" s="1659" t="s">
        <v>182</v>
      </c>
      <c r="C62" s="1659" t="s">
        <v>183</v>
      </c>
      <c r="D62" s="1658"/>
      <c r="E62" s="2574"/>
      <c r="F62" s="2574"/>
      <c r="G62" s="2573"/>
      <c r="H62" s="1658"/>
      <c r="I62" s="1658"/>
      <c r="J62" s="1658"/>
      <c r="K62" s="1658"/>
      <c r="L62" s="1658"/>
      <c r="M62" s="1661"/>
      <c r="N62" s="1662"/>
      <c r="O62" s="1662"/>
      <c r="P62" s="635"/>
      <c r="Q62" s="1600"/>
      <c r="R62" s="1601"/>
      <c r="S62" s="1600"/>
      <c r="T62" s="1600"/>
      <c r="U62" s="1606"/>
      <c r="V62" s="1609" t="s">
        <v>169</v>
      </c>
      <c r="W62" s="1608"/>
      <c r="X62" s="1608"/>
      <c r="Y62" s="1608"/>
      <c r="Z62" s="1608"/>
      <c r="AA62" s="1608"/>
      <c r="AB62" s="1608"/>
      <c r="AC62" s="1608"/>
      <c r="AD62" s="1608"/>
      <c r="AE62" s="1608"/>
      <c r="AF62" s="1608"/>
      <c r="AG62" s="1608"/>
      <c r="AH62" s="1608"/>
      <c r="AI62" s="1608"/>
      <c r="AJ62" s="1608"/>
      <c r="AK62" s="1608"/>
      <c r="AL62" s="1608"/>
      <c r="AM62" s="1608"/>
      <c r="AN62" s="1608"/>
      <c r="AO62" s="1608"/>
      <c r="AP62" s="1608"/>
      <c r="AQ62" s="1608"/>
      <c r="AS62" s="1073"/>
      <c r="AT62" s="1073" t="str">
        <f>IF(V62="","",V62)</f>
        <v>Добавить источник для дифференциации</v>
      </c>
      <c r="AU62" s="1073"/>
      <c r="AV62" s="1073"/>
      <c r="AW62" s="802">
        <v>0</v>
      </c>
    </row>
    <row s="14158" customFormat="1" customHeight="1" ht="0">
      <c r="A63" s="1659" t="s">
        <v>181</v>
      </c>
      <c r="B63" s="1659" t="s">
        <v>182</v>
      </c>
      <c r="C63" s="1658"/>
      <c r="D63" s="1658"/>
      <c r="E63" s="2574"/>
      <c r="F63" s="2573"/>
      <c r="G63" s="1658"/>
      <c r="H63" s="1658"/>
      <c r="I63" s="1658"/>
      <c r="J63" s="1658"/>
      <c r="K63" s="1658"/>
      <c r="L63" s="1658"/>
      <c r="M63" s="1661"/>
      <c r="N63" s="1663"/>
      <c r="O63" s="1663"/>
      <c r="P63" s="635"/>
      <c r="Q63" s="1600"/>
      <c r="R63" s="1601"/>
      <c r="S63" s="1600"/>
      <c r="T63" s="1600"/>
      <c r="U63" s="1606"/>
      <c r="V63" s="1609" t="s">
        <v>170</v>
      </c>
      <c r="W63" s="1608"/>
      <c r="X63" s="1608"/>
      <c r="Y63" s="1608"/>
      <c r="Z63" s="1608"/>
      <c r="AA63" s="1608"/>
      <c r="AB63" s="1608"/>
      <c r="AC63" s="1608"/>
      <c r="AD63" s="1608"/>
      <c r="AE63" s="1608"/>
      <c r="AF63" s="1608"/>
      <c r="AG63" s="1608"/>
      <c r="AH63" s="1608"/>
      <c r="AI63" s="1608"/>
      <c r="AJ63" s="1608"/>
      <c r="AK63" s="1608"/>
      <c r="AL63" s="1608"/>
      <c r="AM63" s="1608"/>
      <c r="AN63" s="1608"/>
      <c r="AO63" s="1608"/>
      <c r="AP63" s="1608"/>
      <c r="AQ63" s="1608"/>
      <c r="AS63" s="1073"/>
      <c r="AT63" s="1073" t="str">
        <f>IF(V63="","",V63)</f>
        <v>Добавить централизованную систему для дифференциации</v>
      </c>
      <c r="AU63" s="1073"/>
      <c r="AV63" s="1073"/>
      <c r="AW63" s="802">
        <v>0</v>
      </c>
    </row>
    <row s="14158" customFormat="1" customHeight="1" ht="0">
      <c r="A64" s="1659" t="s">
        <v>181</v>
      </c>
      <c r="B64" s="1659"/>
      <c r="C64" s="1659"/>
      <c r="D64" s="1659"/>
      <c r="E64" s="2573"/>
      <c r="F64" s="1659"/>
      <c r="G64" s="1659"/>
      <c r="H64" s="1659"/>
      <c r="I64" s="1659"/>
      <c r="J64" s="1659"/>
      <c r="K64" s="1659"/>
      <c r="L64" s="1659"/>
      <c r="M64" s="1665"/>
      <c r="N64" s="1663"/>
      <c r="O64" s="1663"/>
      <c r="P64" s="635"/>
      <c r="Q64" s="664"/>
      <c r="R64" s="1628"/>
      <c r="S64" s="664"/>
      <c r="T64" s="664"/>
      <c r="U64" s="1606"/>
      <c r="V64" s="1609" t="s">
        <v>171</v>
      </c>
      <c r="W64" s="1608"/>
      <c r="X64" s="1608"/>
      <c r="Y64" s="1608"/>
      <c r="Z64" s="1608"/>
      <c r="AA64" s="1608"/>
      <c r="AB64" s="1608"/>
      <c r="AC64" s="1608"/>
      <c r="AD64" s="1608"/>
      <c r="AE64" s="1608"/>
      <c r="AF64" s="1608"/>
      <c r="AG64" s="1608"/>
      <c r="AH64" s="1608"/>
      <c r="AI64" s="1608"/>
      <c r="AJ64" s="1608"/>
      <c r="AK64" s="1608"/>
      <c r="AL64" s="1608"/>
      <c r="AM64" s="1608"/>
      <c r="AN64" s="1608"/>
      <c r="AO64" s="1608"/>
      <c r="AP64" s="1608"/>
      <c r="AQ64" s="1608"/>
      <c r="AS64" s="784"/>
      <c r="AT64" s="784" t="str">
        <f>IF(V64="","",V64)</f>
        <v>Добавить территорию для дифференциации</v>
      </c>
      <c r="AU64" s="784"/>
      <c r="AV64" s="784"/>
      <c r="AW64" s="795">
        <v>0</v>
      </c>
    </row>
    <row s="14158" customFormat="1" customHeight="1" ht="4.2">
      <c r="A65" s="1658"/>
      <c r="B65" s="1658"/>
      <c r="C65" s="1658"/>
      <c r="D65" s="1658"/>
      <c r="E65" s="1659"/>
      <c r="F65" s="1658"/>
      <c r="G65" s="1658"/>
      <c r="H65" s="1658"/>
      <c r="I65" s="1658"/>
      <c r="J65" s="1658"/>
      <c r="K65" s="1658"/>
      <c r="L65" s="1658"/>
      <c r="M65" s="1661"/>
      <c r="N65" s="1663"/>
      <c r="O65" s="1663"/>
      <c r="P65" s="635"/>
      <c r="Q65" s="1600"/>
      <c r="R65" s="1601"/>
      <c r="S65" s="1600"/>
      <c r="T65" s="1600"/>
      <c r="U65" s="1606"/>
      <c r="V65" s="1609" t="s">
        <v>172</v>
      </c>
      <c r="W65" s="1608"/>
      <c r="X65" s="1608"/>
      <c r="Y65" s="1608"/>
      <c r="Z65" s="1608"/>
      <c r="AA65" s="1608"/>
      <c r="AB65" s="1608"/>
      <c r="AC65" s="1608"/>
      <c r="AD65" s="1608"/>
      <c r="AE65" s="1608"/>
      <c r="AF65" s="1608"/>
      <c r="AG65" s="1608"/>
      <c r="AH65" s="1608"/>
      <c r="AI65" s="1608"/>
      <c r="AJ65" s="1608"/>
      <c r="AK65" s="1608"/>
      <c r="AL65" s="1608"/>
      <c r="AM65" s="1608"/>
      <c r="AN65" s="1608"/>
      <c r="AO65" s="1608"/>
      <c r="AP65" s="1608"/>
      <c r="AQ65" s="1608"/>
      <c r="AS65" s="1073"/>
      <c r="AT65" s="1073" t="str">
        <f>IF(V65="","",V65)</f>
        <v>Добавить наименование тарифа</v>
      </c>
      <c r="AU65" s="1073"/>
      <c r="AV65" s="1073"/>
      <c r="AW65" s="802">
        <v>4</v>
      </c>
    </row>
    <row customHeight="1" ht="11.549999999999999">
      <c r="N66" s="1439"/>
      <c r="O66" s="1439"/>
      <c r="P66" s="793"/>
      <c r="Q66" s="1439"/>
      <c r="R66" s="1439"/>
      <c r="S66" s="1439"/>
      <c r="T66" s="1439"/>
      <c r="U66" s="1439"/>
      <c r="AR66" s="1439"/>
      <c r="AS66" s="1439"/>
      <c r="AT66" s="1439"/>
      <c r="AU66" s="1439"/>
      <c r="AV66" s="1439"/>
      <c r="AW66" s="1439">
        <v>11</v>
      </c>
    </row>
    <row customHeight="1" ht="35.699999999999996">
      <c r="P67" s="793"/>
      <c r="U67" s="1537"/>
      <c r="V67" s="2569"/>
      <c r="W67" s="2569"/>
      <c r="X67" s="2569"/>
      <c r="Y67" s="2569"/>
      <c r="Z67" s="2569"/>
      <c r="AA67" s="2569"/>
      <c r="AB67" s="2569"/>
      <c r="AC67" s="2569"/>
      <c r="AD67" s="2569"/>
      <c r="AE67" s="2569"/>
      <c r="AF67" s="2569"/>
      <c r="AG67" s="2569"/>
      <c r="AH67" s="2569"/>
      <c r="AI67" s="2569"/>
      <c r="AJ67" s="2569"/>
      <c r="AK67" s="2569"/>
      <c r="AL67" s="2569"/>
      <c r="AM67" s="2569"/>
      <c r="AN67" s="2569"/>
      <c r="AO67" s="2569"/>
      <c r="AP67" s="2569"/>
      <c r="AQ67" s="2569"/>
      <c r="AW67" s="1439">
        <v>34</v>
      </c>
    </row>
    <row customHeight="1" ht="21">
      <c r="P68" s="793"/>
      <c r="V68" s="2569"/>
      <c r="W68" s="2569"/>
      <c r="X68" s="2569"/>
      <c r="Y68" s="2569"/>
      <c r="Z68" s="2569"/>
      <c r="AA68" s="2569"/>
      <c r="AB68" s="2569"/>
      <c r="AC68" s="2569"/>
      <c r="AD68" s="2569"/>
      <c r="AE68" s="2569"/>
      <c r="AF68" s="2569"/>
      <c r="AG68" s="2569"/>
      <c r="AH68" s="2569"/>
      <c r="AI68" s="2569"/>
      <c r="AJ68" s="2569"/>
      <c r="AK68" s="2569"/>
      <c r="AL68" s="2569"/>
      <c r="AM68" s="2569"/>
      <c r="AN68" s="2569"/>
      <c r="AO68" s="2569"/>
      <c r="AP68" s="2569"/>
      <c r="AQ68" s="2569"/>
      <c r="AW68" s="1439">
        <v>20</v>
      </c>
    </row>
    <row customHeight="1" ht="14.699999999999998">
      <c r="P69" s="793"/>
      <c r="AW69" s="1439">
        <v>14</v>
      </c>
    </row>
    <row customHeight="1" ht="28.5">
      <c r="P70" s="793"/>
      <c r="V70" s="2569"/>
      <c r="W70" s="2569"/>
      <c r="X70" s="2569"/>
      <c r="Y70" s="2569"/>
      <c r="Z70" s="2569"/>
      <c r="AA70" s="2569"/>
      <c r="AB70" s="2569"/>
      <c r="AC70" s="2569"/>
      <c r="AD70" s="2569"/>
      <c r="AE70" s="2569"/>
      <c r="AF70" s="2569"/>
      <c r="AG70" s="2569"/>
      <c r="AH70" s="2569"/>
      <c r="AI70" s="2569"/>
      <c r="AJ70" s="2569"/>
      <c r="AK70" s="2569"/>
      <c r="AL70" s="2569"/>
      <c r="AM70" s="2569"/>
      <c r="AN70" s="2569"/>
      <c r="AO70" s="2569"/>
      <c r="AP70" s="2569"/>
      <c r="AQ70" s="2569"/>
      <c r="AW70" s="1439">
        <v>27</v>
      </c>
    </row>
    <row customHeight="1" ht="18.75">
      <c r="P71" s="793"/>
      <c r="V71" s="2569"/>
      <c r="W71" s="2569"/>
      <c r="X71" s="2569"/>
      <c r="Y71" s="2569"/>
      <c r="Z71" s="2569"/>
      <c r="AA71" s="2569"/>
      <c r="AB71" s="2569"/>
      <c r="AC71" s="2569"/>
      <c r="AD71" s="2569"/>
      <c r="AE71" s="2569"/>
      <c r="AF71" s="2569"/>
      <c r="AG71" s="2569"/>
      <c r="AH71" s="2569"/>
      <c r="AI71" s="2569"/>
      <c r="AJ71" s="2569"/>
      <c r="AK71" s="2569"/>
      <c r="AL71" s="2569"/>
      <c r="AM71" s="2569"/>
      <c r="AN71" s="2569"/>
      <c r="AO71" s="2569"/>
      <c r="AP71" s="2569"/>
      <c r="AQ71" s="2569"/>
      <c r="AW71" s="1439">
        <v>18</v>
      </c>
    </row>
    <row customHeight="1" ht="22.5" hidden="1">
      <c r="A72" s="1439" t="s">
        <v>83</v>
      </c>
      <c r="B72" s="1439">
        <v>0</v>
      </c>
      <c r="C72" s="1439">
        <v>0</v>
      </c>
      <c r="D72" s="1439">
        <v>0</v>
      </c>
      <c r="E72" s="1439">
        <v>0</v>
      </c>
      <c r="F72" s="1439">
        <v>0</v>
      </c>
      <c r="G72" s="1439">
        <v>0</v>
      </c>
      <c r="H72" s="1439">
        <v>0</v>
      </c>
      <c r="I72" s="1439">
        <v>0</v>
      </c>
      <c r="J72" s="1439">
        <v>0</v>
      </c>
      <c r="K72" s="1439">
        <v>0</v>
      </c>
      <c r="L72" s="1439">
        <v>0</v>
      </c>
      <c r="M72" s="1611">
        <v>0</v>
      </c>
      <c r="N72" s="1612">
        <v>0</v>
      </c>
      <c r="O72" s="1612">
        <v>0</v>
      </c>
      <c r="P72" s="1612">
        <v>0</v>
      </c>
      <c r="Q72" s="1612">
        <v>0</v>
      </c>
      <c r="R72" s="628">
        <v>3</v>
      </c>
      <c r="S72" s="628">
        <v>3</v>
      </c>
      <c r="T72" s="628">
        <v>3</v>
      </c>
      <c r="U72" s="865">
        <v>12</v>
      </c>
      <c r="V72" s="1439">
        <v>31</v>
      </c>
      <c r="W72" s="1439">
        <v>0</v>
      </c>
      <c r="X72" s="1439">
        <v>0</v>
      </c>
      <c r="Y72" s="1439">
        <v>0</v>
      </c>
      <c r="Z72" s="1439">
        <v>0</v>
      </c>
      <c r="AA72" s="1439">
        <v>0</v>
      </c>
      <c r="AB72" s="1439">
        <v>0</v>
      </c>
      <c r="AC72" s="1439">
        <v>0</v>
      </c>
      <c r="AD72" s="1439">
        <v>0</v>
      </c>
      <c r="AE72" s="1439">
        <v>0</v>
      </c>
      <c r="AF72" s="1439">
        <v>0</v>
      </c>
      <c r="AG72" s="1439">
        <v>21</v>
      </c>
      <c r="AH72" s="1439">
        <v>21</v>
      </c>
      <c r="AI72" s="1439">
        <v>21</v>
      </c>
      <c r="AJ72" s="1439">
        <v>21</v>
      </c>
      <c r="AK72" s="1439">
        <v>21</v>
      </c>
      <c r="AL72" s="1439">
        <v>11</v>
      </c>
      <c r="AM72" s="1439">
        <v>3</v>
      </c>
      <c r="AN72" s="1439">
        <v>11</v>
      </c>
      <c r="AO72" s="1439">
        <v>8</v>
      </c>
      <c r="AP72" s="1439">
        <v>4</v>
      </c>
      <c r="AQ72" s="1439">
        <v>115</v>
      </c>
      <c r="AR72" s="795">
        <v>10</v>
      </c>
      <c r="AS72" s="795">
        <v>10</v>
      </c>
      <c r="AT72" s="795">
        <v>10</v>
      </c>
      <c r="AU72" s="795">
        <v>10</v>
      </c>
      <c r="AV72" s="795">
        <v>10</v>
      </c>
      <c r="AW72" s="1439">
        <v>23</v>
      </c>
    </row>
  </sheetData>
  <sheetProtection formatColumns="0" formatRows="0" autoFilter="0" sort="0" insertRows="0" insertColumns="1" deleteRows="0" deleteColumns="0"/>
  <mergeCells count="122">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s>
  <dataValidations count="8">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CB2709B8-2FA8-2045-7578-73B68B013598}" mc:Ignorable="x14ac xr xr2 xr3">
  <sheetPr>
    <tabColor rgb="FFCCCCFF"/>
  </sheetPr>
  <dimension ref="A1:Q79"/>
  <sheetViews>
    <sheetView topLeftCell="A1" showGridLines="0" zoomScale="90" workbookViewId="0">
      <selection activeCell="F30" sqref="F30"/>
    </sheetView>
  </sheetViews>
  <sheetFormatPr defaultColWidth="9.140625" customHeight="1" defaultRowHeight="11.25"/>
  <cols>
    <col min="1" max="1" style="14152" width="10.7109375" hidden="1" customWidth="1"/>
    <col min="2" max="2" style="14153" width="10.7109375" hidden="1" customWidth="1"/>
    <col min="3" max="3" style="14154" width="3.00390625" customWidth="1"/>
    <col min="4" max="4" style="14077" width="1.00390625" customWidth="1"/>
    <col min="5" max="6" style="14077" width="55.00390625" customWidth="1"/>
    <col min="7" max="7" style="14155" width="1.00390625" customWidth="1"/>
    <col min="8" max="8" style="14077" width="18.00390625" hidden="1" customWidth="1"/>
    <col min="9" max="9" style="14156" width="59.00390625" customWidth="1"/>
    <col min="10" max="10" style="14157" width="52.140625" hidden="1" customWidth="1"/>
    <col min="11" max="11" style="14077" width="8.00390625" customWidth="1"/>
    <col min="12" max="12" style="14077" width="77.00390625" customWidth="1"/>
    <col min="13" max="16" style="14077" width="8.00390625" customWidth="1"/>
    <col min="17" max="17" style="14077" width="12.00390625" hidden="1" customWidth="1"/>
  </cols>
  <sheetData>
    <row s="14034" customFormat="1" customHeight="1" ht="3">
      <c r="A1" s="1067"/>
      <c r="B1" s="525"/>
      <c r="F1" s="526" t="s">
        <v>13</v>
      </c>
      <c r="G1" s="695"/>
      <c r="H1" s="355"/>
      <c r="I1" s="695"/>
      <c r="J1" s="1155"/>
      <c r="Q1" s="526" t="s">
        <v>14</v>
      </c>
    </row>
    <row s="14041" customFormat="1" customHeight="1" ht="14.25">
      <c r="A2" s="1067"/>
      <c r="B2" s="382"/>
      <c r="E2" s="2024" t="str">
        <f>code</f>
        <v>Код отчёта: PP110.OPEN.INFO.REQUEST.HEAT.EIAS</v>
      </c>
      <c r="F2" s="553"/>
      <c r="G2" s="529"/>
      <c r="H2" s="529"/>
      <c r="I2" s="529"/>
      <c r="J2" s="1156"/>
      <c r="K2" s="529"/>
      <c r="Q2" s="355">
        <v>14</v>
      </c>
    </row>
    <row customHeight="1" ht="14.699999999999998">
      <c r="E3" s="530" t="str">
        <f>version</f>
        <v>Версия отчёта: 1.1.1</v>
      </c>
      <c r="F3" s="553"/>
      <c r="G3" s="1054"/>
      <c r="H3" s="1054"/>
      <c r="I3" s="1054"/>
      <c r="J3" s="1157"/>
      <c r="K3" s="372"/>
      <c r="Q3" s="358">
        <v>14</v>
      </c>
    </row>
    <row s="14052" customFormat="1" customHeight="1" ht="6.3">
      <c r="A4" s="1068"/>
      <c r="B4" s="516"/>
      <c r="C4" s="517"/>
      <c r="D4" s="518"/>
      <c r="E4" s="527"/>
      <c r="F4" s="528"/>
      <c r="G4" s="1055"/>
      <c r="H4" s="693"/>
      <c r="I4" s="695"/>
      <c r="J4" s="1158"/>
      <c r="Q4" s="520">
        <v>6</v>
      </c>
    </row>
    <row customHeight="1" ht="39.75">
      <c r="D5" s="359"/>
      <c r="E5" s="2379" t="str">
        <f>NameTemplatesInTitle</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F5" s="2380"/>
      <c r="G5" s="1056"/>
      <c r="J5" s="1159"/>
      <c r="Q5" s="358">
        <v>38</v>
      </c>
    </row>
    <row s="14052" customFormat="1" customHeight="1" ht="6.3">
      <c r="A6" s="1068"/>
      <c r="B6" s="516"/>
      <c r="C6" s="517"/>
      <c r="D6" s="518"/>
      <c r="E6" s="521"/>
      <c r="F6" s="522"/>
      <c r="G6" s="1056"/>
      <c r="H6" s="693"/>
      <c r="I6" s="695"/>
      <c r="J6" s="1158"/>
      <c r="Q6" s="520">
        <v>6</v>
      </c>
    </row>
    <row customHeight="1" ht="21">
      <c r="D7" s="359"/>
      <c r="E7" s="675" t="s">
        <v>15</v>
      </c>
      <c r="F7" s="499" t="s">
        <v>16</v>
      </c>
      <c r="G7" s="1056"/>
      <c r="Q7" s="358">
        <v>20</v>
      </c>
    </row>
    <row s="14052" customFormat="1" customHeight="1" ht="6.3">
      <c r="A8" s="1069"/>
      <c r="B8" s="516"/>
      <c r="C8" s="517"/>
      <c r="D8" s="523"/>
      <c r="E8" s="521"/>
      <c r="F8" s="524"/>
      <c r="G8" s="361"/>
      <c r="H8" s="693"/>
      <c r="I8" s="695"/>
      <c r="J8" s="1161"/>
      <c r="Q8" s="520">
        <v>6</v>
      </c>
    </row>
    <row s="14077" customFormat="1" customHeight="1" ht="19.5" hidden="1">
      <c r="A9" s="1068"/>
      <c r="B9" s="382"/>
      <c r="C9" s="692"/>
      <c r="D9" s="694"/>
      <c r="E9" s="1449" t="s">
        <v>17</v>
      </c>
      <c r="F9" s="2205"/>
      <c r="G9" s="1056"/>
      <c r="I9" s="2184" t="str">
        <f>IF(TITLE_STRUCTURE_INFO_ROIV="","","раскрывается "&amp;INDEX(ROIV_INFO_COMMENT,MATCH(TITLE_STRUCTURE_INFO_ROIV,ROIV_INFO_LIST,0)))</f>
        <v/>
      </c>
      <c r="J9" s="1160"/>
      <c r="Q9" s="693">
        <v>0</v>
      </c>
    </row>
    <row s="14052" customFormat="1" customHeight="1" ht="24" hidden="1">
      <c r="A10" s="1069"/>
      <c r="B10" s="710"/>
      <c r="C10" s="711"/>
      <c r="D10" s="523"/>
      <c r="E10" s="1449" t="s">
        <v>18</v>
      </c>
      <c r="F10" s="2350" t="s">
        <v>19</v>
      </c>
      <c r="G10" s="361"/>
      <c r="H10" s="693"/>
      <c r="I10" s="695"/>
      <c r="J10" s="1161"/>
      <c r="Q10" s="714">
        <v>24</v>
      </c>
    </row>
    <row customHeight="1" ht="22.5">
      <c r="A11" s="2382" t="s">
        <v>20</v>
      </c>
      <c r="D11" s="359"/>
      <c r="E11" s="1449" t="s">
        <v>21</v>
      </c>
      <c r="F11" s="3014">
        <v>45658</v>
      </c>
      <c r="G11" s="361"/>
      <c r="H11" s="1057" t="s">
        <v>22</v>
      </c>
      <c r="J11" s="1160" t="s">
        <v>23</v>
      </c>
      <c r="Q11" s="358">
        <v>0</v>
      </c>
    </row>
    <row customHeight="1" ht="22.5">
      <c r="A12" s="2382"/>
      <c r="D12" s="359"/>
      <c r="E12" s="1449" t="s">
        <v>24</v>
      </c>
      <c r="F12" s="3014">
        <v>46022</v>
      </c>
      <c r="G12" s="357"/>
      <c r="J12" s="1160" t="s">
        <v>25</v>
      </c>
      <c r="Q12" s="358">
        <v>0</v>
      </c>
    </row>
    <row s="14077" customFormat="1" customHeight="1" ht="22.5" hidden="1">
      <c r="A13" s="1072" t="s">
        <v>26</v>
      </c>
      <c r="B13" s="382"/>
      <c r="C13" s="692"/>
      <c r="D13" s="694"/>
      <c r="E13" s="2059" t="s">
        <v>27</v>
      </c>
      <c r="F13" s="2016" t="s">
        <v>28</v>
      </c>
      <c r="G13" s="361"/>
      <c r="H13" s="1054"/>
      <c r="I13" s="695"/>
      <c r="J13" s="2060" t="s">
        <v>29</v>
      </c>
      <c r="Q13" s="693">
        <v>0</v>
      </c>
    </row>
    <row s="14077" customFormat="1" customHeight="1" ht="27" hidden="1">
      <c r="A14" s="1072" t="s">
        <v>30</v>
      </c>
      <c r="B14" s="382"/>
      <c r="C14" s="692"/>
      <c r="D14" s="694"/>
      <c r="E14" s="1449" t="s">
        <v>31</v>
      </c>
      <c r="F14" s="2051"/>
      <c r="G14" s="361"/>
      <c r="H14" s="1054"/>
      <c r="I14" s="695"/>
      <c r="J14" s="1160" t="s">
        <v>32</v>
      </c>
      <c r="Q14" s="693">
        <v>0</v>
      </c>
    </row>
    <row s="14077" customFormat="1" customHeight="1" ht="19.5" hidden="1">
      <c r="A15" s="1072" t="s">
        <v>33</v>
      </c>
      <c r="B15" s="382"/>
      <c r="C15" s="692"/>
      <c r="D15" s="694"/>
      <c r="E15" s="1449" t="s">
        <v>34</v>
      </c>
      <c r="F15" s="2051"/>
      <c r="G15" s="361"/>
      <c r="H15" s="1054"/>
      <c r="I15" s="695"/>
      <c r="J15" s="1160" t="s">
        <v>35</v>
      </c>
      <c r="Q15" s="693">
        <v>0</v>
      </c>
    </row>
    <row s="14052" customFormat="1" customHeight="1" ht="6.3">
      <c r="A16" s="1069"/>
      <c r="B16" s="516"/>
      <c r="C16" s="517"/>
      <c r="D16" s="523"/>
      <c r="E16" s="521"/>
      <c r="F16" s="524"/>
      <c r="G16" s="361"/>
      <c r="H16" s="693"/>
      <c r="I16" s="695"/>
      <c r="J16" s="1158"/>
      <c r="Q16" s="520">
        <v>6</v>
      </c>
    </row>
    <row customHeight="1" ht="21">
      <c r="D17" s="359"/>
      <c r="E17" s="675" t="s">
        <v>36</v>
      </c>
      <c r="F17" s="14097" t="s">
        <v>37</v>
      </c>
      <c r="G17" s="357"/>
      <c r="H17" s="1057" t="s">
        <v>22</v>
      </c>
      <c r="Q17" s="358">
        <v>20</v>
      </c>
    </row>
    <row customHeight="1" ht="25.5">
      <c r="D18" s="359"/>
      <c r="E18" s="2059" t="s">
        <v>38</v>
      </c>
      <c r="F18" s="14098">
        <v>45471</v>
      </c>
      <c r="G18" s="357"/>
      <c r="I18" s="1058"/>
      <c r="J18" s="2381" t="s">
        <v>39</v>
      </c>
      <c r="Q18" s="358">
        <v>0</v>
      </c>
    </row>
    <row customHeight="1" ht="25.5">
      <c r="D19" s="359"/>
      <c r="E19" s="1449" t="str">
        <f>"Дата периода регулирования, с которой "&amp;IF(TEMPLATE_GROUP="P","вводятся","предлагаются")&amp;" изменения в тарифы"</f>
        <v>Дата периода регулирования, с которой предлагаются изменения в тарифы</v>
      </c>
      <c r="F19" s="14098">
        <v>45658.56019675926</v>
      </c>
      <c r="G19" s="357"/>
      <c r="I19" s="1058"/>
      <c r="J19" s="2381"/>
      <c r="Q19" s="358">
        <v>0</v>
      </c>
    </row>
    <row customHeight="1" ht="22.5">
      <c r="D20" s="359"/>
      <c r="E20" s="360"/>
      <c r="F20" s="554" t="str">
        <f>"Первичное "&amp;IF(TEMPLATE_GROUP="P","установление тарифов","предложение по тарифам")</f>
        <v>Первичное предложение по тарифам</v>
      </c>
      <c r="G20" s="357"/>
      <c r="I20" s="678"/>
      <c r="J20" s="1159" t="s">
        <v>40</v>
      </c>
      <c r="Q20" s="358">
        <v>0</v>
      </c>
    </row>
    <row customHeight="1" ht="19.5">
      <c r="D21" s="359"/>
      <c r="E21" s="675" t="str">
        <f>"Дата "&amp;IF(TEMPLATE_GROUP="P","документа","подачи заявления")&amp;" об утверждении тарифов"</f>
        <v>Дата подачи заявления об утверждении тарифов</v>
      </c>
      <c r="F21" s="8530">
        <v>45407</v>
      </c>
      <c r="G21" s="357"/>
      <c r="I21" s="1059"/>
      <c r="Q21" s="358">
        <v>0</v>
      </c>
    </row>
    <row customHeight="1" ht="19.5">
      <c r="D22" s="359"/>
      <c r="E22" s="675" t="str">
        <f>"Номер "&amp;IF(TEMPLATE_GROUP="P","документа","подачи заявления")&amp;" об утверждении тарифов"</f>
        <v>Номер подачи заявления об утверждении тарифов</v>
      </c>
      <c r="F22" s="500" t="s">
        <v>41</v>
      </c>
      <c r="G22" s="357"/>
      <c r="I22" s="1059"/>
      <c r="Q22" s="358">
        <v>0</v>
      </c>
    </row>
    <row customHeight="1" ht="22.5" hidden="1">
      <c r="D23" s="359"/>
      <c r="E23" s="675" t="s">
        <v>42</v>
      </c>
      <c r="F23" s="500"/>
      <c r="G23" s="357"/>
      <c r="Q23" s="358">
        <v>0</v>
      </c>
    </row>
    <row customHeight="1" ht="19.5" hidden="1">
      <c r="D24" s="359"/>
      <c r="E24" s="675" t="s">
        <v>43</v>
      </c>
      <c r="F24" s="500"/>
      <c r="G24" s="357"/>
      <c r="Q24" s="358">
        <v>0</v>
      </c>
    </row>
    <row customHeight="1" ht="22.5">
      <c r="D25" s="359"/>
      <c r="E25" s="360"/>
      <c r="F25" s="554" t="str">
        <f>"Изменение "&amp;IF(TEMPLATE_GROUP="P","тарифов","предложения по тарифам")</f>
        <v>Изменение предложения по тарифам</v>
      </c>
      <c r="G25" s="357"/>
      <c r="J25" s="1159" t="s">
        <v>44</v>
      </c>
      <c r="Q25" s="358">
        <v>0</v>
      </c>
    </row>
    <row customHeight="1" ht="19.5">
      <c r="D26" s="359"/>
      <c r="E26" s="675" t="str">
        <f>"Дата "&amp;IF(TEMPLATE_GROUP="P","принятия решения","подачи заявления")&amp;" об изменении тарифов"</f>
        <v>Дата подачи заявления об изменении тарифов</v>
      </c>
      <c r="F26" s="14098">
        <v>45471</v>
      </c>
      <c r="G26" s="357"/>
      <c r="Q26" s="358">
        <v>0</v>
      </c>
    </row>
    <row customHeight="1" ht="19.5">
      <c r="D27" s="359"/>
      <c r="E27" s="1449" t="str">
        <f>"Номер "&amp;IF(TEMPLATE_GROUP="P","принятия решения","заявления")&amp;" об изменении тарифов"</f>
        <v>Номер заявления об изменении тарифов</v>
      </c>
      <c r="F27" s="14107" t="s">
        <v>45</v>
      </c>
      <c r="G27" s="357"/>
      <c r="Q27" s="358">
        <v>0</v>
      </c>
    </row>
    <row customHeight="1" ht="24.75" hidden="1">
      <c r="D28" s="359"/>
      <c r="E28" s="675" t="s">
        <v>46</v>
      </c>
      <c r="F28" s="502"/>
      <c r="G28" s="357"/>
      <c r="Q28" s="358">
        <v>0</v>
      </c>
    </row>
    <row customHeight="1" ht="19.5" hidden="1">
      <c r="D29" s="359"/>
      <c r="E29" s="675" t="s">
        <v>43</v>
      </c>
      <c r="F29" s="502"/>
      <c r="G29" s="357"/>
      <c r="Q29" s="358">
        <v>0</v>
      </c>
    </row>
    <row s="14052" customFormat="1" customHeight="1" ht="6.3">
      <c r="A30" s="1069"/>
      <c r="B30" s="516"/>
      <c r="C30" s="517"/>
      <c r="D30" s="523"/>
      <c r="E30" s="521"/>
      <c r="F30" s="524"/>
      <c r="G30" s="361"/>
      <c r="H30" s="693"/>
      <c r="I30" s="695"/>
      <c r="J30" s="1158"/>
      <c r="Q30" s="520">
        <v>6</v>
      </c>
    </row>
    <row customHeight="1" ht="21">
      <c r="C31" s="362"/>
      <c r="D31" s="363"/>
      <c r="E31" s="675" t="str">
        <f>"Наименование "&amp;IF(TEMPLATE_GROUP="ROIV","органа тарифного регулирования","ЮЛ / ИП")</f>
        <v>Наименование ЮЛ / ИП</v>
      </c>
      <c r="F31" s="501" t="s">
        <v>47</v>
      </c>
      <c r="G31" s="1060"/>
      <c r="Q31" s="358">
        <v>20</v>
      </c>
    </row>
    <row customHeight="1" ht="21" hidden="1">
      <c r="C32" s="362"/>
      <c r="D32" s="363"/>
      <c r="E32" s="676" t="s">
        <v>48</v>
      </c>
      <c r="F32" s="501"/>
      <c r="G32" s="1060"/>
      <c r="Q32" s="358">
        <v>20</v>
      </c>
    </row>
    <row customHeight="1" ht="21">
      <c r="C33" s="362"/>
      <c r="D33" s="363"/>
      <c r="E33" s="675" t="s">
        <v>49</v>
      </c>
      <c r="F33" s="501" t="s">
        <v>50</v>
      </c>
      <c r="G33" s="1060"/>
      <c r="Q33" s="358">
        <v>20</v>
      </c>
    </row>
    <row customHeight="1" ht="21">
      <c r="C34" s="362"/>
      <c r="D34" s="363"/>
      <c r="E34" s="675" t="s">
        <v>51</v>
      </c>
      <c r="F34" s="501" t="s">
        <v>52</v>
      </c>
      <c r="G34" s="1060"/>
      <c r="H34" s="364"/>
      <c r="Q34" s="358">
        <v>20</v>
      </c>
    </row>
    <row s="14052" customFormat="1" customHeight="1" ht="11.549999999999999">
      <c r="A35" s="1069"/>
      <c r="B35" s="516"/>
      <c r="C35" s="517"/>
      <c r="D35" s="523"/>
      <c r="E35" s="521"/>
      <c r="F35" s="524"/>
      <c r="G35" s="361"/>
      <c r="H35" s="693"/>
      <c r="I35" s="695"/>
      <c r="J35" s="1158"/>
      <c r="Q35" s="520">
        <v>11</v>
      </c>
    </row>
    <row customHeight="1" ht="19.5">
      <c r="A36" s="1163"/>
      <c r="D36" s="363"/>
      <c r="E36" s="675" t="s">
        <v>53</v>
      </c>
      <c r="F36" s="3039" t="s">
        <v>54</v>
      </c>
      <c r="G36" s="361"/>
      <c r="Q36" s="358">
        <v>0</v>
      </c>
    </row>
    <row customHeight="1" ht="21">
      <c r="A37" s="1163"/>
      <c r="D37" s="363"/>
      <c r="E37" s="675" t="s">
        <v>55</v>
      </c>
      <c r="F37" s="3039" t="s">
        <v>56</v>
      </c>
      <c r="G37" s="361"/>
      <c r="Q37" s="358">
        <v>20</v>
      </c>
    </row>
    <row s="14052" customFormat="1" customHeight="1" ht="6.3">
      <c r="A38" s="1069"/>
      <c r="B38" s="516"/>
      <c r="C38" s="517"/>
      <c r="D38" s="518"/>
      <c r="E38" s="519"/>
      <c r="F38" s="1337"/>
      <c r="G38" s="357"/>
      <c r="H38" s="693"/>
      <c r="I38" s="695"/>
      <c r="J38" s="1160"/>
      <c r="Q38" s="520">
        <v>6</v>
      </c>
    </row>
    <row customHeight="1" ht="36.75">
      <c r="A39" s="1069"/>
      <c r="D39" s="359"/>
      <c r="E39" s="675" t="s">
        <v>57</v>
      </c>
      <c r="F39" s="994" t="s">
        <v>19</v>
      </c>
      <c r="G39" s="357"/>
      <c r="H39" s="1057" t="s">
        <v>22</v>
      </c>
      <c r="Q39" s="358">
        <v>35</v>
      </c>
    </row>
    <row s="14052" customFormat="1" customHeight="1" ht="6" hidden="1">
      <c r="A40" s="1068"/>
      <c r="B40" s="710"/>
      <c r="C40" s="711"/>
      <c r="D40" s="712"/>
      <c r="E40" s="713"/>
      <c r="F40" s="1337"/>
      <c r="G40" s="357"/>
      <c r="H40" s="693"/>
      <c r="I40" s="695"/>
      <c r="J40" s="1160"/>
      <c r="Q40" s="714">
        <v>6</v>
      </c>
    </row>
    <row s="14077" customFormat="1" customHeight="1" ht="26.25" hidden="1">
      <c r="A41" s="1072" t="s">
        <v>26</v>
      </c>
      <c r="B41" s="697"/>
      <c r="C41" s="692"/>
      <c r="D41" s="694"/>
      <c r="E41" s="675" t="str">
        <f>"Дифференциация информации по централизованным системам  "&amp;TEMPLATE_SPHERE_RUS</f>
        <v>Дифференциация информации по централизованным системам  теплоснабжения</v>
      </c>
      <c r="F41" s="994" t="s">
        <v>19</v>
      </c>
      <c r="G41" s="357"/>
      <c r="I41" s="695"/>
      <c r="J41" s="1160"/>
      <c r="Q41" s="693">
        <v>0</v>
      </c>
    </row>
    <row s="14052" customFormat="1" customHeight="1" ht="6">
      <c r="A42" s="1068"/>
      <c r="B42" s="710"/>
      <c r="C42" s="711"/>
      <c r="D42" s="712"/>
      <c r="E42" s="713"/>
      <c r="F42" s="1337"/>
      <c r="G42" s="357"/>
      <c r="H42" s="693"/>
      <c r="I42" s="695"/>
      <c r="J42" s="1158"/>
      <c r="Q42" s="714">
        <v>0</v>
      </c>
    </row>
    <row s="14077" customFormat="1" customHeight="1" ht="27" hidden="1">
      <c r="A43" s="1068"/>
      <c r="B43" s="697"/>
      <c r="C43" s="692"/>
      <c r="D43" s="694"/>
      <c r="E43" s="675" t="s">
        <v>58</v>
      </c>
      <c r="F43" s="994" t="s">
        <v>19</v>
      </c>
      <c r="G43" s="357"/>
      <c r="I43" s="695"/>
      <c r="J43" s="1160"/>
      <c r="Q43" s="693">
        <v>0</v>
      </c>
    </row>
    <row s="14077" customFormat="1" customHeight="1" ht="27" hidden="1">
      <c r="A44" s="1068"/>
      <c r="B44" s="697"/>
      <c r="C44" s="692"/>
      <c r="D44" s="694"/>
      <c r="E44" s="1449" t="s">
        <v>59</v>
      </c>
      <c r="F44" s="2172"/>
      <c r="G44" s="357"/>
      <c r="I44" s="695"/>
      <c r="J44" s="1160"/>
      <c r="Q44" s="693">
        <v>0</v>
      </c>
    </row>
    <row s="14052" customFormat="1" customHeight="1" ht="6">
      <c r="A45" s="1068"/>
      <c r="B45" s="710"/>
      <c r="C45" s="711"/>
      <c r="D45" s="712"/>
      <c r="E45" s="713"/>
      <c r="F45" s="1337"/>
      <c r="G45" s="357"/>
      <c r="H45" s="693"/>
      <c r="I45" s="695"/>
      <c r="J45" s="1160"/>
      <c r="Q45" s="714">
        <v>0</v>
      </c>
    </row>
    <row s="14052" customFormat="1" customHeight="1" ht="24.75">
      <c r="A46" s="1068"/>
      <c r="B46" s="710"/>
      <c r="C46" s="711"/>
      <c r="D46" s="712"/>
      <c r="E46" s="1449" t="s">
        <v>60</v>
      </c>
      <c r="F46" s="994" t="s">
        <v>19</v>
      </c>
      <c r="G46" s="357"/>
      <c r="H46" s="693"/>
      <c r="I46" s="695"/>
      <c r="J46" s="1160"/>
      <c r="Q46" s="714">
        <v>0</v>
      </c>
    </row>
    <row s="14077" customFormat="1" customHeight="1" ht="24.75">
      <c r="A47" s="1068"/>
      <c r="B47" s="697"/>
      <c r="C47" s="692"/>
      <c r="D47" s="694"/>
      <c r="E47" s="1449" t="s">
        <v>61</v>
      </c>
      <c r="F47" s="994" t="s">
        <v>19</v>
      </c>
      <c r="G47" s="357"/>
      <c r="I47" s="695"/>
      <c r="J47" s="1160"/>
      <c r="Q47" s="693">
        <v>0</v>
      </c>
    </row>
    <row s="14052" customFormat="1" customHeight="1" ht="6" hidden="1">
      <c r="A48" s="1068"/>
      <c r="B48" s="516"/>
      <c r="C48" s="517"/>
      <c r="D48" s="518"/>
      <c r="E48" s="519"/>
      <c r="F48" s="1337"/>
      <c r="G48" s="357"/>
      <c r="H48" s="693"/>
      <c r="I48" s="695"/>
      <c r="J48" s="1160"/>
      <c r="Q48" s="520">
        <v>0</v>
      </c>
    </row>
    <row customHeight="1" ht="29.25" hidden="1">
      <c r="B49" s="432"/>
      <c r="D49" s="359"/>
      <c r="E49" s="675"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теплоснабжения</v>
      </c>
      <c r="F49" s="994"/>
      <c r="G49" s="357"/>
      <c r="Q49" s="358">
        <v>0</v>
      </c>
    </row>
    <row s="14052" customFormat="1" customHeight="1" ht="6" hidden="1">
      <c r="A50" s="1069"/>
      <c r="B50" s="710"/>
      <c r="C50" s="711"/>
      <c r="D50" s="523"/>
      <c r="E50" s="521"/>
      <c r="F50" s="524"/>
      <c r="G50" s="361"/>
      <c r="H50" s="693"/>
      <c r="I50" s="695"/>
      <c r="J50" s="1160"/>
      <c r="Q50" s="714">
        <v>0</v>
      </c>
    </row>
    <row s="14077" customFormat="1" customHeight="1" ht="28.5" hidden="1">
      <c r="A51" s="1070"/>
      <c r="B51" s="697"/>
      <c r="C51" s="814"/>
      <c r="D51" s="815"/>
      <c r="E51" s="675" t="s">
        <v>62</v>
      </c>
      <c r="F51" s="994" t="s">
        <v>19</v>
      </c>
      <c r="G51" s="816"/>
      <c r="I51" s="818"/>
      <c r="J51" s="1162"/>
      <c r="P51" s="819"/>
      <c r="Q51" s="817">
        <v>0</v>
      </c>
    </row>
    <row s="14052" customFormat="1" customHeight="1" ht="6" hidden="1">
      <c r="A52" s="1069"/>
      <c r="B52" s="710"/>
      <c r="C52" s="711"/>
      <c r="D52" s="523"/>
      <c r="E52" s="521"/>
      <c r="F52" s="524"/>
      <c r="G52" s="361"/>
      <c r="H52" s="693"/>
      <c r="I52" s="695"/>
      <c r="J52" s="1158"/>
      <c r="Q52" s="714">
        <v>0</v>
      </c>
    </row>
    <row s="14077" customFormat="1" customHeight="1" ht="27" hidden="1">
      <c r="A53" s="1070"/>
      <c r="B53" s="697"/>
      <c r="C53" s="814"/>
      <c r="D53" s="815"/>
      <c r="E53" s="675" t="s">
        <v>63</v>
      </c>
      <c r="F53" s="1332" t="s">
        <v>19</v>
      </c>
      <c r="G53" s="816"/>
      <c r="I53" s="818"/>
      <c r="J53" s="1162"/>
      <c r="P53" s="819"/>
      <c r="Q53" s="817">
        <v>0</v>
      </c>
    </row>
    <row s="14077" customFormat="1" customHeight="1" ht="27" hidden="1">
      <c r="A54" s="1070"/>
      <c r="B54" s="697"/>
      <c r="C54" s="814"/>
      <c r="D54" s="815"/>
      <c r="E54" s="675" t="s">
        <v>64</v>
      </c>
      <c r="F54" s="2058"/>
      <c r="G54" s="816"/>
      <c r="I54" s="818"/>
      <c r="J54" s="1162"/>
      <c r="P54" s="819"/>
      <c r="Q54" s="817">
        <v>0</v>
      </c>
    </row>
    <row s="14052" customFormat="1" customHeight="1" ht="6" hidden="1">
      <c r="A55" s="1069"/>
      <c r="B55" s="710"/>
      <c r="C55" s="711"/>
      <c r="D55" s="523"/>
      <c r="E55" s="521"/>
      <c r="F55" s="524"/>
      <c r="G55" s="361"/>
      <c r="H55" s="693"/>
      <c r="I55" s="695"/>
      <c r="J55" s="1158"/>
      <c r="Q55" s="714">
        <v>0</v>
      </c>
    </row>
    <row s="14077" customFormat="1" customHeight="1" ht="25.5" hidden="1">
      <c r="A56" s="1070"/>
      <c r="B56" s="697"/>
      <c r="C56" s="814"/>
      <c r="D56" s="815"/>
      <c r="E56" s="675" t="s">
        <v>65</v>
      </c>
      <c r="F56" s="1332" t="s">
        <v>19</v>
      </c>
      <c r="G56" s="816"/>
      <c r="I56" s="818"/>
      <c r="J56" s="1162"/>
      <c r="P56" s="819"/>
      <c r="Q56" s="817">
        <v>0</v>
      </c>
    </row>
    <row s="14052" customFormat="1" customHeight="1" ht="6" hidden="1">
      <c r="A57" s="1069"/>
      <c r="B57" s="710"/>
      <c r="C57" s="711"/>
      <c r="D57" s="523"/>
      <c r="E57" s="521"/>
      <c r="F57" s="524"/>
      <c r="G57" s="361"/>
      <c r="H57" s="693"/>
      <c r="I57" s="695"/>
      <c r="J57" s="1158"/>
      <c r="Q57" s="714">
        <v>0</v>
      </c>
    </row>
    <row s="14077" customFormat="1" customHeight="1" ht="15" hidden="1">
      <c r="A58" s="1070"/>
      <c r="B58" s="697"/>
      <c r="C58" s="814"/>
      <c r="D58" s="815"/>
      <c r="E58" s="675" t="s">
        <v>66</v>
      </c>
      <c r="F58" s="1332" t="s">
        <v>67</v>
      </c>
      <c r="G58" s="816"/>
      <c r="I58" s="818"/>
      <c r="J58" s="1162"/>
      <c r="P58" s="819"/>
      <c r="Q58" s="817">
        <v>0</v>
      </c>
    </row>
    <row s="14077" customFormat="1" customHeight="1" ht="75" hidden="1">
      <c r="A59" s="1070"/>
      <c r="B59" s="697"/>
      <c r="C59" s="814"/>
      <c r="D59" s="815"/>
      <c r="E59" s="675"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теплоснабжения осуществляются по регулируемым ценам (тарифам) (за исключением деятельности по подключению (технологическому присоединению) к системе  теплоснабжения)</v>
      </c>
      <c r="F59" s="1473"/>
      <c r="G59" s="816"/>
      <c r="I59" s="818"/>
      <c r="J59" s="1162"/>
      <c r="P59" s="819"/>
      <c r="Q59" s="817">
        <v>0</v>
      </c>
    </row>
    <row s="14077" customFormat="1" customHeight="1" ht="15" hidden="1">
      <c r="A60" s="1070"/>
      <c r="B60" s="697"/>
      <c r="C60" s="814"/>
      <c r="D60" s="815"/>
      <c r="E60" s="1449" t="s">
        <v>68</v>
      </c>
      <c r="F60" s="1435"/>
      <c r="G60" s="816"/>
      <c r="I60" s="818"/>
      <c r="J60" s="1162"/>
      <c r="P60" s="819"/>
      <c r="Q60" s="817">
        <v>0</v>
      </c>
    </row>
    <row s="14052" customFormat="1" customHeight="1" ht="6" hidden="1">
      <c r="A61" s="1069"/>
      <c r="B61" s="710"/>
      <c r="C61" s="711"/>
      <c r="D61" s="712"/>
      <c r="E61" s="713"/>
      <c r="F61" s="1337"/>
      <c r="G61" s="357"/>
      <c r="H61" s="693"/>
      <c r="I61" s="695"/>
      <c r="J61" s="1160"/>
      <c r="Q61" s="714">
        <v>0</v>
      </c>
    </row>
    <row s="14077" customFormat="1" customHeight="1" ht="33.75" hidden="1">
      <c r="A62" s="1069"/>
      <c r="B62" s="382"/>
      <c r="C62" s="692"/>
      <c r="D62" s="694"/>
      <c r="E62" s="1449" t="s">
        <v>69</v>
      </c>
      <c r="F62" s="1955" t="s">
        <v>67</v>
      </c>
      <c r="G62" s="357"/>
      <c r="H62" s="1057" t="s">
        <v>22</v>
      </c>
      <c r="I62" s="695"/>
      <c r="J62" s="1160"/>
      <c r="Q62" s="693">
        <v>0</v>
      </c>
    </row>
    <row s="14052" customFormat="1" customHeight="1" ht="6.3">
      <c r="A63" s="1069"/>
      <c r="B63" s="516"/>
      <c r="C63" s="517"/>
      <c r="D63" s="523"/>
      <c r="E63" s="521"/>
      <c r="F63" s="524"/>
      <c r="G63" s="361"/>
      <c r="H63" s="693"/>
      <c r="I63" s="695"/>
      <c r="J63" s="1158"/>
      <c r="Q63" s="520">
        <v>6</v>
      </c>
    </row>
    <row customHeight="1" ht="21">
      <c r="A64" s="1071"/>
      <c r="B64" s="383"/>
      <c r="D64" s="366"/>
      <c r="E64" s="675" t="s">
        <v>70</v>
      </c>
      <c r="F64" s="500" t="s">
        <v>71</v>
      </c>
      <c r="G64" s="361"/>
      <c r="Q64" s="358">
        <v>20</v>
      </c>
    </row>
    <row customHeight="1" ht="21">
      <c r="A65" s="1071"/>
      <c r="B65" s="383"/>
      <c r="D65" s="366"/>
      <c r="E65" s="675" t="s">
        <v>72</v>
      </c>
      <c r="F65" s="500" t="s">
        <v>73</v>
      </c>
      <c r="G65" s="361"/>
      <c r="Q65" s="358">
        <v>20</v>
      </c>
    </row>
    <row customHeight="1" ht="36.75">
      <c r="D66" s="359"/>
      <c r="E66" s="677" t="s">
        <v>74</v>
      </c>
      <c r="F66" s="1338"/>
      <c r="G66" s="357"/>
      <c r="Q66" s="358">
        <v>35</v>
      </c>
    </row>
    <row customHeight="1" ht="21">
      <c r="A67" s="1071"/>
      <c r="D67" s="694"/>
      <c r="E67" s="675" t="s">
        <v>75</v>
      </c>
      <c r="F67" s="555" t="s">
        <v>76</v>
      </c>
      <c r="G67" s="361"/>
      <c r="Q67" s="358">
        <v>20</v>
      </c>
    </row>
    <row customHeight="1" ht="21">
      <c r="A68" s="1071"/>
      <c r="B68" s="383"/>
      <c r="D68" s="366"/>
      <c r="E68" s="675" t="s">
        <v>77</v>
      </c>
      <c r="F68" s="555" t="s">
        <v>78</v>
      </c>
      <c r="G68" s="361"/>
      <c r="Q68" s="358">
        <v>20</v>
      </c>
    </row>
    <row customHeight="1" ht="21">
      <c r="A69" s="1071"/>
      <c r="B69" s="383"/>
      <c r="D69" s="366"/>
      <c r="E69" s="675" t="s">
        <v>79</v>
      </c>
      <c r="F69" s="555" t="s">
        <v>80</v>
      </c>
      <c r="G69" s="361"/>
      <c r="Q69" s="358">
        <v>20</v>
      </c>
    </row>
    <row customHeight="1" ht="21">
      <c r="D70" s="694"/>
      <c r="E70" s="675" t="s">
        <v>81</v>
      </c>
      <c r="F70" s="3067" t="s">
        <v>82</v>
      </c>
      <c r="G70" s="357"/>
      <c r="Q70" s="358">
        <v>20</v>
      </c>
    </row>
    <row customHeight="1" ht="21">
      <c r="A71" s="1071"/>
      <c r="D71" s="357"/>
      <c r="F71" s="417"/>
      <c r="G71" s="361"/>
      <c r="Q71" s="358">
        <v>20</v>
      </c>
    </row>
    <row customHeight="1" ht="21">
      <c r="A72" s="1071"/>
      <c r="B72" s="383"/>
      <c r="D72" s="366"/>
      <c r="E72" s="365"/>
      <c r="F72" s="1317" t="s">
        <v>13</v>
      </c>
      <c r="G72" s="361"/>
      <c r="Q72" s="358">
        <v>20</v>
      </c>
    </row>
    <row customHeight="1" ht="21">
      <c r="A73" s="1071"/>
      <c r="B73" s="383"/>
      <c r="D73" s="366"/>
      <c r="E73" s="365"/>
      <c r="F73" s="418"/>
      <c r="G73" s="361"/>
      <c r="Q73" s="358">
        <v>20</v>
      </c>
    </row>
    <row customHeight="1" ht="21">
      <c r="A74" s="1071"/>
      <c r="B74" s="383"/>
      <c r="D74" s="366"/>
      <c r="E74" s="370"/>
      <c r="F74" s="418"/>
      <c r="G74" s="361"/>
      <c r="Q74" s="358">
        <v>20</v>
      </c>
    </row>
    <row customHeight="1" ht="21">
      <c r="A75" s="1071"/>
      <c r="B75" s="383"/>
      <c r="D75" s="366"/>
      <c r="E75" s="365"/>
      <c r="F75" s="418"/>
      <c r="G75" s="361"/>
      <c r="Q75" s="358">
        <v>20</v>
      </c>
    </row>
    <row customHeight="1" ht="11.549999999999999">
      <c r="Q76" s="358">
        <v>11</v>
      </c>
    </row>
    <row customHeight="1" ht="11.549999999999999">
      <c r="Q77" s="358">
        <v>11</v>
      </c>
    </row>
    <row customHeight="1" ht="11.549999999999999">
      <c r="E78" s="674"/>
      <c r="F78" s="674"/>
      <c r="G78" s="674"/>
      <c r="H78" s="674"/>
      <c r="I78" s="674"/>
      <c r="Q78" s="358">
        <v>11</v>
      </c>
    </row>
    <row customHeight="1" ht="11.25" hidden="1">
      <c r="A79" s="1068" t="s">
        <v>83</v>
      </c>
      <c r="B79" s="382">
        <v>0</v>
      </c>
      <c r="C79" s="356">
        <v>3</v>
      </c>
      <c r="D79" s="358">
        <v>1</v>
      </c>
      <c r="E79" s="358">
        <v>55</v>
      </c>
      <c r="F79" s="358">
        <v>54</v>
      </c>
      <c r="G79" s="1055">
        <v>1</v>
      </c>
      <c r="H79" s="693">
        <v>0</v>
      </c>
      <c r="I79" s="695">
        <v>59</v>
      </c>
      <c r="J79" s="1160">
        <v>0</v>
      </c>
      <c r="K79" s="358">
        <v>8</v>
      </c>
      <c r="L79" s="358">
        <v>77</v>
      </c>
      <c r="M79" s="358">
        <v>8</v>
      </c>
      <c r="N79" s="358">
        <v>8</v>
      </c>
      <c r="O79" s="358">
        <v>8</v>
      </c>
      <c r="P79" s="358">
        <v>8</v>
      </c>
      <c r="Q79" s="358">
        <v>11</v>
      </c>
    </row>
  </sheetData>
  <sheetProtection formatColumns="0" formatRows="0" sort="0" autoFilter="0" insertRows="0" insertColumns="1" deleteRows="0" deleteColumns="0"/>
  <mergeCells count="3">
    <mergeCell ref="E5:F5"/>
    <mergeCell ref="J18:J19"/>
    <mergeCell ref="A11:A12"/>
  </mergeCells>
  <dataValidations count="13">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 type="list" allowBlank="1" showInputMessage="1" showErrorMessage="1" errorTitle="Ошибка" error="Выберите значение из списка" prompt="Выберите значение из списка" sqref="F61 F38">
      <formula1>kind_of_NDS</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15">
      <formula1>QUARTER</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allowBlank="1" showInputMessage="1" showErrorMessage="1" prompt="Выбор организации двойным щелчком левой клавиши мыши" sqref="F31"/>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formula1>kind_of_NDS</formula1>
    </dataValidation>
  </dataValidations>
  <hyperlinks>
    <hyperlink ref="H11" location="Титульный!H9" display="Как заполнить?" tooltip="Помощь по работе с полями отчётной формы" xr:uid="{2D081448-7F56-81B8-5FA8-930DC65601E8}"/>
    <hyperlink ref="H17" location="Титульный!H9" display="Как заполнить?" tooltip="Помощь по работе с полями отчётной формы" xr:uid="{297DEDD8-EA38-83A8-A558-96B4EE34EF48}"/>
    <hyperlink ref="H39" location="Титульный!H9" display="Как заполнить?" tooltip="Помощь по работе с полями отчётной формы" xr:uid="{B8ED09D8-7775-8F58-2638-59ABD4189EFC}"/>
    <hyperlink ref="H62" location="Титульный!H9" display="Как заполнить?" tooltip="Помощь по работе с полями отчётной формы" xr:uid="{FF7E3ED8-0E8C-9C05-DD68-7C38A29BEB67}"/>
    <hyperlink ref="F70" r:id="rId4" xr:uid="{AEA82708-C258-83BE-5A26-F8396A4BF6B8}"/>
  </hyperlinks>
  <pageMargins left="0.75" right="0.75" top="1.00" bottom="1.00" header="0.50" footer="0.50"/>
  <pageSetup paperSize="8" pageOrder="downThenOver" orientation="portrait"/>
  <headerFooter>
    <oddHeader>&amp;L&amp;C&amp;R</oddHeader>
    <oddFooter>&amp;L&amp;C&amp;R</oddFooter>
    <evenHeader>&amp;L&amp;C&amp;R</evenHeader>
    <evenFooter>&amp;L&amp;C&amp;R</evenFooter>
  </headerFooter>
  <drawing r:id="rId3"/>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5C10E76-E798-7D51-0658-DF1F95EADFC8}" mc:Ignorable="x14ac xr xr2 xr3">
  <sheetPr>
    <tabColor theme="6" tint="0.4"/>
  </sheetPr>
  <dimension ref="A1:BA70"/>
  <sheetViews>
    <sheetView topLeftCell="A1" showGridLines="0" zoomScale="90" workbookViewId="0">
      <selection activeCell="A1" sqref="A1"/>
    </sheetView>
  </sheetViews>
  <sheetFormatPr defaultColWidth="10.57421875" customHeight="1" defaultRowHeight="14.25"/>
  <cols>
    <col min="1" max="1" style="14157" width="10.57421875" hidden="1"/>
    <col min="2" max="2" style="14157" width="11.00390625" hidden="1" customWidth="1"/>
    <col min="3" max="3" style="14157" width="10.57421875" hidden="1"/>
    <col min="4" max="4" style="14157" width="11.8515625" hidden="1" customWidth="1"/>
    <col min="5" max="5" style="14157" width="10.00390625" hidden="1" customWidth="1"/>
    <col min="6" max="6" style="14157" width="8.7109375" hidden="1" customWidth="1"/>
    <col min="7" max="7" style="14157" width="7.57421875" hidden="1" customWidth="1"/>
    <col min="8" max="8" style="14157" width="11.421875" hidden="1" customWidth="1"/>
    <col min="9" max="9" style="14157" width="12.00390625" hidden="1" customWidth="1"/>
    <col min="10" max="10" style="14157" width="9.8515625" hidden="1" customWidth="1"/>
    <col min="11" max="11" style="14157" width="11.421875" hidden="1" customWidth="1"/>
    <col min="12" max="12" style="14974" width="19.140625" hidden="1" customWidth="1"/>
    <col min="13" max="14" style="14975" width="12.28125" hidden="1" customWidth="1"/>
    <col min="15" max="15" style="14975" width="23.421875" hidden="1" customWidth="1"/>
    <col min="16" max="16" style="14975" width="3.00390625" customWidth="1"/>
    <col min="17" max="17" style="15266" width="3.00390625" customWidth="1"/>
    <col min="18" max="18" style="14977" width="3.00390625" customWidth="1"/>
    <col min="19" max="19" style="14978" width="12.00390625" customWidth="1"/>
    <col min="20" max="20" style="14077" width="31.00390625" customWidth="1"/>
    <col min="21" max="21" style="14077" width="0.140625" customWidth="1"/>
    <col min="22" max="23" style="14077" width="21.7109375" hidden="1" customWidth="1"/>
    <col min="24" max="24" style="14077" width="11.7109375" hidden="1" customWidth="1"/>
    <col min="25" max="25" style="14077" width="3.7109375" hidden="1" customWidth="1"/>
    <col min="26" max="26" style="14077" width="11.7109375" hidden="1" customWidth="1"/>
    <col min="27" max="27" style="14077" width="8.57421875" hidden="1" customWidth="1"/>
    <col min="28" max="28" style="14077" width="5.421875" customWidth="1"/>
    <col min="29" max="30" style="14077" width="3.00390625" customWidth="1"/>
    <col min="31" max="31" style="14077" width="24.00390625" customWidth="1"/>
    <col min="32" max="32" style="14077" width="3.7109375" customWidth="1"/>
    <col min="33" max="34" style="14077" width="3.00390625" customWidth="1"/>
    <col min="35" max="35" style="14077" width="24.00390625" customWidth="1"/>
    <col min="36" max="36" style="14077" width="3.7109375" customWidth="1"/>
    <col min="37" max="38" style="14077" width="3.00390625" customWidth="1"/>
    <col min="39" max="39" style="14077" width="18.00390625" customWidth="1"/>
    <col min="40" max="41" style="14077" width="21.00390625" customWidth="1"/>
    <col min="42" max="42" style="14077" width="11.00390625" customWidth="1"/>
    <col min="43" max="43" style="14077" width="3.7109375" customWidth="1"/>
    <col min="44" max="44" style="14077" width="11.00390625" customWidth="1"/>
    <col min="45" max="45" style="14077" width="8.57421875" hidden="1" customWidth="1"/>
    <col min="46" max="46" style="14077" width="4.00390625" customWidth="1"/>
    <col min="47" max="47" style="14077" width="115.00390625" customWidth="1"/>
    <col min="48" max="52" style="14158" width="10.00390625" customWidth="1"/>
    <col min="53" max="53" style="14077" width="10.57421875" hidden="1"/>
  </cols>
  <sheetData>
    <row customHeight="1" ht="22.5" hidden="1">
      <c r="W1" s="611"/>
      <c r="X1" s="611"/>
      <c r="AO1" s="611"/>
      <c r="AP1" s="611"/>
      <c r="BA1" s="1439" t="s">
        <v>14</v>
      </c>
    </row>
    <row customHeight="1" ht="21" hidden="1">
      <c r="A2" s="1647"/>
      <c r="B2" s="1647"/>
      <c r="C2" s="1647"/>
      <c r="D2" s="1647"/>
      <c r="E2" s="2542">
        <v>1</v>
      </c>
      <c r="F2" s="1647"/>
      <c r="G2" s="1647"/>
      <c r="H2" s="1647"/>
      <c r="I2" s="1647"/>
      <c r="J2" s="1647"/>
      <c r="K2" s="1647"/>
      <c r="L2" s="1648"/>
      <c r="M2" s="1649"/>
      <c r="N2" s="1649"/>
      <c r="O2" s="1649"/>
      <c r="P2" s="1693"/>
      <c r="Q2" s="1157"/>
      <c r="R2" s="639"/>
      <c r="S2" s="1620">
        <f>INDEX(PT_DIFFERENTIATION_NUM_NTAR,MATCH(A2,PT_DIFFERENTIATION_NTAR_ID,0))</f>
      </c>
      <c r="T2" s="582" t="s">
        <v>124</v>
      </c>
      <c r="U2" s="584"/>
      <c r="V2" s="2527"/>
      <c r="W2" s="2527"/>
      <c r="X2" s="2527"/>
      <c r="Y2" s="2527"/>
      <c r="Z2" s="2527"/>
      <c r="AA2" s="2528"/>
      <c r="AB2" s="2526">
        <f>INDEX(PT_DIFFERENTIATION_NTAR,MATCH(A2,PT_DIFFERENTIATION_NTAR_ID,0))</f>
      </c>
      <c r="AC2" s="2527"/>
      <c r="AD2" s="2527"/>
      <c r="AE2" s="2527"/>
      <c r="AF2" s="2527"/>
      <c r="AG2" s="2527"/>
      <c r="AH2" s="2527"/>
      <c r="AI2" s="2527"/>
      <c r="AJ2" s="2527"/>
      <c r="AK2" s="2527"/>
      <c r="AL2" s="2527"/>
      <c r="AM2" s="2527"/>
      <c r="AN2" s="2527"/>
      <c r="AO2" s="2527"/>
      <c r="AP2" s="2527"/>
      <c r="AQ2" s="2527"/>
      <c r="AR2" s="2527"/>
      <c r="AS2" s="2527"/>
      <c r="AT2" s="2528"/>
      <c r="AU2" s="1542" t="s">
        <v>401</v>
      </c>
      <c r="AW2" s="784"/>
      <c r="AX2" s="784" t="str">
        <f>IF(T2="","",T2)</f>
        <v>Наименование тарифа</v>
      </c>
      <c r="AY2" s="784"/>
      <c r="AZ2" s="784"/>
      <c r="BA2" s="1439">
        <v>0</v>
      </c>
    </row>
    <row customHeight="1" ht="21" hidden="1">
      <c r="A3" s="1647"/>
      <c r="B3" s="1647"/>
      <c r="C3" s="1647"/>
      <c r="D3" s="1647"/>
      <c r="E3" s="2543"/>
      <c r="F3" s="2542">
        <v>1</v>
      </c>
      <c r="G3" s="1647"/>
      <c r="H3" s="1647"/>
      <c r="I3" s="1647"/>
      <c r="J3" s="1647"/>
      <c r="K3" s="1647"/>
      <c r="L3" s="1648"/>
      <c r="M3" s="1649"/>
      <c r="N3" s="1649"/>
      <c r="O3" s="1649"/>
      <c r="P3" s="1694"/>
      <c r="Q3" s="1695"/>
      <c r="R3" s="637"/>
      <c r="S3" s="1620">
        <f>INDEX(PT_DIFFERENTIATION_NUM_TER,MATCH(B3,PT_DIFFERENTIATION_TER_ID,0))</f>
      </c>
      <c r="T3" s="592" t="s">
        <v>402</v>
      </c>
      <c r="U3" s="584"/>
      <c r="V3" s="2527"/>
      <c r="W3" s="2527"/>
      <c r="X3" s="2527"/>
      <c r="Y3" s="2527"/>
      <c r="Z3" s="2527"/>
      <c r="AA3" s="2528"/>
      <c r="AB3" s="2526">
        <f>INDEX(PT_DIFFERENTIATION_TER,MATCH(B3,PT_DIFFERENTIATION_TER_ID,0))</f>
      </c>
      <c r="AC3" s="2527"/>
      <c r="AD3" s="2527"/>
      <c r="AE3" s="2527"/>
      <c r="AF3" s="2527"/>
      <c r="AG3" s="2527"/>
      <c r="AH3" s="2527"/>
      <c r="AI3" s="2527"/>
      <c r="AJ3" s="2527"/>
      <c r="AK3" s="2527"/>
      <c r="AL3" s="2527"/>
      <c r="AM3" s="2527"/>
      <c r="AN3" s="2527"/>
      <c r="AO3" s="2527"/>
      <c r="AP3" s="2527"/>
      <c r="AQ3" s="2527"/>
      <c r="AR3" s="2527"/>
      <c r="AS3" s="2527"/>
      <c r="AT3" s="2528"/>
      <c r="AU3" s="1542" t="s">
        <v>403</v>
      </c>
      <c r="AW3" s="784"/>
      <c r="AX3" s="784" t="str">
        <f>IF(T3="","",T3)</f>
        <v>Территория действия тарифа</v>
      </c>
      <c r="AY3" s="784"/>
      <c r="AZ3" s="784"/>
      <c r="BA3" s="1439">
        <v>0</v>
      </c>
    </row>
    <row customHeight="1" ht="22.5" hidden="1">
      <c r="A4" s="1647"/>
      <c r="B4" s="1647"/>
      <c r="C4" s="1647"/>
      <c r="D4" s="1647"/>
      <c r="E4" s="2543"/>
      <c r="F4" s="2543"/>
      <c r="G4" s="2542">
        <v>1</v>
      </c>
      <c r="H4" s="1647"/>
      <c r="I4" s="1647"/>
      <c r="J4" s="1647"/>
      <c r="K4" s="1647"/>
      <c r="L4" s="1648"/>
      <c r="M4" s="1649"/>
      <c r="N4" s="1649"/>
      <c r="O4" s="1649"/>
      <c r="P4" s="1696"/>
      <c r="Q4" s="1695"/>
      <c r="R4" s="637"/>
      <c r="S4" s="1620">
        <f>INDEX(PT_DIFFERENTIATION_NUM_CS,MATCH(C4,PT_DIFFERENTIATION_CS_ID,0))</f>
      </c>
      <c r="T4" s="593" t="s">
        <v>404</v>
      </c>
      <c r="U4" s="584"/>
      <c r="V4" s="2527"/>
      <c r="W4" s="2527"/>
      <c r="X4" s="2527"/>
      <c r="Y4" s="2527"/>
      <c r="Z4" s="2527"/>
      <c r="AA4" s="2528"/>
      <c r="AB4" s="2526">
        <f>INDEX(PT_DIFFERENTIATION_CS,MATCH(C4,PT_DIFFERENTIATION_CS_ID,0))</f>
      </c>
      <c r="AC4" s="2527"/>
      <c r="AD4" s="2527"/>
      <c r="AE4" s="2527"/>
      <c r="AF4" s="2527"/>
      <c r="AG4" s="2527"/>
      <c r="AH4" s="2527"/>
      <c r="AI4" s="2527"/>
      <c r="AJ4" s="2527"/>
      <c r="AK4" s="2527"/>
      <c r="AL4" s="2527"/>
      <c r="AM4" s="2527"/>
      <c r="AN4" s="2527"/>
      <c r="AO4" s="2527"/>
      <c r="AP4" s="2527"/>
      <c r="AQ4" s="2527"/>
      <c r="AR4" s="2527"/>
      <c r="AS4" s="2527"/>
      <c r="AT4" s="2528"/>
      <c r="AU4" s="1542" t="s">
        <v>405</v>
      </c>
      <c r="AW4" s="784"/>
      <c r="AX4" s="784" t="str">
        <f>IF(T4="","",T4)</f>
        <v>Наименование системы теплоснабжения </v>
      </c>
      <c r="AY4" s="784"/>
      <c r="AZ4" s="784"/>
      <c r="BA4" s="1439">
        <v>0</v>
      </c>
    </row>
    <row customHeight="1" ht="21" hidden="1">
      <c r="A5" s="1647"/>
      <c r="B5" s="1647"/>
      <c r="C5" s="1647"/>
      <c r="D5" s="1647"/>
      <c r="E5" s="2543"/>
      <c r="F5" s="2543"/>
      <c r="G5" s="2543"/>
      <c r="H5" s="2542">
        <v>1</v>
      </c>
      <c r="I5" s="1647"/>
      <c r="J5" s="1647"/>
      <c r="K5" s="1647"/>
      <c r="L5" s="1648"/>
      <c r="M5" s="1649"/>
      <c r="N5" s="1649"/>
      <c r="O5" s="1649"/>
      <c r="P5" s="1696"/>
      <c r="Q5" s="1695"/>
      <c r="R5" s="637"/>
      <c r="S5" s="1620">
        <f>INDEX(PT_DIFFERENTIATION_NUM_IST_TE,MATCH(D5,PT_DIFFERENTIATION_IST_TE_ID,0))</f>
      </c>
      <c r="T5" s="594" t="s">
        <v>406</v>
      </c>
      <c r="U5" s="584"/>
      <c r="V5" s="2527"/>
      <c r="W5" s="2527"/>
      <c r="X5" s="2527"/>
      <c r="Y5" s="2527"/>
      <c r="Z5" s="2527"/>
      <c r="AA5" s="2528"/>
      <c r="AB5" s="2526">
        <f>INDEX(PT_DIFFERENTIATION_IST_TE,MATCH(D5,PT_DIFFERENTIATION_IST_TE_ID,0))</f>
      </c>
      <c r="AC5" s="2527"/>
      <c r="AD5" s="2527"/>
      <c r="AE5" s="2527"/>
      <c r="AF5" s="2527"/>
      <c r="AG5" s="2527"/>
      <c r="AH5" s="2527"/>
      <c r="AI5" s="2527"/>
      <c r="AJ5" s="2527"/>
      <c r="AK5" s="2527"/>
      <c r="AL5" s="2527"/>
      <c r="AM5" s="2527"/>
      <c r="AN5" s="2527"/>
      <c r="AO5" s="2527"/>
      <c r="AP5" s="2527"/>
      <c r="AQ5" s="2527"/>
      <c r="AR5" s="2527"/>
      <c r="AS5" s="2527"/>
      <c r="AT5" s="2528"/>
      <c r="AU5" s="1542" t="s">
        <v>407</v>
      </c>
      <c r="AW5" s="784"/>
      <c r="AX5" s="784" t="str">
        <f>IF(T5="","",T5)</f>
        <v>Источник тепловой энергии  </v>
      </c>
      <c r="AY5" s="784"/>
      <c r="AZ5" s="784"/>
      <c r="BA5" s="1439">
        <v>0</v>
      </c>
    </row>
    <row s="14158" customFormat="1" customHeight="1" ht="0.75" hidden="1">
      <c r="A6" s="1627"/>
      <c r="B6" s="1627"/>
      <c r="C6" s="1627"/>
      <c r="D6" s="1627"/>
      <c r="E6" s="2543"/>
      <c r="F6" s="2543"/>
      <c r="G6" s="2543"/>
      <c r="H6" s="2543"/>
      <c r="I6" s="2540">
        <f>S5&amp;".1"</f>
      </c>
      <c r="J6" s="1627"/>
      <c r="K6" s="1627"/>
      <c r="L6" s="1630" t="s">
        <v>408</v>
      </c>
      <c r="M6" s="794"/>
      <c r="N6" s="794"/>
      <c r="O6" s="794"/>
      <c r="P6" s="2541">
        <v>1</v>
      </c>
      <c r="Q6" s="1615"/>
      <c r="R6" s="640"/>
      <c r="S6" s="1326"/>
      <c r="T6" s="1667"/>
      <c r="U6" s="1668"/>
      <c r="V6" s="2581"/>
      <c r="W6" s="2581"/>
      <c r="X6" s="2581"/>
      <c r="Y6" s="2581"/>
      <c r="Z6" s="2581"/>
      <c r="AA6" s="2582"/>
      <c r="AB6" s="2580"/>
      <c r="AC6" s="2581"/>
      <c r="AD6" s="2581"/>
      <c r="AE6" s="2581"/>
      <c r="AF6" s="2581"/>
      <c r="AG6" s="2581"/>
      <c r="AH6" s="2581"/>
      <c r="AI6" s="2581"/>
      <c r="AJ6" s="2581"/>
      <c r="AK6" s="2581"/>
      <c r="AL6" s="2581"/>
      <c r="AM6" s="2581"/>
      <c r="AN6" s="2581"/>
      <c r="AO6" s="2581"/>
      <c r="AP6" s="2581"/>
      <c r="AQ6" s="2581"/>
      <c r="AR6" s="2581"/>
      <c r="AS6" s="2581"/>
      <c r="AT6" s="2582"/>
      <c r="AU6" s="1669"/>
      <c r="AW6" s="784"/>
      <c r="AX6" s="784" t="str">
        <f>IF(T6="","",T6)</f>
        <v/>
      </c>
      <c r="AY6" s="784"/>
      <c r="AZ6" s="784"/>
      <c r="BA6" s="795">
        <v>0</v>
      </c>
    </row>
    <row s="14158" customFormat="1" customHeight="1" ht="0.75" hidden="1">
      <c r="A7" s="1627"/>
      <c r="B7" s="1627"/>
      <c r="C7" s="1627"/>
      <c r="D7" s="1627"/>
      <c r="E7" s="2543"/>
      <c r="F7" s="2543"/>
      <c r="G7" s="2543"/>
      <c r="H7" s="2543"/>
      <c r="I7" s="2570"/>
      <c r="J7" s="2540">
        <f>S5&amp;".1"</f>
      </c>
      <c r="K7" s="1627"/>
      <c r="L7" s="1630"/>
      <c r="M7" s="794"/>
      <c r="N7" s="794"/>
      <c r="O7" s="794"/>
      <c r="P7" s="2541"/>
      <c r="Q7" s="2541">
        <v>1</v>
      </c>
      <c r="R7" s="641"/>
      <c r="S7" s="1326"/>
      <c r="T7" s="1683"/>
      <c r="U7" s="1668"/>
      <c r="V7" s="2581"/>
      <c r="W7" s="2581"/>
      <c r="X7" s="2581"/>
      <c r="Y7" s="2581"/>
      <c r="Z7" s="2581"/>
      <c r="AA7" s="2582"/>
      <c r="AB7" s="2580"/>
      <c r="AC7" s="2581"/>
      <c r="AD7" s="2581"/>
      <c r="AE7" s="2581"/>
      <c r="AF7" s="2581"/>
      <c r="AG7" s="2581"/>
      <c r="AH7" s="2581"/>
      <c r="AI7" s="2581"/>
      <c r="AJ7" s="2581"/>
      <c r="AK7" s="2581"/>
      <c r="AL7" s="2581"/>
      <c r="AM7" s="2581"/>
      <c r="AN7" s="2581"/>
      <c r="AO7" s="2581"/>
      <c r="AP7" s="2581"/>
      <c r="AQ7" s="2581"/>
      <c r="AR7" s="2581"/>
      <c r="AS7" s="2581"/>
      <c r="AT7" s="2582"/>
      <c r="AU7" s="1669"/>
      <c r="AW7" s="784"/>
      <c r="AX7" s="784" t="str">
        <f>IF(T7="","",T7)</f>
        <v/>
      </c>
      <c r="AY7" s="784"/>
      <c r="AZ7" s="784"/>
      <c r="BA7" s="795">
        <v>0</v>
      </c>
    </row>
    <row customHeight="1" ht="21" hidden="1">
      <c r="A8" s="1647"/>
      <c r="B8" s="1647"/>
      <c r="C8" s="1647"/>
      <c r="D8" s="1647"/>
      <c r="E8" s="2543"/>
      <c r="F8" s="2543"/>
      <c r="G8" s="2543"/>
      <c r="H8" s="2543"/>
      <c r="I8" s="2570"/>
      <c r="J8" s="2570"/>
      <c r="K8" s="2540">
        <f>S5&amp;".1"</f>
      </c>
      <c r="L8" s="1648"/>
      <c r="P8" s="2541"/>
      <c r="Q8" s="2541"/>
      <c r="R8" s="2631">
        <v>1</v>
      </c>
      <c r="S8" s="2625">
        <f>$K8</f>
      </c>
      <c r="T8" s="2628"/>
      <c r="U8" s="584"/>
      <c r="V8" s="1035"/>
      <c r="W8" s="1541"/>
      <c r="X8" s="2549"/>
      <c r="Y8" s="2391" t="s">
        <v>67</v>
      </c>
      <c r="Z8" s="2549"/>
      <c r="AA8" s="2391" t="s">
        <v>67</v>
      </c>
      <c r="AB8" s="2391" t="s">
        <v>19</v>
      </c>
      <c r="AC8" s="2610"/>
      <c r="AD8" s="2489">
        <v>1</v>
      </c>
      <c r="AE8" s="2611"/>
      <c r="AF8" s="2391" t="s">
        <v>19</v>
      </c>
      <c r="AG8" s="2610"/>
      <c r="AH8" s="2489">
        <v>1</v>
      </c>
      <c r="AI8" s="2611"/>
      <c r="AJ8" s="2391" t="s">
        <v>19</v>
      </c>
      <c r="AK8" s="595"/>
      <c r="AL8" s="1621">
        <v>1</v>
      </c>
      <c r="AM8" s="1682"/>
      <c r="AN8" s="1035"/>
      <c r="AO8" s="1541"/>
      <c r="AP8" s="2018"/>
      <c r="AQ8" s="1743" t="s">
        <v>67</v>
      </c>
      <c r="AR8" s="2018"/>
      <c r="AS8" s="1743" t="s">
        <v>67</v>
      </c>
      <c r="AT8" s="1632"/>
      <c r="AU8" s="2537" t="s">
        <v>472</v>
      </c>
      <c r="AV8" s="795">
        <f>STRCHECKDATE(V11:AT11)</f>
      </c>
      <c r="AW8" s="784"/>
      <c r="AX8" s="784" t="str">
        <f>IF(T8="","",T8)</f>
        <v/>
      </c>
      <c r="AY8" s="784"/>
      <c r="AZ8" s="784"/>
      <c r="BA8" s="1439">
        <v>0</v>
      </c>
    </row>
    <row customHeight="1" ht="11.25" hidden="1">
      <c r="A9" s="1647"/>
      <c r="B9" s="1647"/>
      <c r="C9" s="1647"/>
      <c r="D9" s="1647"/>
      <c r="E9" s="2543"/>
      <c r="F9" s="2543"/>
      <c r="G9" s="2543"/>
      <c r="H9" s="2543"/>
      <c r="I9" s="2570"/>
      <c r="J9" s="2570"/>
      <c r="K9" s="2540"/>
      <c r="L9" s="1648"/>
      <c r="P9" s="2541"/>
      <c r="Q9" s="2541"/>
      <c r="R9" s="2631"/>
      <c r="S9" s="2626"/>
      <c r="T9" s="2629"/>
      <c r="U9" s="584"/>
      <c r="V9" s="1677"/>
      <c r="W9" s="1681"/>
      <c r="X9" s="2549"/>
      <c r="Y9" s="2391"/>
      <c r="Z9" s="2549"/>
      <c r="AA9" s="2391"/>
      <c r="AB9" s="2391"/>
      <c r="AC9" s="2610"/>
      <c r="AD9" s="2489"/>
      <c r="AE9" s="2611"/>
      <c r="AF9" s="2391"/>
      <c r="AG9" s="2610"/>
      <c r="AH9" s="2489"/>
      <c r="AI9" s="2611"/>
      <c r="AJ9" s="2391"/>
      <c r="AK9" s="600"/>
      <c r="AL9" s="700"/>
      <c r="AM9" s="699" t="s">
        <v>473</v>
      </c>
      <c r="AN9" s="1677"/>
      <c r="AO9" s="1780"/>
      <c r="AP9" s="1677"/>
      <c r="AQ9" s="1677"/>
      <c r="AR9" s="1677"/>
      <c r="AS9" s="1677"/>
      <c r="AT9" s="1674"/>
      <c r="AU9" s="2538"/>
      <c r="AW9" s="784"/>
      <c r="AX9" s="784"/>
      <c r="AY9" s="784"/>
      <c r="AZ9" s="784"/>
      <c r="BA9" s="1439">
        <v>0</v>
      </c>
    </row>
    <row customHeight="1" ht="11.25" hidden="1">
      <c r="A10" s="1647"/>
      <c r="B10" s="1647"/>
      <c r="C10" s="1647"/>
      <c r="D10" s="1647"/>
      <c r="E10" s="2543"/>
      <c r="F10" s="2543"/>
      <c r="G10" s="2543"/>
      <c r="H10" s="2543"/>
      <c r="I10" s="2570"/>
      <c r="J10" s="2570"/>
      <c r="K10" s="2540"/>
      <c r="L10" s="1648"/>
      <c r="P10" s="2541"/>
      <c r="Q10" s="2541"/>
      <c r="R10" s="2631"/>
      <c r="S10" s="2626"/>
      <c r="T10" s="2629"/>
      <c r="U10" s="584"/>
      <c r="V10" s="1677"/>
      <c r="W10" s="1681"/>
      <c r="X10" s="2549"/>
      <c r="Y10" s="2391"/>
      <c r="Z10" s="2549"/>
      <c r="AA10" s="2391"/>
      <c r="AB10" s="2391"/>
      <c r="AC10" s="2610"/>
      <c r="AD10" s="2489"/>
      <c r="AE10" s="2611"/>
      <c r="AF10" s="2391"/>
      <c r="AG10" s="578"/>
      <c r="AH10" s="699"/>
      <c r="AI10" s="699" t="s">
        <v>474</v>
      </c>
      <c r="AJ10" s="1677"/>
      <c r="AK10" s="1677"/>
      <c r="AL10" s="1677"/>
      <c r="AM10" s="1677"/>
      <c r="AN10" s="1677"/>
      <c r="AO10" s="1780"/>
      <c r="AP10" s="1677"/>
      <c r="AQ10" s="1677"/>
      <c r="AR10" s="1677"/>
      <c r="AS10" s="1677"/>
      <c r="AT10" s="1674"/>
      <c r="AU10" s="2538"/>
      <c r="AW10" s="784"/>
      <c r="AX10" s="784"/>
      <c r="AY10" s="784"/>
      <c r="AZ10" s="784"/>
      <c r="BA10" s="1439">
        <v>0</v>
      </c>
    </row>
    <row customHeight="1" ht="11.25" hidden="1">
      <c r="A11" s="1647"/>
      <c r="B11" s="1647"/>
      <c r="C11" s="1647"/>
      <c r="D11" s="1647"/>
      <c r="E11" s="2543"/>
      <c r="F11" s="2543"/>
      <c r="G11" s="2543"/>
      <c r="H11" s="2543"/>
      <c r="I11" s="2570"/>
      <c r="J11" s="2570"/>
      <c r="K11" s="2540"/>
      <c r="L11" s="1648"/>
      <c r="P11" s="2541"/>
      <c r="Q11" s="2541"/>
      <c r="R11" s="2631"/>
      <c r="S11" s="2627"/>
      <c r="T11" s="2630"/>
      <c r="U11" s="584"/>
      <c r="V11" s="1677"/>
      <c r="W11" s="1680" t="str">
        <f>X8&amp;"-"&amp;Z8</f>
        <v>-</v>
      </c>
      <c r="X11" s="2550"/>
      <c r="Y11" s="2391"/>
      <c r="Z11" s="2550"/>
      <c r="AA11" s="2391"/>
      <c r="AB11" s="2391"/>
      <c r="AC11" s="596"/>
      <c r="AD11" s="598"/>
      <c r="AE11" s="699" t="s">
        <v>475</v>
      </c>
      <c r="AF11" s="1677"/>
      <c r="AG11" s="1677"/>
      <c r="AH11" s="1677"/>
      <c r="AI11" s="1677"/>
      <c r="AJ11" s="1677"/>
      <c r="AK11" s="1677"/>
      <c r="AL11" s="1677"/>
      <c r="AM11" s="1677"/>
      <c r="AN11" s="1677"/>
      <c r="AO11" s="1678" t="str">
        <f>AP8&amp;"-"&amp;AR8</f>
        <v>-</v>
      </c>
      <c r="AP11" s="1677"/>
      <c r="AQ11" s="1677"/>
      <c r="AR11" s="1677"/>
      <c r="AS11" s="1677"/>
      <c r="AT11" s="1633"/>
      <c r="AU11" s="2538"/>
      <c r="AW11" s="784"/>
      <c r="AX11" s="784" t="str">
        <f>IF(T11="","",T11)</f>
        <v/>
      </c>
      <c r="AY11" s="784"/>
      <c r="AZ11" s="784"/>
      <c r="BA11" s="1439">
        <v>0</v>
      </c>
    </row>
    <row customHeight="1" ht="11.25" hidden="1">
      <c r="A12" s="1647"/>
      <c r="B12" s="1647"/>
      <c r="C12" s="1647"/>
      <c r="D12" s="1647"/>
      <c r="E12" s="2543"/>
      <c r="F12" s="2543"/>
      <c r="G12" s="2543"/>
      <c r="H12" s="2543"/>
      <c r="I12" s="2570"/>
      <c r="J12" s="2540"/>
      <c r="K12" s="1647"/>
      <c r="L12" s="1648"/>
      <c r="P12" s="2541"/>
      <c r="Q12" s="2541"/>
      <c r="R12" s="640"/>
      <c r="S12" s="1562"/>
      <c r="T12" s="571" t="s">
        <v>476</v>
      </c>
      <c r="U12" s="651"/>
      <c r="V12" s="651"/>
      <c r="W12" s="651"/>
      <c r="X12" s="651"/>
      <c r="Y12" s="651"/>
      <c r="Z12" s="651"/>
      <c r="AA12" s="651"/>
      <c r="AB12" s="651"/>
      <c r="AC12" s="651"/>
      <c r="AD12" s="651"/>
      <c r="AE12" s="651"/>
      <c r="AF12" s="651"/>
      <c r="AG12" s="651"/>
      <c r="AH12" s="651"/>
      <c r="AI12" s="651"/>
      <c r="AJ12" s="651"/>
      <c r="AK12" s="651"/>
      <c r="AL12" s="651"/>
      <c r="AM12" s="651"/>
      <c r="AN12" s="651"/>
      <c r="AO12" s="651"/>
      <c r="AP12" s="651"/>
      <c r="AQ12" s="651"/>
      <c r="AR12" s="651"/>
      <c r="AS12" s="651"/>
      <c r="AT12" s="608"/>
      <c r="AU12" s="2539"/>
      <c r="AW12" s="784"/>
      <c r="AX12" s="784" t="str">
        <f>IF(T12="","",T12)</f>
        <v>Добавить строку</v>
      </c>
      <c r="AY12" s="784"/>
      <c r="AZ12" s="784"/>
      <c r="BA12" s="1439">
        <v>0</v>
      </c>
    </row>
    <row s="14158" customFormat="1" customHeight="1" ht="0.75" hidden="1">
      <c r="A13" s="1627"/>
      <c r="B13" s="1627"/>
      <c r="C13" s="1627"/>
      <c r="D13" s="1627"/>
      <c r="E13" s="2543"/>
      <c r="F13" s="2543"/>
      <c r="G13" s="2543"/>
      <c r="H13" s="2543"/>
      <c r="I13" s="2540"/>
      <c r="J13" s="1627"/>
      <c r="K13" s="1627"/>
      <c r="L13" s="1630"/>
      <c r="M13" s="794"/>
      <c r="N13" s="794"/>
      <c r="O13" s="794"/>
      <c r="P13" s="2541"/>
      <c r="Q13" s="1615"/>
      <c r="R13" s="640"/>
      <c r="S13" s="1670"/>
      <c r="T13" s="1671"/>
      <c r="U13" s="1672"/>
      <c r="V13" s="1672"/>
      <c r="W13" s="1672"/>
      <c r="X13" s="1672"/>
      <c r="Y13" s="1672"/>
      <c r="Z13" s="1672"/>
      <c r="AA13" s="1672"/>
      <c r="AB13" s="1672"/>
      <c r="AC13" s="1672"/>
      <c r="AD13" s="1672"/>
      <c r="AE13" s="1672"/>
      <c r="AF13" s="1672"/>
      <c r="AG13" s="1672"/>
      <c r="AH13" s="1672"/>
      <c r="AI13" s="1672"/>
      <c r="AJ13" s="1672"/>
      <c r="AK13" s="1672"/>
      <c r="AL13" s="1672"/>
      <c r="AM13" s="1672"/>
      <c r="AN13" s="1672"/>
      <c r="AO13" s="1672"/>
      <c r="AP13" s="1672"/>
      <c r="AQ13" s="1672"/>
      <c r="AR13" s="1672"/>
      <c r="AS13" s="1672"/>
      <c r="AT13" s="1672"/>
      <c r="AU13" s="1673"/>
      <c r="AW13" s="784"/>
      <c r="AX13" s="784" t="str">
        <f>IF(T13="","",T13)</f>
        <v/>
      </c>
      <c r="AY13" s="784"/>
      <c r="AZ13" s="784"/>
      <c r="BA13" s="795">
        <v>0</v>
      </c>
    </row>
    <row s="14158" customFormat="1" customHeight="1" ht="0.75" hidden="1">
      <c r="A14" s="1627"/>
      <c r="B14" s="1627"/>
      <c r="C14" s="1627"/>
      <c r="D14" s="1627"/>
      <c r="E14" s="2543"/>
      <c r="F14" s="2543"/>
      <c r="G14" s="2543"/>
      <c r="H14" s="2542"/>
      <c r="I14" s="1627"/>
      <c r="J14" s="1627"/>
      <c r="K14" s="1627"/>
      <c r="L14" s="1630"/>
      <c r="M14" s="1599"/>
      <c r="N14" s="1599"/>
      <c r="O14" s="802"/>
      <c r="P14" s="664"/>
      <c r="Q14" s="1628"/>
      <c r="R14" s="1685"/>
      <c r="S14" s="1670"/>
      <c r="T14" s="1671"/>
      <c r="U14" s="1672"/>
      <c r="V14" s="1672"/>
      <c r="W14" s="1672"/>
      <c r="X14" s="1672"/>
      <c r="Y14" s="1672"/>
      <c r="Z14" s="1672"/>
      <c r="AA14" s="1672"/>
      <c r="AB14" s="1672"/>
      <c r="AC14" s="1672"/>
      <c r="AD14" s="1672"/>
      <c r="AE14" s="1672"/>
      <c r="AF14" s="1672"/>
      <c r="AG14" s="1672"/>
      <c r="AH14" s="1672"/>
      <c r="AI14" s="1672"/>
      <c r="AJ14" s="1672"/>
      <c r="AK14" s="1672"/>
      <c r="AL14" s="1672"/>
      <c r="AM14" s="1672"/>
      <c r="AN14" s="1672"/>
      <c r="AO14" s="1672"/>
      <c r="AP14" s="1672"/>
      <c r="AQ14" s="1672"/>
      <c r="AR14" s="1672"/>
      <c r="AS14" s="1672"/>
      <c r="AT14" s="1672"/>
      <c r="AU14" s="1673"/>
      <c r="AW14" s="784"/>
      <c r="AX14" s="784" t="str">
        <f>IF(T14="","",T14)</f>
        <v/>
      </c>
      <c r="AY14" s="784"/>
      <c r="AZ14" s="784"/>
      <c r="BA14" s="795">
        <v>0</v>
      </c>
    </row>
    <row s="14158" customFormat="1" customHeight="1" ht="0.75" hidden="1">
      <c r="A15" s="1627"/>
      <c r="B15" s="1627"/>
      <c r="C15" s="1627"/>
      <c r="D15" s="1598"/>
      <c r="E15" s="2543"/>
      <c r="F15" s="2543"/>
      <c r="G15" s="2542"/>
      <c r="H15" s="1598"/>
      <c r="I15" s="1598"/>
      <c r="J15" s="1598"/>
      <c r="K15" s="1598"/>
      <c r="L15" s="1623"/>
      <c r="M15" s="1599"/>
      <c r="N15" s="1599"/>
      <c r="P15" s="1600"/>
      <c r="Q15" s="1601"/>
      <c r="R15" s="1600"/>
      <c r="S15" s="1606"/>
      <c r="T15" s="1609" t="s">
        <v>169</v>
      </c>
      <c r="U15" s="1608"/>
      <c r="V15" s="1608"/>
      <c r="W15" s="1608"/>
      <c r="X15" s="1608"/>
      <c r="Y15" s="1608"/>
      <c r="Z15" s="1608"/>
      <c r="AA15" s="1608"/>
      <c r="AB15" s="1608"/>
      <c r="AC15" s="1608"/>
      <c r="AD15" s="1608"/>
      <c r="AE15" s="1608"/>
      <c r="AF15" s="1608"/>
      <c r="AG15" s="1608"/>
      <c r="AH15" s="1608"/>
      <c r="AI15" s="1608"/>
      <c r="AJ15" s="1608"/>
      <c r="AK15" s="1608"/>
      <c r="AL15" s="1608"/>
      <c r="AM15" s="1608"/>
      <c r="AN15" s="1608"/>
      <c r="AO15" s="1608"/>
      <c r="AP15" s="1608"/>
      <c r="AQ15" s="1608"/>
      <c r="AR15" s="1608"/>
      <c r="AS15" s="1608"/>
      <c r="AT15" s="1608"/>
      <c r="AU15" s="1608"/>
      <c r="AW15" s="1073"/>
      <c r="AX15" s="1073" t="str">
        <f>IF(T15="","",T15)</f>
        <v>Добавить источник для дифференциации</v>
      </c>
      <c r="AY15" s="1073"/>
      <c r="AZ15" s="1073"/>
      <c r="BA15" s="802">
        <v>0</v>
      </c>
    </row>
    <row s="14158" customFormat="1" customHeight="1" ht="0.75" hidden="1">
      <c r="A16" s="1627"/>
      <c r="B16" s="1627"/>
      <c r="C16" s="1598"/>
      <c r="D16" s="1598"/>
      <c r="E16" s="2543"/>
      <c r="F16" s="2542"/>
      <c r="G16" s="1598"/>
      <c r="H16" s="1598"/>
      <c r="I16" s="1598"/>
      <c r="J16" s="1598"/>
      <c r="K16" s="1598"/>
      <c r="L16" s="1623"/>
      <c r="M16" s="1605"/>
      <c r="N16" s="1605"/>
      <c r="P16" s="1600"/>
      <c r="Q16" s="1601"/>
      <c r="R16" s="1600"/>
      <c r="S16" s="1606"/>
      <c r="T16" s="1609" t="s">
        <v>170</v>
      </c>
      <c r="U16" s="1608"/>
      <c r="V16" s="1608"/>
      <c r="W16" s="1608"/>
      <c r="X16" s="1608"/>
      <c r="Y16" s="1608"/>
      <c r="Z16" s="1608"/>
      <c r="AA16" s="1608"/>
      <c r="AB16" s="1608"/>
      <c r="AC16" s="1608"/>
      <c r="AD16" s="1608"/>
      <c r="AE16" s="1608"/>
      <c r="AF16" s="1608"/>
      <c r="AG16" s="1608"/>
      <c r="AH16" s="1608"/>
      <c r="AI16" s="1608"/>
      <c r="AJ16" s="1608"/>
      <c r="AK16" s="1608"/>
      <c r="AL16" s="1608"/>
      <c r="AM16" s="1608"/>
      <c r="AN16" s="1608"/>
      <c r="AO16" s="1608"/>
      <c r="AP16" s="1608"/>
      <c r="AQ16" s="1608"/>
      <c r="AR16" s="1608"/>
      <c r="AS16" s="1608"/>
      <c r="AT16" s="1608"/>
      <c r="AU16" s="1608"/>
      <c r="AW16" s="1073"/>
      <c r="AX16" s="1073" t="str">
        <f>IF(T16="","",T16)</f>
        <v>Добавить централизованную систему для дифференциации</v>
      </c>
      <c r="AY16" s="1073"/>
      <c r="AZ16" s="1073"/>
      <c r="BA16" s="802">
        <v>0</v>
      </c>
    </row>
    <row s="14158" customFormat="1" customHeight="1" ht="0.75" hidden="1">
      <c r="A17" s="1627"/>
      <c r="B17" s="1627"/>
      <c r="C17" s="1627"/>
      <c r="D17" s="1627"/>
      <c r="E17" s="2542"/>
      <c r="F17" s="1627"/>
      <c r="G17" s="1627"/>
      <c r="H17" s="1627"/>
      <c r="I17" s="1627"/>
      <c r="J17" s="1627"/>
      <c r="K17" s="1627"/>
      <c r="L17" s="1630"/>
      <c r="M17" s="1605"/>
      <c r="N17" s="1605"/>
      <c r="O17" s="802"/>
      <c r="P17" s="664"/>
      <c r="Q17" s="1628"/>
      <c r="R17" s="664"/>
      <c r="S17" s="1606"/>
      <c r="T17" s="1609" t="s">
        <v>171</v>
      </c>
      <c r="U17" s="1608"/>
      <c r="V17" s="1608"/>
      <c r="W17" s="1608"/>
      <c r="X17" s="1608"/>
      <c r="Y17" s="1608"/>
      <c r="Z17" s="1608"/>
      <c r="AA17" s="1608"/>
      <c r="AB17" s="1608"/>
      <c r="AC17" s="1608"/>
      <c r="AD17" s="1608"/>
      <c r="AE17" s="1608"/>
      <c r="AF17" s="1608"/>
      <c r="AG17" s="1608"/>
      <c r="AH17" s="1608"/>
      <c r="AI17" s="1608"/>
      <c r="AJ17" s="1608"/>
      <c r="AK17" s="1608"/>
      <c r="AL17" s="1608"/>
      <c r="AM17" s="1608"/>
      <c r="AN17" s="1608"/>
      <c r="AO17" s="1608"/>
      <c r="AP17" s="1608"/>
      <c r="AQ17" s="1608"/>
      <c r="AR17" s="1608"/>
      <c r="AS17" s="1608"/>
      <c r="AT17" s="1608"/>
      <c r="AU17" s="1608"/>
      <c r="AW17" s="784"/>
      <c r="AX17" s="784" t="str">
        <f>IF(T17="","",T17)</f>
        <v>Добавить территорию для дифференциации</v>
      </c>
      <c r="AY17" s="784"/>
      <c r="AZ17" s="784"/>
      <c r="BA17" s="795">
        <v>0</v>
      </c>
    </row>
    <row customHeight="1" ht="14.25" hidden="1">
      <c r="AA18" s="611"/>
      <c r="AS18" s="611"/>
      <c r="BA18" s="1439">
        <v>0</v>
      </c>
    </row>
    <row customHeight="1" ht="14.25" hidden="1">
      <c r="AB19" s="1608" t="s">
        <v>19</v>
      </c>
      <c r="AC19" s="1785"/>
      <c r="AD19" s="832">
        <v>1</v>
      </c>
      <c r="AE19" s="1786"/>
      <c r="AF19" s="1608" t="s">
        <v>19</v>
      </c>
      <c r="AG19" s="1785"/>
      <c r="AH19" s="832">
        <v>1</v>
      </c>
      <c r="AI19" s="1786"/>
      <c r="AJ19" s="1608" t="s">
        <v>19</v>
      </c>
      <c r="AK19" s="1787"/>
      <c r="AL19" s="832">
        <v>1</v>
      </c>
      <c r="AM19" s="1790"/>
      <c r="AN19" s="1687"/>
      <c r="AO19" s="1688"/>
      <c r="AP19" s="2020"/>
      <c r="AQ19" s="1744" t="s">
        <v>67</v>
      </c>
      <c r="AR19" s="2020"/>
      <c r="AS19" s="1744" t="s">
        <v>67</v>
      </c>
      <c r="BA19" s="1439">
        <v>0</v>
      </c>
    </row>
    <row customHeight="1" ht="14.25" hidden="1">
      <c r="AV20" s="780"/>
      <c r="AW20" s="780"/>
      <c r="AX20" s="780"/>
      <c r="AY20" s="780"/>
      <c r="AZ20" s="780"/>
      <c r="BA20" s="1439">
        <v>0</v>
      </c>
    </row>
    <row customHeight="1" ht="14.25" hidden="1">
      <c r="O21" s="1651" t="s">
        <v>419</v>
      </c>
      <c r="X21" s="1629"/>
      <c r="Z21" s="1629"/>
      <c r="AA21" s="611"/>
      <c r="AP21" s="1629"/>
      <c r="AR21" s="1629"/>
      <c r="AS21" s="611"/>
      <c r="AV21" s="780"/>
      <c r="AW21" s="780"/>
      <c r="AX21" s="780"/>
      <c r="AY21" s="780"/>
      <c r="AZ21" s="780"/>
      <c r="BA21" s="1439">
        <v>0</v>
      </c>
    </row>
    <row customHeight="1" ht="14.25" hidden="1">
      <c r="AA22" s="611"/>
      <c r="AS22" s="611"/>
      <c r="AV22" s="780"/>
      <c r="AW22" s="780"/>
      <c r="AX22" s="780"/>
      <c r="AY22" s="780"/>
      <c r="AZ22" s="780"/>
      <c r="BA22" s="1439">
        <v>0</v>
      </c>
    </row>
    <row s="15237" customFormat="1" customHeight="1" ht="14.25" hidden="1">
      <c r="M23" s="1792"/>
      <c r="N23" s="1792"/>
      <c r="O23" s="1793" t="s">
        <v>420</v>
      </c>
      <c r="P23" s="1792"/>
      <c r="Q23" s="1794"/>
      <c r="R23" s="1794"/>
      <c r="Y23" s="1791" t="s">
        <v>422</v>
      </c>
      <c r="AA23" s="1791" t="s">
        <v>423</v>
      </c>
      <c r="AB23" s="1791" t="s">
        <v>477</v>
      </c>
      <c r="AE23" s="1791" t="s">
        <v>478</v>
      </c>
      <c r="AF23" s="1791" t="s">
        <v>477</v>
      </c>
      <c r="AI23" s="1791" t="s">
        <v>479</v>
      </c>
      <c r="AJ23" s="1791" t="s">
        <v>477</v>
      </c>
      <c r="AM23" s="1791" t="s">
        <v>480</v>
      </c>
      <c r="AQ23" s="1791" t="s">
        <v>422</v>
      </c>
      <c r="AS23" s="1791" t="s">
        <v>423</v>
      </c>
      <c r="AV23" s="1795"/>
      <c r="AW23" s="1795"/>
      <c r="AX23" s="1795"/>
      <c r="AY23" s="1795"/>
      <c r="AZ23" s="1795"/>
      <c r="BA23" s="1791">
        <v>0</v>
      </c>
    </row>
    <row customHeight="1" ht="14.25" hidden="1">
      <c r="O24" s="1648"/>
      <c r="AV24" s="780"/>
      <c r="AW24" s="780"/>
      <c r="AX24" s="780"/>
      <c r="AY24" s="780"/>
      <c r="AZ24" s="780"/>
      <c r="BA24" s="1439">
        <v>0</v>
      </c>
    </row>
    <row customHeight="1" ht="14.25" hidden="1">
      <c r="O25" s="1648"/>
      <c r="AV25" s="780"/>
      <c r="AW25" s="780"/>
      <c r="AX25" s="780"/>
      <c r="AY25" s="780"/>
      <c r="AZ25" s="780"/>
      <c r="BA25" s="1439">
        <v>0</v>
      </c>
    </row>
    <row customHeight="1" ht="14.699999999999998">
      <c r="Q26" s="575"/>
      <c r="R26" s="660"/>
      <c r="S26" s="1559"/>
      <c r="T26" s="647"/>
      <c r="U26" s="647"/>
      <c r="V26" s="793"/>
      <c r="W26" s="793"/>
      <c r="X26" s="793"/>
      <c r="Y26" s="793"/>
      <c r="Z26" s="793"/>
      <c r="AA26" s="793"/>
      <c r="AB26" s="793"/>
      <c r="AC26" s="793"/>
      <c r="AD26" s="793"/>
      <c r="AE26" s="793"/>
      <c r="AF26" s="793"/>
      <c r="AG26" s="793"/>
      <c r="AH26" s="793"/>
      <c r="AI26" s="793"/>
      <c r="AJ26" s="793"/>
      <c r="AK26" s="793"/>
      <c r="AL26" s="793"/>
      <c r="AM26" s="793"/>
      <c r="AN26" s="793"/>
      <c r="AO26" s="793"/>
      <c r="AP26" s="793"/>
      <c r="AQ26" s="793"/>
      <c r="AR26" s="793"/>
      <c r="AS26" s="793"/>
      <c r="BA26" s="1439">
        <v>14</v>
      </c>
    </row>
    <row customHeight="1" ht="27.299999999999997">
      <c r="Q27" s="575"/>
      <c r="R27" s="660"/>
      <c r="S27" s="2532"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532"/>
      <c r="U27" s="2532"/>
      <c r="V27" s="2532"/>
      <c r="W27" s="2532"/>
      <c r="X27" s="2532"/>
      <c r="Y27" s="2532"/>
      <c r="Z27" s="2532"/>
      <c r="AA27" s="2532"/>
      <c r="AB27" s="2532"/>
      <c r="AC27" s="2532"/>
      <c r="AD27" s="2532"/>
      <c r="AE27" s="2532"/>
      <c r="AF27" s="2532"/>
      <c r="AG27" s="2532"/>
      <c r="AH27" s="2532"/>
      <c r="AI27" s="2532"/>
      <c r="AJ27" s="2532"/>
      <c r="AK27" s="2532"/>
      <c r="AL27" s="2532"/>
      <c r="AM27" s="2532"/>
      <c r="AN27" s="2532"/>
      <c r="AO27" s="2532"/>
      <c r="AP27" s="2532"/>
      <c r="AQ27" s="2532"/>
      <c r="AR27" s="2532"/>
      <c r="AS27" s="1527"/>
      <c r="BA27" s="1439">
        <v>26</v>
      </c>
    </row>
    <row customHeight="1" ht="14.699999999999998">
      <c r="Q28" s="575"/>
      <c r="R28" s="660"/>
      <c r="S28" s="2533" t="str">
        <f>IF(org=0,"Не определено",org)</f>
        <v>МУП г. Азова "Теплоэнерго"</v>
      </c>
      <c r="T28" s="2533"/>
      <c r="U28" s="2533"/>
      <c r="V28" s="2533"/>
      <c r="W28" s="2533"/>
      <c r="X28" s="2533"/>
      <c r="Y28" s="2533"/>
      <c r="Z28" s="2533"/>
      <c r="AA28" s="2533"/>
      <c r="AB28" s="2533"/>
      <c r="AC28" s="2533"/>
      <c r="AD28" s="2533"/>
      <c r="AE28" s="2533"/>
      <c r="AF28" s="2533"/>
      <c r="AG28" s="2533"/>
      <c r="AH28" s="2533"/>
      <c r="AI28" s="2533"/>
      <c r="AJ28" s="2533"/>
      <c r="AK28" s="2533"/>
      <c r="AL28" s="2533"/>
      <c r="AM28" s="2533"/>
      <c r="AN28" s="2533"/>
      <c r="AO28" s="2533"/>
      <c r="AP28" s="2533"/>
      <c r="AQ28" s="2533"/>
      <c r="AR28" s="2533"/>
      <c r="AS28" s="1527"/>
      <c r="BA28" s="1439">
        <v>14</v>
      </c>
    </row>
    <row customHeight="1" ht="14.25" hidden="1">
      <c r="Q29" s="575"/>
      <c r="R29" s="660"/>
      <c r="S29" s="1559"/>
      <c r="T29" s="647"/>
      <c r="U29" s="647"/>
      <c r="V29" s="606"/>
      <c r="W29" s="606"/>
      <c r="X29" s="606"/>
      <c r="Y29" s="606"/>
      <c r="Z29" s="606"/>
      <c r="AA29" s="606"/>
      <c r="AB29" s="606"/>
      <c r="AC29" s="606"/>
      <c r="AD29" s="606"/>
      <c r="AE29" s="606"/>
      <c r="AF29" s="606"/>
      <c r="AG29" s="606"/>
      <c r="AH29" s="606"/>
      <c r="AI29" s="606"/>
      <c r="AJ29" s="606"/>
      <c r="AK29" s="606"/>
      <c r="AL29" s="606"/>
      <c r="AM29" s="606"/>
      <c r="AN29" s="606"/>
      <c r="AO29" s="606"/>
      <c r="AP29" s="606"/>
      <c r="AQ29" s="606"/>
      <c r="AR29" s="606"/>
      <c r="AS29" s="606"/>
      <c r="AT29" s="793"/>
      <c r="BA29" s="1439">
        <v>0</v>
      </c>
    </row>
    <row s="14284" customFormat="1" customHeight="1" ht="25.5" hidden="1">
      <c r="A30" s="1652"/>
      <c r="B30" s="1652"/>
      <c r="C30" s="1652"/>
      <c r="D30" s="1652"/>
      <c r="E30" s="1652"/>
      <c r="F30" s="1652"/>
      <c r="G30" s="1652"/>
      <c r="H30" s="1652"/>
      <c r="I30" s="1652"/>
      <c r="J30" s="1652"/>
      <c r="K30" s="1652"/>
      <c r="L30" s="1653"/>
      <c r="M30" s="1652"/>
      <c r="N30" s="1652"/>
      <c r="O30" s="1652"/>
      <c r="P30" s="1652"/>
      <c r="Q30" s="1652"/>
      <c r="S30" s="2534" t="s">
        <v>42</v>
      </c>
      <c r="T30" s="2534"/>
      <c r="U30" s="1656"/>
      <c r="V30" s="2535" t="str">
        <f>IF(TITLE_NAME_OR_PR_CHANGE="",IF(TITLE_NAME_OR_PR="","",TITLE_NAME_OR_PR),TITLE_NAME_OR_PR_CHANGE)</f>
        <v/>
      </c>
      <c r="W30" s="2535"/>
      <c r="X30" s="2535"/>
      <c r="Y30" s="2535"/>
      <c r="Z30" s="2535"/>
      <c r="AA30" s="610"/>
      <c r="AB30" s="2535" t="str">
        <f>IF(TITLE_NAME_OR_PR_CHANGE="",IF(TITLE_NAME_OR_PR="","",TITLE_NAME_OR_PR),TITLE_NAME_OR_PR_CHANGE)</f>
        <v/>
      </c>
      <c r="AC30" s="2535"/>
      <c r="AD30" s="2535"/>
      <c r="AE30" s="2535"/>
      <c r="AF30" s="2535"/>
      <c r="AG30" s="2535"/>
      <c r="AH30" s="2535"/>
      <c r="AI30" s="2535"/>
      <c r="AJ30" s="2535"/>
      <c r="AK30" s="2535"/>
      <c r="AL30" s="2535"/>
      <c r="AM30" s="2535"/>
      <c r="AN30" s="2535"/>
      <c r="AO30" s="2535"/>
      <c r="AP30" s="2535"/>
      <c r="AQ30" s="2535"/>
      <c r="AR30" s="2535"/>
      <c r="AS30" s="610"/>
      <c r="AT30" s="610"/>
      <c r="AU30" s="564"/>
      <c r="AV30" s="652"/>
      <c r="AW30" s="652"/>
      <c r="AX30" s="652"/>
      <c r="AY30" s="652"/>
      <c r="AZ30" s="652"/>
      <c r="BA30" s="702">
        <v>0</v>
      </c>
    </row>
    <row s="14284" customFormat="1" customHeight="1" ht="18.75" hidden="1">
      <c r="A31" s="1652"/>
      <c r="B31" s="1652"/>
      <c r="C31" s="1652"/>
      <c r="D31" s="1652"/>
      <c r="E31" s="1652"/>
      <c r="F31" s="1652"/>
      <c r="G31" s="1652"/>
      <c r="H31" s="1652"/>
      <c r="I31" s="1652"/>
      <c r="J31" s="1652"/>
      <c r="K31" s="1652"/>
      <c r="L31" s="1653"/>
      <c r="M31" s="1652"/>
      <c r="N31" s="1652"/>
      <c r="O31" s="1652"/>
      <c r="P31" s="1652"/>
      <c r="Q31" s="1652"/>
      <c r="S31" s="2534" t="s">
        <v>425</v>
      </c>
      <c r="T31" s="2534"/>
      <c r="U31" s="1656"/>
      <c r="V31" s="2548" t="str">
        <f>IF(TITLE_DATE_PR_CHANGE="",IF(TITLE_DATE_PR="","",TITLE_DATE_PR),TITLE_DATE_PR_CHANGE)</f>
        <v>45471</v>
      </c>
      <c r="W31" s="2548"/>
      <c r="X31" s="2548"/>
      <c r="Y31" s="2548"/>
      <c r="Z31" s="2548"/>
      <c r="AA31" s="610"/>
      <c r="AB31" s="2548" t="str">
        <f>IF(TITLE_DATE_PR_CHANGE="",IF(TITLE_DATE_PR="","",TITLE_DATE_PR),TITLE_DATE_PR_CHANGE)</f>
        <v>45471</v>
      </c>
      <c r="AC31" s="2548"/>
      <c r="AD31" s="2548"/>
      <c r="AE31" s="2548"/>
      <c r="AF31" s="2548"/>
      <c r="AG31" s="2548"/>
      <c r="AH31" s="2548"/>
      <c r="AI31" s="2548"/>
      <c r="AJ31" s="2548"/>
      <c r="AK31" s="2548"/>
      <c r="AL31" s="2548"/>
      <c r="AM31" s="2548"/>
      <c r="AN31" s="2548"/>
      <c r="AO31" s="2548"/>
      <c r="AP31" s="2548"/>
      <c r="AQ31" s="2548"/>
      <c r="AR31" s="2548"/>
      <c r="AS31" s="610"/>
      <c r="AT31" s="610"/>
      <c r="AU31" s="564"/>
      <c r="AV31" s="652"/>
      <c r="AW31" s="652"/>
      <c r="AX31" s="652"/>
      <c r="AY31" s="652"/>
      <c r="AZ31" s="652"/>
      <c r="BA31" s="702">
        <v>0</v>
      </c>
    </row>
    <row s="14284" customFormat="1" customHeight="1" ht="18.75" hidden="1">
      <c r="A32" s="1652"/>
      <c r="B32" s="1652"/>
      <c r="C32" s="1652"/>
      <c r="D32" s="1652"/>
      <c r="E32" s="1652"/>
      <c r="F32" s="1652"/>
      <c r="G32" s="1652"/>
      <c r="H32" s="1652"/>
      <c r="I32" s="1652"/>
      <c r="J32" s="1652"/>
      <c r="K32" s="1652"/>
      <c r="L32" s="1653"/>
      <c r="M32" s="1652"/>
      <c r="N32" s="1652"/>
      <c r="O32" s="1652"/>
      <c r="P32" s="1652"/>
      <c r="Q32" s="1652"/>
      <c r="S32" s="2534" t="s">
        <v>426</v>
      </c>
      <c r="T32" s="2534"/>
      <c r="U32" s="1656"/>
      <c r="V32" s="2535" t="str">
        <f>IF(TITLE_NUMBER_PR_CHANGE="",IF(TITLE_NUMBER_PR="","",TITLE_NUMBER_PR),TITLE_NUMBER_PR_CHANGE)</f>
        <v>50/18-01/261</v>
      </c>
      <c r="W32" s="2535"/>
      <c r="X32" s="2535"/>
      <c r="Y32" s="2535"/>
      <c r="Z32" s="2535"/>
      <c r="AA32" s="610"/>
      <c r="AB32" s="2535" t="str">
        <f>IF(TITLE_NUMBER_PR_CHANGE="",IF(TITLE_NUMBER_PR="","",TITLE_NUMBER_PR),TITLE_NUMBER_PR_CHANGE)</f>
        <v>50/18-01/261</v>
      </c>
      <c r="AC32" s="2535"/>
      <c r="AD32" s="2535"/>
      <c r="AE32" s="2535"/>
      <c r="AF32" s="2535"/>
      <c r="AG32" s="2535"/>
      <c r="AH32" s="2535"/>
      <c r="AI32" s="2535"/>
      <c r="AJ32" s="2535"/>
      <c r="AK32" s="2535"/>
      <c r="AL32" s="2535"/>
      <c r="AM32" s="2535"/>
      <c r="AN32" s="2535"/>
      <c r="AO32" s="2535"/>
      <c r="AP32" s="2535"/>
      <c r="AQ32" s="2535"/>
      <c r="AR32" s="2535"/>
      <c r="AS32" s="610"/>
      <c r="AT32" s="610"/>
      <c r="AU32" s="564"/>
      <c r="AV32" s="652"/>
      <c r="AW32" s="652"/>
      <c r="AX32" s="652"/>
      <c r="AY32" s="652"/>
      <c r="AZ32" s="652"/>
      <c r="BA32" s="702">
        <v>0</v>
      </c>
    </row>
    <row s="14284" customFormat="1" customHeight="1" ht="18.75" hidden="1">
      <c r="A33" s="1652"/>
      <c r="B33" s="1652"/>
      <c r="C33" s="1652"/>
      <c r="D33" s="1652"/>
      <c r="E33" s="1652"/>
      <c r="F33" s="1652"/>
      <c r="G33" s="1652"/>
      <c r="H33" s="1652"/>
      <c r="I33" s="1652"/>
      <c r="J33" s="1652"/>
      <c r="K33" s="1652"/>
      <c r="L33" s="1653"/>
      <c r="M33" s="1652"/>
      <c r="N33" s="1652"/>
      <c r="O33" s="1652"/>
      <c r="P33" s="1652"/>
      <c r="Q33" s="1652"/>
      <c r="S33" s="2534" t="s">
        <v>43</v>
      </c>
      <c r="T33" s="2534"/>
      <c r="U33" s="1656"/>
      <c r="V33" s="2535" t="str">
        <f>IF(TITLE_IST_PUB_CHANGE="",IF(TITLE_IST_PUB="","",TITLE_IST_PUB),TITLE_IST_PUB_CHANGE)</f>
        <v/>
      </c>
      <c r="W33" s="2535"/>
      <c r="X33" s="2535"/>
      <c r="Y33" s="2535"/>
      <c r="Z33" s="2535"/>
      <c r="AA33" s="610"/>
      <c r="AB33" s="2535" t="str">
        <f>IF(TITLE_IST_PUB_CHANGE="",IF(TITLE_IST_PUB="","",TITLE_IST_PUB),TITLE_IST_PUB_CHANGE)</f>
        <v/>
      </c>
      <c r="AC33" s="2535"/>
      <c r="AD33" s="2535"/>
      <c r="AE33" s="2535"/>
      <c r="AF33" s="2535"/>
      <c r="AG33" s="2535"/>
      <c r="AH33" s="2535"/>
      <c r="AI33" s="2535"/>
      <c r="AJ33" s="2535"/>
      <c r="AK33" s="2535"/>
      <c r="AL33" s="2535"/>
      <c r="AM33" s="2535"/>
      <c r="AN33" s="2535"/>
      <c r="AO33" s="2535"/>
      <c r="AP33" s="2535"/>
      <c r="AQ33" s="2535"/>
      <c r="AR33" s="2535"/>
      <c r="AS33" s="610"/>
      <c r="AT33" s="610"/>
      <c r="AU33" s="564"/>
      <c r="AV33" s="652"/>
      <c r="AW33" s="652"/>
      <c r="AX33" s="652"/>
      <c r="AY33" s="652"/>
      <c r="AZ33" s="652"/>
      <c r="BA33" s="702">
        <v>0</v>
      </c>
    </row>
    <row customHeight="1" ht="14.25">
      <c r="Q34" s="575"/>
      <c r="R34" s="660"/>
      <c r="S34" s="1559"/>
      <c r="T34" s="647"/>
      <c r="U34" s="647"/>
      <c r="V34" s="606"/>
      <c r="W34" s="606"/>
      <c r="X34" s="606"/>
      <c r="Y34" s="606"/>
      <c r="Z34" s="606"/>
      <c r="AA34" s="606"/>
      <c r="AB34" s="606"/>
      <c r="AC34" s="606"/>
      <c r="AD34" s="606"/>
      <c r="AE34" s="606"/>
      <c r="AF34" s="606"/>
      <c r="AG34" s="606"/>
      <c r="AH34" s="606"/>
      <c r="AI34" s="606"/>
      <c r="AJ34" s="606"/>
      <c r="AK34" s="606"/>
      <c r="AL34" s="606"/>
      <c r="AM34" s="606"/>
      <c r="AN34" s="606"/>
      <c r="AO34" s="606"/>
      <c r="AP34" s="606"/>
      <c r="AQ34" s="606"/>
      <c r="AR34" s="606"/>
      <c r="AS34" s="606"/>
      <c r="AT34" s="793"/>
      <c r="BA34" s="1439">
        <v>0</v>
      </c>
    </row>
    <row s="14284" customFormat="1" customHeight="1" ht="18.75">
      <c r="A35" s="1652"/>
      <c r="B35" s="1652"/>
      <c r="C35" s="1652"/>
      <c r="D35" s="1652"/>
      <c r="E35" s="1652"/>
      <c r="F35" s="1652"/>
      <c r="G35" s="1652"/>
      <c r="H35" s="1652"/>
      <c r="I35" s="1652"/>
      <c r="J35" s="1652"/>
      <c r="K35" s="1652"/>
      <c r="L35" s="1653"/>
      <c r="M35" s="1652"/>
      <c r="N35" s="1652"/>
      <c r="O35" s="1652"/>
      <c r="P35" s="1652"/>
      <c r="Q35" s="1652"/>
      <c r="S35" s="2534" t="s">
        <v>425</v>
      </c>
      <c r="T35" s="2534"/>
      <c r="U35" s="1656"/>
      <c r="V35" s="2548" t="str">
        <f>IF(TITLE_DATE_PR_CHANGE="",IF(TITLE_DATE_PR="","",TITLE_DATE_PR),TITLE_DATE_PR_CHANGE)</f>
        <v>45471</v>
      </c>
      <c r="W35" s="2548"/>
      <c r="X35" s="2548"/>
      <c r="Y35" s="2548"/>
      <c r="Z35" s="2548"/>
      <c r="AA35" s="610"/>
      <c r="AB35" s="2548" t="str">
        <f>IF(TITLE_DATE_PR_CHANGE="",IF(TITLE_DATE_PR="","",TITLE_DATE_PR),TITLE_DATE_PR_CHANGE)</f>
        <v>45471</v>
      </c>
      <c r="AC35" s="2548"/>
      <c r="AD35" s="2548"/>
      <c r="AE35" s="2548"/>
      <c r="AF35" s="2548"/>
      <c r="AG35" s="2548"/>
      <c r="AH35" s="2548"/>
      <c r="AI35" s="2548"/>
      <c r="AJ35" s="2548"/>
      <c r="AK35" s="2548"/>
      <c r="AL35" s="2548"/>
      <c r="AM35" s="2548"/>
      <c r="AN35" s="2548"/>
      <c r="AO35" s="2548"/>
      <c r="AP35" s="2548"/>
      <c r="AQ35" s="2548"/>
      <c r="AR35" s="2548"/>
      <c r="AS35" s="610"/>
      <c r="AT35" s="610"/>
      <c r="AU35" s="564"/>
      <c r="AV35" s="652"/>
      <c r="AW35" s="652"/>
      <c r="AX35" s="652"/>
      <c r="AY35" s="652"/>
      <c r="AZ35" s="652"/>
      <c r="BA35" s="702">
        <v>0</v>
      </c>
    </row>
    <row s="14284" customFormat="1" customHeight="1" ht="18">
      <c r="A36" s="1652"/>
      <c r="B36" s="1652"/>
      <c r="C36" s="1652"/>
      <c r="D36" s="1652"/>
      <c r="E36" s="1652"/>
      <c r="F36" s="1652"/>
      <c r="G36" s="1652"/>
      <c r="H36" s="1652"/>
      <c r="I36" s="1652"/>
      <c r="J36" s="1652"/>
      <c r="K36" s="1652"/>
      <c r="L36" s="1653"/>
      <c r="M36" s="1652"/>
      <c r="N36" s="1652"/>
      <c r="O36" s="1652"/>
      <c r="P36" s="1652"/>
      <c r="Q36" s="1652"/>
      <c r="S36" s="2534" t="s">
        <v>426</v>
      </c>
      <c r="T36" s="2534"/>
      <c r="U36" s="1656"/>
      <c r="V36" s="2535" t="str">
        <f>IF(TITLE_NUMBER_PR_CHANGE="",IF(TITLE_NUMBER_PR="","",TITLE_NUMBER_PR),TITLE_NUMBER_PR_CHANGE)</f>
        <v>50/18-01/261</v>
      </c>
      <c r="W36" s="2535"/>
      <c r="X36" s="2535"/>
      <c r="Y36" s="2535"/>
      <c r="Z36" s="2535"/>
      <c r="AA36" s="610"/>
      <c r="AB36" s="2535" t="str">
        <f>IF(TITLE_NUMBER_PR_CHANGE="",IF(TITLE_NUMBER_PR="","",TITLE_NUMBER_PR),TITLE_NUMBER_PR_CHANGE)</f>
        <v>50/18-01/261</v>
      </c>
      <c r="AC36" s="2535"/>
      <c r="AD36" s="2535"/>
      <c r="AE36" s="2535"/>
      <c r="AF36" s="2535"/>
      <c r="AG36" s="2535"/>
      <c r="AH36" s="2535"/>
      <c r="AI36" s="2535"/>
      <c r="AJ36" s="2535"/>
      <c r="AK36" s="2535"/>
      <c r="AL36" s="2535"/>
      <c r="AM36" s="2535"/>
      <c r="AN36" s="2535"/>
      <c r="AO36" s="2535"/>
      <c r="AP36" s="2535"/>
      <c r="AQ36" s="2535"/>
      <c r="AR36" s="2535"/>
      <c r="AS36" s="610"/>
      <c r="AT36" s="610"/>
      <c r="AU36" s="564"/>
      <c r="AV36" s="652"/>
      <c r="AW36" s="652"/>
      <c r="AX36" s="652"/>
      <c r="AY36" s="652"/>
      <c r="AZ36" s="652"/>
      <c r="BA36" s="702">
        <v>0</v>
      </c>
    </row>
    <row s="14284" customFormat="1" customHeight="1" ht="1.05">
      <c r="A37" s="1652"/>
      <c r="B37" s="1652"/>
      <c r="C37" s="1652"/>
      <c r="D37" s="1652"/>
      <c r="E37" s="1652"/>
      <c r="F37" s="1652"/>
      <c r="G37" s="1652"/>
      <c r="H37" s="1652"/>
      <c r="I37" s="1652"/>
      <c r="J37" s="1652"/>
      <c r="K37" s="1652"/>
      <c r="L37" s="1653"/>
      <c r="M37" s="1652"/>
      <c r="N37" s="1652"/>
      <c r="O37" s="1652"/>
      <c r="P37" s="1652"/>
      <c r="Q37" s="1652"/>
      <c r="S37" s="607"/>
      <c r="T37" s="607"/>
      <c r="U37" s="1624"/>
      <c r="V37" s="610"/>
      <c r="W37" s="610"/>
      <c r="X37" s="610"/>
      <c r="Y37" s="610"/>
      <c r="Z37" s="610"/>
      <c r="AA37" s="562" t="s">
        <v>429</v>
      </c>
      <c r="AB37" s="610"/>
      <c r="AC37" s="610"/>
      <c r="AD37" s="610"/>
      <c r="AE37" s="610"/>
      <c r="AF37" s="610"/>
      <c r="AG37" s="610"/>
      <c r="AH37" s="610"/>
      <c r="AI37" s="610"/>
      <c r="AJ37" s="610"/>
      <c r="AK37" s="610"/>
      <c r="AL37" s="610"/>
      <c r="AM37" s="610"/>
      <c r="AN37" s="610"/>
      <c r="AO37" s="610"/>
      <c r="AP37" s="610"/>
      <c r="AQ37" s="610"/>
      <c r="AR37" s="610"/>
      <c r="AS37" s="562" t="s">
        <v>429</v>
      </c>
      <c r="AV37" s="652"/>
      <c r="AW37" s="652"/>
      <c r="AX37" s="652"/>
      <c r="AY37" s="652"/>
      <c r="AZ37" s="652"/>
      <c r="BA37" s="702">
        <v>1</v>
      </c>
    </row>
    <row customHeight="1" ht="14.699999999999998">
      <c r="Q38" s="575"/>
      <c r="R38" s="660"/>
      <c r="S38" s="1559"/>
      <c r="T38" s="647"/>
      <c r="U38" s="1528"/>
      <c r="V38" s="2536"/>
      <c r="W38" s="2536"/>
      <c r="X38" s="2536"/>
      <c r="Y38" s="2536"/>
      <c r="Z38" s="2536"/>
      <c r="AA38" s="2536"/>
      <c r="AB38" s="2536"/>
      <c r="AC38" s="2536"/>
      <c r="AD38" s="2536"/>
      <c r="AE38" s="2536"/>
      <c r="AF38" s="2536"/>
      <c r="AG38" s="2536"/>
      <c r="AH38" s="2536"/>
      <c r="AI38" s="2536"/>
      <c r="AJ38" s="2536"/>
      <c r="AK38" s="2536"/>
      <c r="AL38" s="2536"/>
      <c r="AM38" s="2536"/>
      <c r="AN38" s="2536"/>
      <c r="AO38" s="2536"/>
      <c r="AP38" s="2536"/>
      <c r="AQ38" s="2536"/>
      <c r="AR38" s="2536"/>
      <c r="AS38" s="2536"/>
      <c r="BA38" s="1439">
        <v>14</v>
      </c>
    </row>
    <row customHeight="1" ht="14.699999999999998">
      <c r="Q39" s="575"/>
      <c r="R39" s="660"/>
      <c r="S39" s="2411" t="s">
        <v>305</v>
      </c>
      <c r="T39" s="2411"/>
      <c r="U39" s="2411"/>
      <c r="V39" s="2411"/>
      <c r="W39" s="2411"/>
      <c r="X39" s="2411"/>
      <c r="Y39" s="2411"/>
      <c r="Z39" s="2411"/>
      <c r="AA39" s="2411"/>
      <c r="AB39" s="2459"/>
      <c r="AC39" s="2459"/>
      <c r="AD39" s="2459"/>
      <c r="AE39" s="2459"/>
      <c r="AF39" s="2411"/>
      <c r="AG39" s="2411"/>
      <c r="AH39" s="2411"/>
      <c r="AI39" s="2411"/>
      <c r="AJ39" s="2411"/>
      <c r="AK39" s="2411"/>
      <c r="AL39" s="2411"/>
      <c r="AM39" s="2411"/>
      <c r="AN39" s="2411"/>
      <c r="AO39" s="2411"/>
      <c r="AP39" s="2411"/>
      <c r="AQ39" s="2411"/>
      <c r="AR39" s="2411"/>
      <c r="AS39" s="2411"/>
      <c r="AT39" s="2411"/>
      <c r="AU39" s="2411" t="s">
        <v>306</v>
      </c>
      <c r="BA39" s="1439">
        <v>14</v>
      </c>
    </row>
    <row customHeight="1" ht="14.699999999999998">
      <c r="Q40" s="575"/>
      <c r="R40" s="660"/>
      <c r="S40" s="2557" t="s">
        <v>89</v>
      </c>
      <c r="T40" s="2493" t="s">
        <v>481</v>
      </c>
      <c r="U40" s="585"/>
      <c r="V40" s="2559"/>
      <c r="W40" s="2559"/>
      <c r="X40" s="2559"/>
      <c r="Y40" s="2559"/>
      <c r="Z40" s="2560"/>
      <c r="AA40" s="2620" t="s">
        <v>432</v>
      </c>
      <c r="AB40" s="2612" t="s">
        <v>482</v>
      </c>
      <c r="AC40" s="2575"/>
      <c r="AD40" s="2575"/>
      <c r="AE40" s="2613"/>
      <c r="AF40" s="2575" t="s">
        <v>483</v>
      </c>
      <c r="AG40" s="2575"/>
      <c r="AH40" s="2575"/>
      <c r="AI40" s="2613"/>
      <c r="AJ40" s="2612" t="s">
        <v>484</v>
      </c>
      <c r="AK40" s="2575"/>
      <c r="AL40" s="2575"/>
      <c r="AM40" s="2613"/>
      <c r="AN40" s="2612" t="s">
        <v>431</v>
      </c>
      <c r="AO40" s="2575"/>
      <c r="AP40" s="2559"/>
      <c r="AQ40" s="2559"/>
      <c r="AR40" s="2560"/>
      <c r="AS40" s="2561" t="s">
        <v>432</v>
      </c>
      <c r="AT40" s="2564" t="s">
        <v>434</v>
      </c>
      <c r="AU40" s="2411"/>
      <c r="BA40" s="1439">
        <v>14</v>
      </c>
    </row>
    <row customHeight="1" ht="35.699999999999996">
      <c r="Q41" s="575"/>
      <c r="R41" s="660"/>
      <c r="S41" s="2557"/>
      <c r="T41" s="2493"/>
      <c r="U41" s="1315"/>
      <c r="V41" s="2411" t="s">
        <v>485</v>
      </c>
      <c r="W41" s="2411"/>
      <c r="X41" s="2578" t="s">
        <v>438</v>
      </c>
      <c r="Y41" s="2597"/>
      <c r="Z41" s="2598"/>
      <c r="AA41" s="2621"/>
      <c r="AB41" s="2614"/>
      <c r="AC41" s="2615"/>
      <c r="AD41" s="2615"/>
      <c r="AE41" s="2616"/>
      <c r="AF41" s="2615"/>
      <c r="AG41" s="2615"/>
      <c r="AH41" s="2615"/>
      <c r="AI41" s="2616"/>
      <c r="AJ41" s="2614"/>
      <c r="AK41" s="2615"/>
      <c r="AL41" s="2615"/>
      <c r="AM41" s="2615"/>
      <c r="AN41" s="2411" t="s">
        <v>485</v>
      </c>
      <c r="AO41" s="2411"/>
      <c r="AP41" s="2597" t="s">
        <v>438</v>
      </c>
      <c r="AQ41" s="2597"/>
      <c r="AR41" s="2598"/>
      <c r="AS41" s="2562"/>
      <c r="AT41" s="2565"/>
      <c r="AU41" s="2411"/>
      <c r="BA41" s="1439">
        <v>34</v>
      </c>
    </row>
    <row customHeight="1" ht="14.699999999999998">
      <c r="Q42" s="575"/>
      <c r="R42" s="660"/>
      <c r="S42" s="2557"/>
      <c r="T42" s="2493"/>
      <c r="U42" s="1315"/>
      <c r="V42" s="2624" t="str">
        <f>IF($AN$42&lt;&gt;"",$AN$42,"")</f>
        <v/>
      </c>
      <c r="W42" s="2624"/>
      <c r="X42" s="2579"/>
      <c r="Y42" s="2599"/>
      <c r="Z42" s="2600"/>
      <c r="AA42" s="2621"/>
      <c r="AB42" s="2614"/>
      <c r="AC42" s="2615"/>
      <c r="AD42" s="2615"/>
      <c r="AE42" s="2616"/>
      <c r="AF42" s="2615"/>
      <c r="AG42" s="2615"/>
      <c r="AH42" s="2615"/>
      <c r="AI42" s="2616"/>
      <c r="AJ42" s="2614"/>
      <c r="AK42" s="2615"/>
      <c r="AL42" s="2615"/>
      <c r="AM42" s="2615"/>
      <c r="AN42" s="2623"/>
      <c r="AO42" s="2623"/>
      <c r="AP42" s="2599"/>
      <c r="AQ42" s="2599"/>
      <c r="AR42" s="2600"/>
      <c r="AS42" s="2562"/>
      <c r="AT42" s="2565"/>
      <c r="AU42" s="2411"/>
      <c r="BA42" s="1439">
        <v>14</v>
      </c>
    </row>
    <row customHeight="1" ht="14.699999999999998">
      <c r="A43" s="1654"/>
      <c r="B43" s="1654" t="s">
        <v>136</v>
      </c>
      <c r="C43" s="1654" t="s">
        <v>137</v>
      </c>
      <c r="D43" s="1654" t="s">
        <v>138</v>
      </c>
      <c r="E43" s="1648" t="s">
        <v>439</v>
      </c>
      <c r="F43" s="1648" t="s">
        <v>440</v>
      </c>
      <c r="G43" s="1648" t="s">
        <v>441</v>
      </c>
      <c r="H43" s="1648" t="s">
        <v>442</v>
      </c>
      <c r="I43" s="1648" t="s">
        <v>443</v>
      </c>
      <c r="J43" s="1648" t="s">
        <v>444</v>
      </c>
      <c r="K43" s="1648" t="s">
        <v>445</v>
      </c>
      <c r="L43" s="1648" t="s">
        <v>420</v>
      </c>
      <c r="Q43" s="575"/>
      <c r="R43" s="660"/>
      <c r="S43" s="2557"/>
      <c r="T43" s="2493"/>
      <c r="U43" s="586"/>
      <c r="V43" s="1614" t="s">
        <v>486</v>
      </c>
      <c r="W43" s="1614" t="s">
        <v>487</v>
      </c>
      <c r="X43" s="1622" t="s">
        <v>448</v>
      </c>
      <c r="Y43" s="2554" t="s">
        <v>449</v>
      </c>
      <c r="Z43" s="2555"/>
      <c r="AA43" s="2622"/>
      <c r="AB43" s="2617"/>
      <c r="AC43" s="2618"/>
      <c r="AD43" s="2618"/>
      <c r="AE43" s="2619"/>
      <c r="AF43" s="2618"/>
      <c r="AG43" s="2618"/>
      <c r="AH43" s="2618"/>
      <c r="AI43" s="2619"/>
      <c r="AJ43" s="2617"/>
      <c r="AK43" s="2618"/>
      <c r="AL43" s="2618"/>
      <c r="AM43" s="2619"/>
      <c r="AN43" s="2144" t="s">
        <v>486</v>
      </c>
      <c r="AO43" s="2144" t="s">
        <v>487</v>
      </c>
      <c r="AP43" s="1622" t="s">
        <v>448</v>
      </c>
      <c r="AQ43" s="2554" t="s">
        <v>449</v>
      </c>
      <c r="AR43" s="2555"/>
      <c r="AS43" s="2563"/>
      <c r="AT43" s="2566"/>
      <c r="AU43" s="2411"/>
      <c r="BA43" s="1439">
        <v>14</v>
      </c>
    </row>
    <row s="14730" customFormat="1" customHeight="1" ht="11.25" hidden="1">
      <c r="A44" s="1654"/>
      <c r="B44" s="1654"/>
      <c r="C44" s="1654"/>
      <c r="D44" s="1654"/>
      <c r="E44" s="1654"/>
      <c r="F44" s="1654"/>
      <c r="G44" s="1654"/>
      <c r="H44" s="1654"/>
      <c r="I44" s="1654"/>
      <c r="J44" s="1654"/>
      <c r="K44" s="1654"/>
      <c r="L44" s="1648"/>
      <c r="M44" s="1646"/>
      <c r="N44" s="1646"/>
      <c r="O44" s="1646"/>
      <c r="P44" s="794"/>
      <c r="Q44" s="1538"/>
      <c r="R44" s="1538">
        <v>1</v>
      </c>
      <c r="S44" s="1561" t="s">
        <v>110</v>
      </c>
      <c r="T44" s="1539" t="s">
        <v>111</v>
      </c>
      <c r="U44" s="1529" t="str">
        <f>OFFSET(U44,0,-1)</f>
        <v>2</v>
      </c>
      <c r="V44" s="1619">
        <f>OFFSET(V44,0,-1)+1</f>
        <v>3</v>
      </c>
      <c r="W44" s="1619">
        <f>OFFSET(W44,0,-1)+1</f>
        <v>4</v>
      </c>
      <c r="X44" s="1619">
        <f>OFFSET(X44,0,-1)+1</f>
        <v>5</v>
      </c>
      <c r="Y44" s="2556">
        <f>OFFSET(Y44,0,-1)+1</f>
        <v>6</v>
      </c>
      <c r="Z44" s="2556"/>
      <c r="AA44" s="1619">
        <f>OFFSET(AA44,0,-2)+1</f>
        <v>7</v>
      </c>
      <c r="AB44" s="1625">
        <f>OFFSET(AB44,0,-1)+1</f>
        <v>8</v>
      </c>
      <c r="AC44" s="1625"/>
      <c r="AD44" s="1625"/>
      <c r="AE44" s="1625"/>
      <c r="AF44" s="1619"/>
      <c r="AG44" s="1619"/>
      <c r="AH44" s="1619"/>
      <c r="AI44" s="1619"/>
      <c r="AJ44" s="1619"/>
      <c r="AK44" s="1619"/>
      <c r="AL44" s="1619"/>
      <c r="AM44" s="1619"/>
      <c r="AN44" s="1619">
        <f>OFFSET(AN44,0,-1)+1</f>
        <v>1</v>
      </c>
      <c r="AO44" s="1619">
        <f>OFFSET(AO44,0,-1)+1</f>
        <v>2</v>
      </c>
      <c r="AP44" s="1619">
        <f>OFFSET(AP44,0,-1)+1</f>
        <v>3</v>
      </c>
      <c r="AQ44" s="2556">
        <f>OFFSET(AQ44,0,-1)+1</f>
        <v>4</v>
      </c>
      <c r="AR44" s="2556"/>
      <c r="AS44" s="1619">
        <f>OFFSET(AS44,0,-2)+1</f>
        <v>5</v>
      </c>
      <c r="AT44" s="1529">
        <f>OFFSET(AT44,0,-1)</f>
        <v>5</v>
      </c>
      <c r="AU44" s="1619">
        <f>OFFSET(AU44,0,-1)+1</f>
        <v>6</v>
      </c>
      <c r="AV44" s="795"/>
      <c r="AW44" s="795"/>
      <c r="AX44" s="795"/>
      <c r="AY44" s="795"/>
      <c r="AZ44" s="795"/>
      <c r="BA44" s="780">
        <v>0</v>
      </c>
    </row>
    <row customHeight="1" ht="107.25">
      <c r="A45" s="1647" t="s">
        <v>205</v>
      </c>
      <c r="B45" s="1647"/>
      <c r="C45" s="1647"/>
      <c r="D45" s="1647"/>
      <c r="E45" s="2542">
        <v>1</v>
      </c>
      <c r="F45" s="1647"/>
      <c r="G45" s="1647"/>
      <c r="H45" s="1647"/>
      <c r="I45" s="1647"/>
      <c r="J45" s="1647"/>
      <c r="K45" s="1647"/>
      <c r="L45" s="1648"/>
      <c r="M45" s="1649"/>
      <c r="N45" s="1649"/>
      <c r="O45" s="1649"/>
      <c r="P45" s="1693"/>
      <c r="Q45" s="1157"/>
      <c r="R45" s="639"/>
      <c r="S45" s="1620">
        <f>INDEX(PT_DIFFERENTIATION_NUM_NTAR,MATCH(A45,PT_DIFFERENTIATION_NTAR_ID,0))</f>
        <v>0</v>
      </c>
      <c r="T45" s="582" t="s">
        <v>124</v>
      </c>
      <c r="U45" s="584"/>
      <c r="V45" s="2527"/>
      <c r="W45" s="2527"/>
      <c r="X45" s="2527"/>
      <c r="Y45" s="2527"/>
      <c r="Z45" s="2527"/>
      <c r="AA45" s="2528"/>
      <c r="AB45" s="2526" t="str">
        <f>INDEX(PT_DIFFERENTIATION_NTAR,MATCH(A45,PT_DIFFERENTIATION_NTAR_ID,0))</f>
        <v/>
      </c>
      <c r="AC45" s="2527"/>
      <c r="AD45" s="2527"/>
      <c r="AE45" s="2527"/>
      <c r="AF45" s="2527"/>
      <c r="AG45" s="2527"/>
      <c r="AH45" s="2527"/>
      <c r="AI45" s="2527"/>
      <c r="AJ45" s="2527"/>
      <c r="AK45" s="2527"/>
      <c r="AL45" s="2527"/>
      <c r="AM45" s="2527"/>
      <c r="AN45" s="2527"/>
      <c r="AO45" s="2527"/>
      <c r="AP45" s="2527"/>
      <c r="AQ45" s="2527"/>
      <c r="AR45" s="2527"/>
      <c r="AS45" s="2527"/>
      <c r="AT45" s="2528"/>
      <c r="AU45" s="1542"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W45" s="784"/>
      <c r="AX45" s="784" t="str">
        <f>IF(T45="","",T45)</f>
        <v>Наименование тарифа</v>
      </c>
      <c r="AY45" s="784"/>
      <c r="AZ45" s="784"/>
      <c r="BA45" s="1439">
        <v>102</v>
      </c>
    </row>
    <row customHeight="1" ht="22.049999999999997">
      <c r="A46" s="1647" t="s">
        <v>205</v>
      </c>
      <c r="B46" s="1647" t="s">
        <v>206</v>
      </c>
      <c r="C46" s="1647"/>
      <c r="D46" s="1647"/>
      <c r="E46" s="2543"/>
      <c r="F46" s="2542">
        <v>1</v>
      </c>
      <c r="G46" s="1647"/>
      <c r="H46" s="1647"/>
      <c r="I46" s="1647"/>
      <c r="J46" s="1647"/>
      <c r="K46" s="1647"/>
      <c r="L46" s="1648"/>
      <c r="M46" s="1649"/>
      <c r="N46" s="1649"/>
      <c r="O46" s="1649"/>
      <c r="P46" s="1694"/>
      <c r="Q46" s="1695"/>
      <c r="R46" s="637"/>
      <c r="S46" s="1620" t="str">
        <f>INDEX(PT_DIFFERENTIATION_NUM_TER,MATCH(B46,PT_DIFFERENTIATION_TER_ID,0))</f>
        <v>.</v>
      </c>
      <c r="T46" s="592" t="s">
        <v>402</v>
      </c>
      <c r="U46" s="584"/>
      <c r="V46" s="2527"/>
      <c r="W46" s="2527"/>
      <c r="X46" s="2527"/>
      <c r="Y46" s="2527"/>
      <c r="Z46" s="2527"/>
      <c r="AA46" s="2528"/>
      <c r="AB46" s="2526" t="str">
        <f>INDEX(PT_DIFFERENTIATION_TER,MATCH(B46,PT_DIFFERENTIATION_TER_ID,0))</f>
        <v/>
      </c>
      <c r="AC46" s="2527"/>
      <c r="AD46" s="2527"/>
      <c r="AE46" s="2527"/>
      <c r="AF46" s="2527"/>
      <c r="AG46" s="2527"/>
      <c r="AH46" s="2527"/>
      <c r="AI46" s="2527"/>
      <c r="AJ46" s="2527"/>
      <c r="AK46" s="2527"/>
      <c r="AL46" s="2527"/>
      <c r="AM46" s="2527"/>
      <c r="AN46" s="2527"/>
      <c r="AO46" s="2527"/>
      <c r="AP46" s="2527"/>
      <c r="AQ46" s="2527"/>
      <c r="AR46" s="2527"/>
      <c r="AS46" s="2527"/>
      <c r="AT46" s="2528"/>
      <c r="AU46" s="1542" t="s">
        <v>403</v>
      </c>
      <c r="AW46" s="784"/>
      <c r="AX46" s="784" t="str">
        <f>IF(T46="","",T46)</f>
        <v>Территория действия тарифа</v>
      </c>
      <c r="AY46" s="784"/>
      <c r="AZ46" s="784"/>
      <c r="BA46" s="1439">
        <v>21</v>
      </c>
    </row>
    <row customHeight="1" ht="24">
      <c r="A47" s="1647" t="s">
        <v>205</v>
      </c>
      <c r="B47" s="1647" t="s">
        <v>206</v>
      </c>
      <c r="C47" s="1647" t="s">
        <v>207</v>
      </c>
      <c r="D47" s="1647"/>
      <c r="E47" s="2543"/>
      <c r="F47" s="2543"/>
      <c r="G47" s="2542">
        <v>1</v>
      </c>
      <c r="H47" s="1647"/>
      <c r="I47" s="1647"/>
      <c r="J47" s="1647"/>
      <c r="K47" s="1647"/>
      <c r="L47" s="1648"/>
      <c r="M47" s="1649"/>
      <c r="N47" s="1649"/>
      <c r="O47" s="1649"/>
      <c r="P47" s="1696"/>
      <c r="Q47" s="1695"/>
      <c r="R47" s="637"/>
      <c r="S47" s="1620" t="str">
        <f>INDEX(PT_DIFFERENTIATION_NUM_CS,MATCH(C47,PT_DIFFERENTIATION_CS_ID,0))</f>
        <v>..</v>
      </c>
      <c r="T47" s="593" t="s">
        <v>404</v>
      </c>
      <c r="U47" s="584"/>
      <c r="V47" s="2527"/>
      <c r="W47" s="2527"/>
      <c r="X47" s="2527"/>
      <c r="Y47" s="2527"/>
      <c r="Z47" s="2527"/>
      <c r="AA47" s="2528"/>
      <c r="AB47" s="2526" t="str">
        <f>INDEX(PT_DIFFERENTIATION_CS,MATCH(C47,PT_DIFFERENTIATION_CS_ID,0))</f>
        <v/>
      </c>
      <c r="AC47" s="2527"/>
      <c r="AD47" s="2527"/>
      <c r="AE47" s="2527"/>
      <c r="AF47" s="2527"/>
      <c r="AG47" s="2527"/>
      <c r="AH47" s="2527"/>
      <c r="AI47" s="2527"/>
      <c r="AJ47" s="2527"/>
      <c r="AK47" s="2527"/>
      <c r="AL47" s="2527"/>
      <c r="AM47" s="2527"/>
      <c r="AN47" s="2527"/>
      <c r="AO47" s="2527"/>
      <c r="AP47" s="2527"/>
      <c r="AQ47" s="2527"/>
      <c r="AR47" s="2527"/>
      <c r="AS47" s="2527"/>
      <c r="AT47" s="2528"/>
      <c r="AU47" s="1542" t="s">
        <v>405</v>
      </c>
      <c r="AW47" s="784"/>
      <c r="AX47" s="784" t="str">
        <f>IF(T47="","",T47)</f>
        <v>Наименование системы теплоснабжения </v>
      </c>
      <c r="AY47" s="784"/>
      <c r="AZ47" s="784"/>
      <c r="BA47" s="1439">
        <v>23</v>
      </c>
    </row>
    <row customHeight="1" ht="21">
      <c r="A48" s="1647" t="s">
        <v>205</v>
      </c>
      <c r="B48" s="1647" t="s">
        <v>206</v>
      </c>
      <c r="C48" s="1647" t="s">
        <v>207</v>
      </c>
      <c r="D48" s="1647" t="s">
        <v>208</v>
      </c>
      <c r="E48" s="2543"/>
      <c r="F48" s="2543"/>
      <c r="G48" s="2543"/>
      <c r="H48" s="2542">
        <v>1</v>
      </c>
      <c r="I48" s="1647"/>
      <c r="J48" s="1647"/>
      <c r="K48" s="1647"/>
      <c r="L48" s="1648"/>
      <c r="M48" s="1649"/>
      <c r="N48" s="1649"/>
      <c r="O48" s="1649"/>
      <c r="P48" s="1696"/>
      <c r="Q48" s="1695"/>
      <c r="R48" s="637"/>
      <c r="S48" s="1620" t="str">
        <f>INDEX(PT_DIFFERENTIATION_NUM_IST_TE,MATCH(D48,PT_DIFFERENTIATION_IST_TE_ID,0))</f>
        <v>...</v>
      </c>
      <c r="T48" s="594" t="s">
        <v>406</v>
      </c>
      <c r="U48" s="584"/>
      <c r="V48" s="2527"/>
      <c r="W48" s="2527"/>
      <c r="X48" s="2527"/>
      <c r="Y48" s="2527"/>
      <c r="Z48" s="2527"/>
      <c r="AA48" s="2528"/>
      <c r="AB48" s="2526" t="str">
        <f>INDEX(PT_DIFFERENTIATION_IST_TE,MATCH(D48,PT_DIFFERENTIATION_IST_TE_ID,0))</f>
        <v/>
      </c>
      <c r="AC48" s="2527"/>
      <c r="AD48" s="2527"/>
      <c r="AE48" s="2527"/>
      <c r="AF48" s="2527"/>
      <c r="AG48" s="2527"/>
      <c r="AH48" s="2527"/>
      <c r="AI48" s="2527"/>
      <c r="AJ48" s="2527"/>
      <c r="AK48" s="2527"/>
      <c r="AL48" s="2527"/>
      <c r="AM48" s="2527"/>
      <c r="AN48" s="2527"/>
      <c r="AO48" s="2527"/>
      <c r="AP48" s="2527"/>
      <c r="AQ48" s="2527"/>
      <c r="AR48" s="2527"/>
      <c r="AS48" s="2527"/>
      <c r="AT48" s="2528"/>
      <c r="AU48" s="1542" t="s">
        <v>407</v>
      </c>
      <c r="AW48" s="784"/>
      <c r="AX48" s="784" t="str">
        <f>IF(T48="","",T48)</f>
        <v>Источник тепловой энергии  </v>
      </c>
      <c r="AY48" s="784"/>
      <c r="AZ48" s="784"/>
      <c r="BA48" s="1439">
        <v>20</v>
      </c>
    </row>
    <row s="14158" customFormat="1" customHeight="1" ht="1.05">
      <c r="A49" s="1627" t="s">
        <v>205</v>
      </c>
      <c r="B49" s="1627" t="s">
        <v>206</v>
      </c>
      <c r="C49" s="1627" t="s">
        <v>207</v>
      </c>
      <c r="D49" s="1627" t="s">
        <v>208</v>
      </c>
      <c r="E49" s="2543"/>
      <c r="F49" s="2543"/>
      <c r="G49" s="2543"/>
      <c r="H49" s="2543"/>
      <c r="I49" s="2540" t="str">
        <f>S48&amp;".1"</f>
        <v>....1</v>
      </c>
      <c r="J49" s="1627"/>
      <c r="K49" s="1627"/>
      <c r="L49" s="1630" t="s">
        <v>408</v>
      </c>
      <c r="M49" s="794"/>
      <c r="N49" s="794"/>
      <c r="O49" s="794"/>
      <c r="P49" s="2541">
        <v>1</v>
      </c>
      <c r="Q49" s="1615"/>
      <c r="R49" s="640"/>
      <c r="S49" s="1326"/>
      <c r="T49" s="1667"/>
      <c r="U49" s="1668"/>
      <c r="V49" s="2581"/>
      <c r="W49" s="2581"/>
      <c r="X49" s="2581"/>
      <c r="Y49" s="2581"/>
      <c r="Z49" s="2581"/>
      <c r="AA49" s="2582"/>
      <c r="AB49" s="2580"/>
      <c r="AC49" s="2581"/>
      <c r="AD49" s="2581"/>
      <c r="AE49" s="2581"/>
      <c r="AF49" s="2581"/>
      <c r="AG49" s="2581"/>
      <c r="AH49" s="2581"/>
      <c r="AI49" s="2581"/>
      <c r="AJ49" s="2581"/>
      <c r="AK49" s="2581"/>
      <c r="AL49" s="2581"/>
      <c r="AM49" s="2581"/>
      <c r="AN49" s="2581"/>
      <c r="AO49" s="2581"/>
      <c r="AP49" s="2581"/>
      <c r="AQ49" s="2581"/>
      <c r="AR49" s="2581"/>
      <c r="AS49" s="2581"/>
      <c r="AT49" s="2582"/>
      <c r="AU49" s="1669"/>
      <c r="AW49" s="784"/>
      <c r="AX49" s="784" t="str">
        <f>IF(T49="","",T49)</f>
        <v/>
      </c>
      <c r="AY49" s="784"/>
      <c r="AZ49" s="784"/>
      <c r="BA49" s="795">
        <v>1</v>
      </c>
    </row>
    <row s="14158" customFormat="1" customHeight="1" ht="1.05">
      <c r="A50" s="1627" t="s">
        <v>205</v>
      </c>
      <c r="B50" s="1627" t="s">
        <v>206</v>
      </c>
      <c r="C50" s="1627" t="s">
        <v>207</v>
      </c>
      <c r="D50" s="1627" t="s">
        <v>208</v>
      </c>
      <c r="E50" s="2543"/>
      <c r="F50" s="2543"/>
      <c r="G50" s="2543"/>
      <c r="H50" s="2543"/>
      <c r="I50" s="2570"/>
      <c r="J50" s="2540" t="str">
        <f>S48&amp;".1"</f>
        <v>....1</v>
      </c>
      <c r="K50" s="1627"/>
      <c r="L50" s="1630"/>
      <c r="M50" s="794"/>
      <c r="N50" s="794"/>
      <c r="O50" s="794"/>
      <c r="P50" s="2541"/>
      <c r="Q50" s="2541">
        <v>1</v>
      </c>
      <c r="R50" s="641"/>
      <c r="S50" s="1326"/>
      <c r="T50" s="1683"/>
      <c r="U50" s="1668"/>
      <c r="V50" s="2581"/>
      <c r="W50" s="2581"/>
      <c r="X50" s="2581"/>
      <c r="Y50" s="2581"/>
      <c r="Z50" s="2581"/>
      <c r="AA50" s="2582"/>
      <c r="AB50" s="2580"/>
      <c r="AC50" s="2581"/>
      <c r="AD50" s="2581"/>
      <c r="AE50" s="2581"/>
      <c r="AF50" s="2581"/>
      <c r="AG50" s="2581"/>
      <c r="AH50" s="2581"/>
      <c r="AI50" s="2581"/>
      <c r="AJ50" s="2581"/>
      <c r="AK50" s="2581"/>
      <c r="AL50" s="2581"/>
      <c r="AM50" s="2581"/>
      <c r="AN50" s="2581"/>
      <c r="AO50" s="2581"/>
      <c r="AP50" s="2581"/>
      <c r="AQ50" s="2581"/>
      <c r="AR50" s="2581"/>
      <c r="AS50" s="2581"/>
      <c r="AT50" s="2582"/>
      <c r="AU50" s="1669"/>
      <c r="AW50" s="784"/>
      <c r="AX50" s="784" t="str">
        <f>IF(T50="","",T50)</f>
        <v/>
      </c>
      <c r="AY50" s="784"/>
      <c r="AZ50" s="784"/>
      <c r="BA50" s="795">
        <v>1</v>
      </c>
    </row>
    <row customHeight="1" ht="22.049999999999997">
      <c r="A51" s="1647" t="s">
        <v>205</v>
      </c>
      <c r="B51" s="1647" t="s">
        <v>206</v>
      </c>
      <c r="C51" s="1647" t="s">
        <v>207</v>
      </c>
      <c r="D51" s="1647" t="s">
        <v>208</v>
      </c>
      <c r="E51" s="2543"/>
      <c r="F51" s="2543"/>
      <c r="G51" s="2543"/>
      <c r="H51" s="2543"/>
      <c r="I51" s="2570"/>
      <c r="J51" s="2570"/>
      <c r="K51" s="2540" t="str">
        <f>S48&amp;".1"</f>
        <v>....1</v>
      </c>
      <c r="L51" s="1648"/>
      <c r="P51" s="2541"/>
      <c r="Q51" s="2541"/>
      <c r="R51" s="641">
        <v>1</v>
      </c>
      <c r="S51" s="2625" t="str">
        <f>$K51</f>
        <v>....1</v>
      </c>
      <c r="T51" s="2628"/>
      <c r="U51" s="584"/>
      <c r="V51" s="1035"/>
      <c r="W51" s="1541"/>
      <c r="X51" s="2018"/>
      <c r="Y51" s="1743" t="s">
        <v>67</v>
      </c>
      <c r="Z51" s="2018"/>
      <c r="AA51" s="1743" t="s">
        <v>67</v>
      </c>
      <c r="AB51" s="2391" t="s">
        <v>19</v>
      </c>
      <c r="AC51" s="2610"/>
      <c r="AD51" s="2489">
        <v>1</v>
      </c>
      <c r="AE51" s="2632" t="s">
        <v>28</v>
      </c>
      <c r="AF51" s="2391" t="s">
        <v>19</v>
      </c>
      <c r="AG51" s="2610"/>
      <c r="AH51" s="2489">
        <v>1</v>
      </c>
      <c r="AI51" s="2632" t="s">
        <v>28</v>
      </c>
      <c r="AJ51" s="2391" t="s">
        <v>19</v>
      </c>
      <c r="AK51" s="595"/>
      <c r="AL51" s="1621">
        <v>1</v>
      </c>
      <c r="AM51" s="1686"/>
      <c r="AN51" s="1035"/>
      <c r="AO51" s="1541"/>
      <c r="AP51" s="2018"/>
      <c r="AQ51" s="1743" t="s">
        <v>67</v>
      </c>
      <c r="AR51" s="2018"/>
      <c r="AS51" s="1743" t="s">
        <v>67</v>
      </c>
      <c r="AT51" s="1632"/>
      <c r="AU51" s="2537" t="s">
        <v>488</v>
      </c>
      <c r="AV51" s="795">
        <f>STRCHECKDATE(V54:AT54)</f>
      </c>
      <c r="AW51" s="784"/>
      <c r="AX51" s="784" t="str">
        <f>IF(T51="","",T51)</f>
        <v/>
      </c>
      <c r="AY51" s="784"/>
      <c r="AZ51" s="784"/>
      <c r="BA51" s="1439">
        <v>21</v>
      </c>
    </row>
    <row customHeight="1" ht="11.549999999999999">
      <c r="A52" s="1647" t="s">
        <v>205</v>
      </c>
      <c r="B52" s="1647"/>
      <c r="C52" s="1647"/>
      <c r="D52" s="1647"/>
      <c r="E52" s="2543"/>
      <c r="F52" s="2543"/>
      <c r="G52" s="2543"/>
      <c r="H52" s="2543"/>
      <c r="I52" s="2570"/>
      <c r="J52" s="2570"/>
      <c r="K52" s="2540"/>
      <c r="L52" s="1648"/>
      <c r="P52" s="2541"/>
      <c r="Q52" s="2541"/>
      <c r="R52" s="641"/>
      <c r="S52" s="2626"/>
      <c r="T52" s="2629"/>
      <c r="U52" s="584"/>
      <c r="V52" s="1677"/>
      <c r="W52" s="1780"/>
      <c r="X52" s="1677"/>
      <c r="Y52" s="1677"/>
      <c r="Z52" s="1677"/>
      <c r="AA52" s="1677"/>
      <c r="AB52" s="2391"/>
      <c r="AC52" s="2610"/>
      <c r="AD52" s="2489"/>
      <c r="AE52" s="2632"/>
      <c r="AF52" s="2391"/>
      <c r="AG52" s="2610"/>
      <c r="AH52" s="2489"/>
      <c r="AI52" s="2632"/>
      <c r="AJ52" s="2391"/>
      <c r="AK52" s="600"/>
      <c r="AL52" s="700"/>
      <c r="AM52" s="699" t="s">
        <v>473</v>
      </c>
      <c r="AN52" s="1677"/>
      <c r="AO52" s="1780"/>
      <c r="AP52" s="1677"/>
      <c r="AQ52" s="1677"/>
      <c r="AR52" s="1677"/>
      <c r="AS52" s="1677"/>
      <c r="AT52" s="1674"/>
      <c r="AU52" s="2538"/>
      <c r="AW52" s="784"/>
      <c r="AX52" s="784"/>
      <c r="AY52" s="784"/>
      <c r="AZ52" s="784"/>
      <c r="BA52" s="1439">
        <v>11</v>
      </c>
    </row>
    <row customHeight="1" ht="11.549999999999999">
      <c r="A53" s="1647" t="s">
        <v>205</v>
      </c>
      <c r="B53" s="1647"/>
      <c r="C53" s="1647"/>
      <c r="D53" s="1647"/>
      <c r="E53" s="2543"/>
      <c r="F53" s="2543"/>
      <c r="G53" s="2543"/>
      <c r="H53" s="2543"/>
      <c r="I53" s="2570"/>
      <c r="J53" s="2570"/>
      <c r="K53" s="2540"/>
      <c r="L53" s="1648"/>
      <c r="P53" s="2541"/>
      <c r="Q53" s="2541"/>
      <c r="R53" s="641"/>
      <c r="S53" s="2626"/>
      <c r="T53" s="2629"/>
      <c r="U53" s="584"/>
      <c r="V53" s="1677"/>
      <c r="W53" s="1780"/>
      <c r="X53" s="1677"/>
      <c r="Y53" s="1677"/>
      <c r="Z53" s="1677"/>
      <c r="AA53" s="1677"/>
      <c r="AB53" s="2391"/>
      <c r="AC53" s="2610"/>
      <c r="AD53" s="2489"/>
      <c r="AE53" s="2632"/>
      <c r="AF53" s="2391"/>
      <c r="AG53" s="578"/>
      <c r="AH53" s="699"/>
      <c r="AI53" s="699" t="s">
        <v>474</v>
      </c>
      <c r="AJ53" s="1677"/>
      <c r="AK53" s="1677"/>
      <c r="AL53" s="1677"/>
      <c r="AM53" s="1677"/>
      <c r="AN53" s="1677"/>
      <c r="AO53" s="1780"/>
      <c r="AP53" s="1677"/>
      <c r="AQ53" s="1677"/>
      <c r="AR53" s="1677"/>
      <c r="AS53" s="1677"/>
      <c r="AT53" s="1674"/>
      <c r="AU53" s="2538"/>
      <c r="AW53" s="784"/>
      <c r="AX53" s="784"/>
      <c r="AY53" s="784"/>
      <c r="AZ53" s="784"/>
      <c r="BA53" s="1439">
        <v>11</v>
      </c>
    </row>
    <row customHeight="1" ht="11.549999999999999">
      <c r="A54" s="1647" t="s">
        <v>205</v>
      </c>
      <c r="B54" s="1647" t="s">
        <v>206</v>
      </c>
      <c r="C54" s="1647" t="s">
        <v>207</v>
      </c>
      <c r="D54" s="1647" t="s">
        <v>208</v>
      </c>
      <c r="E54" s="2543"/>
      <c r="F54" s="2543"/>
      <c r="G54" s="2543"/>
      <c r="H54" s="2543"/>
      <c r="I54" s="2570"/>
      <c r="J54" s="2570"/>
      <c r="K54" s="2540"/>
      <c r="L54" s="1648"/>
      <c r="P54" s="2541"/>
      <c r="Q54" s="2541"/>
      <c r="R54" s="641"/>
      <c r="S54" s="2627"/>
      <c r="T54" s="2630"/>
      <c r="U54" s="584"/>
      <c r="V54" s="1677"/>
      <c r="W54" s="1678" t="str">
        <f>X51&amp;"-"&amp;Z51</f>
        <v>-</v>
      </c>
      <c r="X54" s="1677"/>
      <c r="Y54" s="1677"/>
      <c r="Z54" s="1677"/>
      <c r="AA54" s="1677"/>
      <c r="AB54" s="2391"/>
      <c r="AC54" s="596"/>
      <c r="AD54" s="598"/>
      <c r="AE54" s="699" t="s">
        <v>475</v>
      </c>
      <c r="AF54" s="1677"/>
      <c r="AG54" s="1677"/>
      <c r="AH54" s="1677"/>
      <c r="AI54" s="1677"/>
      <c r="AJ54" s="1677"/>
      <c r="AK54" s="1677"/>
      <c r="AL54" s="1677"/>
      <c r="AM54" s="1677"/>
      <c r="AN54" s="1677"/>
      <c r="AO54" s="1678" t="str">
        <f>AP51&amp;"-"&amp;AR51</f>
        <v>-</v>
      </c>
      <c r="AP54" s="1677"/>
      <c r="AQ54" s="1677"/>
      <c r="AR54" s="1677"/>
      <c r="AS54" s="1677"/>
      <c r="AT54" s="1633"/>
      <c r="AU54" s="2538"/>
      <c r="AW54" s="784"/>
      <c r="AX54" s="784" t="str">
        <f>IF(T54="","",T54)</f>
        <v/>
      </c>
      <c r="AY54" s="784"/>
      <c r="AZ54" s="784"/>
      <c r="BA54" s="1439">
        <v>11</v>
      </c>
    </row>
    <row customHeight="1" ht="11.549999999999999">
      <c r="A55" s="1647" t="s">
        <v>205</v>
      </c>
      <c r="B55" s="1647" t="s">
        <v>206</v>
      </c>
      <c r="C55" s="1647" t="s">
        <v>207</v>
      </c>
      <c r="D55" s="1647" t="s">
        <v>208</v>
      </c>
      <c r="E55" s="2543"/>
      <c r="F55" s="2543"/>
      <c r="G55" s="2543"/>
      <c r="H55" s="2543"/>
      <c r="I55" s="2570"/>
      <c r="J55" s="2540"/>
      <c r="K55" s="1647"/>
      <c r="L55" s="1648"/>
      <c r="P55" s="2541"/>
      <c r="Q55" s="2541"/>
      <c r="R55" s="640"/>
      <c r="S55" s="1562"/>
      <c r="T55" s="571" t="s">
        <v>476</v>
      </c>
      <c r="U55" s="651"/>
      <c r="V55" s="651"/>
      <c r="W55" s="651"/>
      <c r="X55" s="651"/>
      <c r="Y55" s="651"/>
      <c r="Z55" s="651"/>
      <c r="AA55" s="608"/>
      <c r="AB55" s="1789"/>
      <c r="AC55" s="651"/>
      <c r="AD55" s="651"/>
      <c r="AE55" s="651"/>
      <c r="AF55" s="651"/>
      <c r="AG55" s="651"/>
      <c r="AH55" s="651"/>
      <c r="AI55" s="651"/>
      <c r="AJ55" s="651"/>
      <c r="AK55" s="651"/>
      <c r="AL55" s="651"/>
      <c r="AM55" s="651"/>
      <c r="AN55" s="651"/>
      <c r="AO55" s="651"/>
      <c r="AP55" s="651"/>
      <c r="AQ55" s="651"/>
      <c r="AR55" s="651"/>
      <c r="AS55" s="651"/>
      <c r="AT55" s="608"/>
      <c r="AU55" s="2539"/>
      <c r="AW55" s="784"/>
      <c r="AX55" s="784" t="str">
        <f>IF(T55="","",T55)</f>
        <v>Добавить строку</v>
      </c>
      <c r="AY55" s="784"/>
      <c r="AZ55" s="784"/>
      <c r="BA55" s="1439">
        <v>11</v>
      </c>
    </row>
    <row s="14158" customFormat="1" customHeight="1" ht="1.05">
      <c r="A56" s="1627" t="s">
        <v>205</v>
      </c>
      <c r="B56" s="1627" t="s">
        <v>206</v>
      </c>
      <c r="C56" s="1627" t="s">
        <v>207</v>
      </c>
      <c r="D56" s="1627" t="s">
        <v>208</v>
      </c>
      <c r="E56" s="2543"/>
      <c r="F56" s="2543"/>
      <c r="G56" s="2543"/>
      <c r="H56" s="2543"/>
      <c r="I56" s="2540"/>
      <c r="J56" s="1627"/>
      <c r="K56" s="1627"/>
      <c r="L56" s="1630"/>
      <c r="M56" s="794"/>
      <c r="N56" s="794"/>
      <c r="O56" s="794"/>
      <c r="P56" s="2541"/>
      <c r="Q56" s="1615"/>
      <c r="R56" s="640"/>
      <c r="S56" s="1670"/>
      <c r="T56" s="1671" t="s">
        <v>417</v>
      </c>
      <c r="U56" s="1672"/>
      <c r="V56" s="1672"/>
      <c r="W56" s="1672"/>
      <c r="X56" s="1672"/>
      <c r="Y56" s="1672"/>
      <c r="Z56" s="1672"/>
      <c r="AA56" s="1672"/>
      <c r="AB56" s="1672"/>
      <c r="AC56" s="1672"/>
      <c r="AD56" s="1672"/>
      <c r="AE56" s="1672"/>
      <c r="AF56" s="1672"/>
      <c r="AG56" s="1672"/>
      <c r="AH56" s="1672"/>
      <c r="AI56" s="1672"/>
      <c r="AJ56" s="1672"/>
      <c r="AK56" s="1672"/>
      <c r="AL56" s="1672"/>
      <c r="AM56" s="1672"/>
      <c r="AN56" s="1672"/>
      <c r="AO56" s="1672"/>
      <c r="AP56" s="1672"/>
      <c r="AQ56" s="1672"/>
      <c r="AR56" s="1672"/>
      <c r="AS56" s="1672"/>
      <c r="AT56" s="1672"/>
      <c r="AU56" s="1673"/>
      <c r="AW56" s="784"/>
      <c r="AX56" s="784" t="str">
        <f>IF(T56="","",T56)</f>
        <v>Добавить группу потребителей</v>
      </c>
      <c r="AY56" s="784"/>
      <c r="AZ56" s="784"/>
      <c r="BA56" s="795">
        <v>1</v>
      </c>
    </row>
    <row s="14730" customFormat="1" customHeight="1" ht="1.05">
      <c r="A57" s="1627" t="s">
        <v>205</v>
      </c>
      <c r="B57" s="1627" t="s">
        <v>206</v>
      </c>
      <c r="C57" s="1627" t="s">
        <v>207</v>
      </c>
      <c r="D57" s="1627" t="s">
        <v>208</v>
      </c>
      <c r="E57" s="2543"/>
      <c r="F57" s="2543"/>
      <c r="G57" s="2543"/>
      <c r="H57" s="2542"/>
      <c r="I57" s="1627"/>
      <c r="J57" s="1627"/>
      <c r="K57" s="1627"/>
      <c r="L57" s="1630"/>
      <c r="M57" s="1599"/>
      <c r="N57" s="1599"/>
      <c r="O57" s="802"/>
      <c r="P57" s="664"/>
      <c r="Q57" s="1628"/>
      <c r="R57" s="1684"/>
      <c r="S57" s="1670"/>
      <c r="T57" s="1671"/>
      <c r="U57" s="1672"/>
      <c r="V57" s="1672"/>
      <c r="W57" s="1672"/>
      <c r="X57" s="1672"/>
      <c r="Y57" s="1672"/>
      <c r="Z57" s="1672"/>
      <c r="AA57" s="1672"/>
      <c r="AB57" s="1672"/>
      <c r="AC57" s="1672"/>
      <c r="AD57" s="1672"/>
      <c r="AE57" s="1672"/>
      <c r="AF57" s="1672"/>
      <c r="AG57" s="1672"/>
      <c r="AH57" s="1672"/>
      <c r="AI57" s="1672"/>
      <c r="AJ57" s="1672"/>
      <c r="AK57" s="1672"/>
      <c r="AL57" s="1672"/>
      <c r="AM57" s="1672"/>
      <c r="AN57" s="1672"/>
      <c r="AO57" s="1672"/>
      <c r="AP57" s="1672"/>
      <c r="AQ57" s="1672"/>
      <c r="AR57" s="1672"/>
      <c r="AS57" s="1672"/>
      <c r="AT57" s="1672"/>
      <c r="AU57" s="1673"/>
      <c r="AV57" s="795"/>
      <c r="AW57" s="784"/>
      <c r="AX57" s="784" t="str">
        <f>IF(T57="","",T57)</f>
        <v/>
      </c>
      <c r="AY57" s="784"/>
      <c r="AZ57" s="784"/>
      <c r="BA57" s="780">
        <v>1</v>
      </c>
    </row>
    <row s="14158" customFormat="1" customHeight="1" ht="1.05">
      <c r="A58" s="1627" t="s">
        <v>205</v>
      </c>
      <c r="B58" s="1627" t="s">
        <v>206</v>
      </c>
      <c r="C58" s="1627" t="s">
        <v>207</v>
      </c>
      <c r="D58" s="1598"/>
      <c r="E58" s="2543"/>
      <c r="F58" s="2543"/>
      <c r="G58" s="2542"/>
      <c r="H58" s="1598"/>
      <c r="I58" s="1598"/>
      <c r="J58" s="1598"/>
      <c r="K58" s="1598"/>
      <c r="L58" s="1623"/>
      <c r="M58" s="1599"/>
      <c r="N58" s="1599"/>
      <c r="P58" s="1600"/>
      <c r="Q58" s="1601"/>
      <c r="R58" s="1600"/>
      <c r="S58" s="1606"/>
      <c r="T58" s="1609" t="s">
        <v>169</v>
      </c>
      <c r="U58" s="1608"/>
      <c r="V58" s="1608"/>
      <c r="W58" s="1608"/>
      <c r="X58" s="1608"/>
      <c r="Y58" s="1608"/>
      <c r="Z58" s="1608"/>
      <c r="AA58" s="1608"/>
      <c r="AB58" s="1608"/>
      <c r="AC58" s="1608"/>
      <c r="AD58" s="1608"/>
      <c r="AE58" s="1608"/>
      <c r="AF58" s="1608"/>
      <c r="AG58" s="1608"/>
      <c r="AH58" s="1608"/>
      <c r="AI58" s="1608"/>
      <c r="AJ58" s="1608"/>
      <c r="AK58" s="1608"/>
      <c r="AL58" s="1608"/>
      <c r="AM58" s="1608"/>
      <c r="AN58" s="1608"/>
      <c r="AO58" s="1608"/>
      <c r="AP58" s="1608"/>
      <c r="AQ58" s="1608"/>
      <c r="AR58" s="1608"/>
      <c r="AS58" s="1608"/>
      <c r="AT58" s="1608"/>
      <c r="AU58" s="1608"/>
      <c r="AW58" s="1073"/>
      <c r="AX58" s="1073" t="str">
        <f>IF(T58="","",T58)</f>
        <v>Добавить источник для дифференциации</v>
      </c>
      <c r="AY58" s="1073"/>
      <c r="AZ58" s="1073"/>
      <c r="BA58" s="802">
        <v>1</v>
      </c>
    </row>
    <row s="14158" customFormat="1" customHeight="1" ht="1.05">
      <c r="A59" s="1627" t="s">
        <v>205</v>
      </c>
      <c r="B59" s="1627" t="s">
        <v>206</v>
      </c>
      <c r="C59" s="1598"/>
      <c r="D59" s="1598"/>
      <c r="E59" s="2543"/>
      <c r="F59" s="2542"/>
      <c r="G59" s="1598"/>
      <c r="H59" s="1598"/>
      <c r="I59" s="1598"/>
      <c r="J59" s="1598"/>
      <c r="K59" s="1598"/>
      <c r="L59" s="1623"/>
      <c r="M59" s="1605"/>
      <c r="N59" s="1605"/>
      <c r="P59" s="1600"/>
      <c r="Q59" s="1601"/>
      <c r="R59" s="1600"/>
      <c r="S59" s="1606"/>
      <c r="T59" s="1609" t="s">
        <v>170</v>
      </c>
      <c r="U59" s="1608"/>
      <c r="V59" s="1608"/>
      <c r="W59" s="1608"/>
      <c r="X59" s="1608"/>
      <c r="Y59" s="1608"/>
      <c r="Z59" s="1608"/>
      <c r="AA59" s="1608"/>
      <c r="AB59" s="1608"/>
      <c r="AC59" s="1608"/>
      <c r="AD59" s="1608"/>
      <c r="AE59" s="1608"/>
      <c r="AF59" s="1608"/>
      <c r="AG59" s="1608"/>
      <c r="AH59" s="1608"/>
      <c r="AI59" s="1608"/>
      <c r="AJ59" s="1608"/>
      <c r="AK59" s="1608"/>
      <c r="AL59" s="1608"/>
      <c r="AM59" s="1608"/>
      <c r="AN59" s="1608"/>
      <c r="AO59" s="1608"/>
      <c r="AP59" s="1608"/>
      <c r="AQ59" s="1608"/>
      <c r="AR59" s="1608"/>
      <c r="AS59" s="1608"/>
      <c r="AT59" s="1608"/>
      <c r="AU59" s="1608"/>
      <c r="AW59" s="1073"/>
      <c r="AX59" s="1073" t="str">
        <f>IF(T59="","",T59)</f>
        <v>Добавить централизованную систему для дифференциации</v>
      </c>
      <c r="AY59" s="1073"/>
      <c r="AZ59" s="1073"/>
      <c r="BA59" s="802">
        <v>1</v>
      </c>
    </row>
    <row s="14158" customFormat="1" customHeight="1" ht="1.05">
      <c r="A60" s="1627" t="s">
        <v>205</v>
      </c>
      <c r="B60" s="1627"/>
      <c r="C60" s="1627"/>
      <c r="D60" s="1627"/>
      <c r="E60" s="2543"/>
      <c r="F60" s="1627"/>
      <c r="G60" s="1627"/>
      <c r="H60" s="1627"/>
      <c r="I60" s="1627"/>
      <c r="J60" s="1627"/>
      <c r="K60" s="1627"/>
      <c r="L60" s="1630"/>
      <c r="M60" s="1605"/>
      <c r="N60" s="1605"/>
      <c r="O60" s="802"/>
      <c r="P60" s="664"/>
      <c r="Q60" s="1628"/>
      <c r="R60" s="664"/>
      <c r="S60" s="1606"/>
      <c r="T60" s="1609" t="s">
        <v>171</v>
      </c>
      <c r="U60" s="1608"/>
      <c r="V60" s="1608"/>
      <c r="W60" s="1608"/>
      <c r="X60" s="1608"/>
      <c r="Y60" s="1608"/>
      <c r="Z60" s="1608"/>
      <c r="AA60" s="1608"/>
      <c r="AB60" s="1608"/>
      <c r="AC60" s="1608"/>
      <c r="AD60" s="1608"/>
      <c r="AE60" s="1608"/>
      <c r="AF60" s="1608"/>
      <c r="AG60" s="1608"/>
      <c r="AH60" s="1608"/>
      <c r="AI60" s="1608"/>
      <c r="AJ60" s="1608"/>
      <c r="AK60" s="1608"/>
      <c r="AL60" s="1608"/>
      <c r="AM60" s="1608"/>
      <c r="AN60" s="1608"/>
      <c r="AO60" s="1608"/>
      <c r="AP60" s="1608"/>
      <c r="AQ60" s="1608"/>
      <c r="AR60" s="1608"/>
      <c r="AS60" s="1608"/>
      <c r="AT60" s="1608"/>
      <c r="AU60" s="1608"/>
      <c r="AW60" s="784"/>
      <c r="AX60" s="784" t="str">
        <f>IF(T60="","",T60)</f>
        <v>Добавить территорию для дифференциации</v>
      </c>
      <c r="AY60" s="784"/>
      <c r="AZ60" s="784"/>
      <c r="BA60" s="795">
        <v>1</v>
      </c>
    </row>
    <row s="14158" customFormat="1" customHeight="1" ht="1.05">
      <c r="A61" s="1627" t="s">
        <v>205</v>
      </c>
      <c r="B61" s="1627"/>
      <c r="C61" s="1627"/>
      <c r="D61" s="1627"/>
      <c r="E61" s="2542"/>
      <c r="F61" s="1627"/>
      <c r="G61" s="1627"/>
      <c r="H61" s="1627"/>
      <c r="I61" s="1627"/>
      <c r="J61" s="1627"/>
      <c r="K61" s="1627"/>
      <c r="L61" s="1630"/>
      <c r="M61" s="1605"/>
      <c r="N61" s="1605"/>
      <c r="O61" s="802"/>
      <c r="P61" s="664"/>
      <c r="Q61" s="1628"/>
      <c r="R61" s="664"/>
      <c r="S61" s="1606"/>
      <c r="T61" s="1609" t="s">
        <v>171</v>
      </c>
      <c r="U61" s="1608"/>
      <c r="V61" s="1608"/>
      <c r="W61" s="1608"/>
      <c r="X61" s="1608"/>
      <c r="Y61" s="1608"/>
      <c r="Z61" s="1608"/>
      <c r="AA61" s="1608"/>
      <c r="AB61" s="1608"/>
      <c r="AC61" s="1608"/>
      <c r="AD61" s="1608"/>
      <c r="AE61" s="1608"/>
      <c r="AF61" s="1608"/>
      <c r="AG61" s="1608"/>
      <c r="AH61" s="1608"/>
      <c r="AI61" s="1608"/>
      <c r="AJ61" s="1608"/>
      <c r="AK61" s="1608"/>
      <c r="AL61" s="1608"/>
      <c r="AM61" s="1608"/>
      <c r="AN61" s="1608"/>
      <c r="AO61" s="1608"/>
      <c r="AP61" s="1608"/>
      <c r="AQ61" s="1608"/>
      <c r="AR61" s="1608"/>
      <c r="AS61" s="1608"/>
      <c r="AT61" s="1608"/>
      <c r="AU61" s="1608"/>
      <c r="AW61" s="784"/>
      <c r="AX61" s="784" t="str">
        <f>IF(T61="","",T61)</f>
        <v>Добавить территорию для дифференциации</v>
      </c>
      <c r="AY61" s="784"/>
      <c r="AZ61" s="784"/>
      <c r="BA61" s="795">
        <v>1</v>
      </c>
    </row>
    <row s="14158" customFormat="1" customHeight="1" ht="1.05">
      <c r="A62" s="1598"/>
      <c r="B62" s="1598"/>
      <c r="C62" s="1598"/>
      <c r="D62" s="1598"/>
      <c r="E62" s="1627"/>
      <c r="F62" s="1598"/>
      <c r="G62" s="1598"/>
      <c r="H62" s="1598"/>
      <c r="I62" s="1598"/>
      <c r="J62" s="1598"/>
      <c r="K62" s="1598"/>
      <c r="L62" s="1623"/>
      <c r="M62" s="1605"/>
      <c r="N62" s="1605"/>
      <c r="P62" s="1600"/>
      <c r="Q62" s="1601"/>
      <c r="R62" s="1600"/>
      <c r="S62" s="1606"/>
      <c r="T62" s="1609" t="s">
        <v>172</v>
      </c>
      <c r="U62" s="1608"/>
      <c r="V62" s="1608"/>
      <c r="W62" s="1608"/>
      <c r="X62" s="1608"/>
      <c r="Y62" s="1608"/>
      <c r="Z62" s="1608"/>
      <c r="AA62" s="1608"/>
      <c r="AB62" s="1608"/>
      <c r="AC62" s="1608"/>
      <c r="AD62" s="1608"/>
      <c r="AE62" s="1608"/>
      <c r="AF62" s="1608"/>
      <c r="AG62" s="1608"/>
      <c r="AH62" s="1608"/>
      <c r="AI62" s="1608"/>
      <c r="AJ62" s="1608"/>
      <c r="AK62" s="1608"/>
      <c r="AL62" s="1608"/>
      <c r="AM62" s="1608"/>
      <c r="AN62" s="1608"/>
      <c r="AO62" s="1608"/>
      <c r="AP62" s="1608"/>
      <c r="AQ62" s="1608"/>
      <c r="AR62" s="1608"/>
      <c r="AS62" s="1608"/>
      <c r="AT62" s="1608"/>
      <c r="AU62" s="1608"/>
      <c r="AW62" s="1073"/>
      <c r="AX62" s="1073" t="str">
        <f>IF(T62="","",T62)</f>
        <v>Добавить наименование тарифа</v>
      </c>
      <c r="AY62" s="1073"/>
      <c r="AZ62" s="1073"/>
      <c r="BA62" s="802">
        <v>1</v>
      </c>
    </row>
    <row customHeight="1" ht="11.549999999999999">
      <c r="M63" s="1444"/>
      <c r="N63" s="1444"/>
      <c r="O63" s="821"/>
      <c r="P63" s="1444"/>
      <c r="Q63" s="1444"/>
      <c r="R63" s="1439"/>
      <c r="S63" s="1439"/>
      <c r="AV63" s="1439"/>
      <c r="AW63" s="1439"/>
      <c r="AX63" s="1439"/>
      <c r="AY63" s="1439"/>
      <c r="AZ63" s="1439"/>
      <c r="BA63" s="1439">
        <v>11</v>
      </c>
    </row>
    <row customHeight="1" ht="19.95">
      <c r="O64" s="821"/>
      <c r="S64" s="1537"/>
      <c r="T64" s="2569"/>
      <c r="U64" s="2569"/>
      <c r="V64" s="2569"/>
      <c r="W64" s="2569"/>
      <c r="X64" s="2569"/>
      <c r="Y64" s="2569"/>
      <c r="Z64" s="2569"/>
      <c r="AA64" s="2569"/>
      <c r="AB64" s="2569"/>
      <c r="AC64" s="2569"/>
      <c r="AD64" s="2569"/>
      <c r="AE64" s="2569"/>
      <c r="AF64" s="2569"/>
      <c r="AG64" s="2569"/>
      <c r="AH64" s="2569"/>
      <c r="AI64" s="2569"/>
      <c r="AJ64" s="2569"/>
      <c r="AK64" s="2569"/>
      <c r="AL64" s="2569"/>
      <c r="AM64" s="2569"/>
      <c r="AN64" s="2569"/>
      <c r="AO64" s="2569"/>
      <c r="AP64" s="2569"/>
      <c r="AQ64" s="2569"/>
      <c r="AR64" s="2569"/>
      <c r="AS64" s="2569"/>
      <c r="AT64" s="2569"/>
      <c r="AU64" s="2569"/>
      <c r="BA64" s="1439">
        <v>19</v>
      </c>
    </row>
    <row customHeight="1" ht="21">
      <c r="O65" s="821"/>
      <c r="T65" s="2569"/>
      <c r="U65" s="2569"/>
      <c r="V65" s="2569"/>
      <c r="W65" s="2569"/>
      <c r="X65" s="2569"/>
      <c r="Y65" s="2569"/>
      <c r="Z65" s="2569"/>
      <c r="AA65" s="2569"/>
      <c r="AB65" s="2569"/>
      <c r="AC65" s="2569"/>
      <c r="AD65" s="2569"/>
      <c r="AE65" s="2569"/>
      <c r="AF65" s="2569"/>
      <c r="AG65" s="2569"/>
      <c r="AH65" s="2569"/>
      <c r="AI65" s="2569"/>
      <c r="AJ65" s="2569"/>
      <c r="AK65" s="2569"/>
      <c r="AL65" s="2569"/>
      <c r="AM65" s="2569"/>
      <c r="AN65" s="2569"/>
      <c r="AO65" s="2569"/>
      <c r="AP65" s="2569"/>
      <c r="AQ65" s="2569"/>
      <c r="AR65" s="2569"/>
      <c r="AS65" s="2569"/>
      <c r="AT65" s="2569"/>
      <c r="AU65" s="2569"/>
      <c r="BA65" s="1439">
        <v>20</v>
      </c>
    </row>
    <row customHeight="1" ht="14.699999999999998">
      <c r="O66" s="821"/>
      <c r="T66" s="1617"/>
      <c r="U66" s="1617"/>
      <c r="V66" s="1617"/>
      <c r="W66" s="1617"/>
      <c r="X66" s="1617"/>
      <c r="Y66" s="1617"/>
      <c r="Z66" s="1617"/>
      <c r="AA66" s="1617"/>
      <c r="AB66" s="1617"/>
      <c r="AC66" s="1617"/>
      <c r="AD66" s="1617"/>
      <c r="AE66" s="1617"/>
      <c r="AF66" s="1617"/>
      <c r="AG66" s="1617"/>
      <c r="AH66" s="1617"/>
      <c r="AI66" s="1617"/>
      <c r="AJ66" s="1617"/>
      <c r="AK66" s="1617"/>
      <c r="AL66" s="1617"/>
      <c r="AM66" s="1617"/>
      <c r="AN66" s="1617"/>
      <c r="AO66" s="1617"/>
      <c r="AP66" s="1617"/>
      <c r="AQ66" s="1617"/>
      <c r="AR66" s="1617"/>
      <c r="AS66" s="1617"/>
      <c r="AT66" s="1617"/>
      <c r="AU66" s="1617"/>
      <c r="BA66" s="1439">
        <v>14</v>
      </c>
    </row>
    <row customHeight="1" ht="19.95">
      <c r="O67" s="821"/>
      <c r="T67" s="2569"/>
      <c r="U67" s="2569"/>
      <c r="V67" s="2569"/>
      <c r="W67" s="2569"/>
      <c r="X67" s="2569"/>
      <c r="Y67" s="2569"/>
      <c r="Z67" s="2569"/>
      <c r="AA67" s="2569"/>
      <c r="AB67" s="2569"/>
      <c r="AC67" s="2569"/>
      <c r="AD67" s="2569"/>
      <c r="AE67" s="2569"/>
      <c r="AF67" s="2569"/>
      <c r="AG67" s="2569"/>
      <c r="AH67" s="2569"/>
      <c r="AI67" s="2569"/>
      <c r="AJ67" s="2569"/>
      <c r="AK67" s="2569"/>
      <c r="AL67" s="2569"/>
      <c r="AM67" s="2569"/>
      <c r="AN67" s="2569"/>
      <c r="AO67" s="2569"/>
      <c r="AP67" s="2569"/>
      <c r="AQ67" s="2569"/>
      <c r="AR67" s="2569"/>
      <c r="AS67" s="2569"/>
      <c r="AT67" s="2569"/>
      <c r="AU67" s="2569"/>
      <c r="BA67" s="1439">
        <v>19</v>
      </c>
    </row>
    <row customHeight="1" ht="16.8">
      <c r="O68" s="821"/>
      <c r="T68" s="2569"/>
      <c r="U68" s="2569"/>
      <c r="V68" s="2569"/>
      <c r="W68" s="2569"/>
      <c r="X68" s="2569"/>
      <c r="Y68" s="2569"/>
      <c r="Z68" s="2569"/>
      <c r="AA68" s="2569"/>
      <c r="AB68" s="2569"/>
      <c r="AC68" s="2569"/>
      <c r="AD68" s="2569"/>
      <c r="AE68" s="2569"/>
      <c r="AF68" s="2569"/>
      <c r="AG68" s="2569"/>
      <c r="AH68" s="2569"/>
      <c r="AI68" s="2569"/>
      <c r="AJ68" s="2569"/>
      <c r="AK68" s="2569"/>
      <c r="AL68" s="2569"/>
      <c r="AM68" s="2569"/>
      <c r="AN68" s="2569"/>
      <c r="AO68" s="2569"/>
      <c r="AP68" s="2569"/>
      <c r="AQ68" s="2569"/>
      <c r="AR68" s="2569"/>
      <c r="AS68" s="2569"/>
      <c r="AT68" s="2569"/>
      <c r="AU68" s="2569"/>
      <c r="BA68" s="1439">
        <v>16</v>
      </c>
    </row>
    <row customHeight="1" ht="14.699999999999998">
      <c r="O69" s="821"/>
      <c r="BA69" s="1439">
        <v>14</v>
      </c>
    </row>
    <row customHeight="1" ht="22.5" hidden="1">
      <c r="A70" s="1444" t="s">
        <v>83</v>
      </c>
      <c r="B70" s="1444">
        <v>0</v>
      </c>
      <c r="C70" s="1444">
        <v>0</v>
      </c>
      <c r="D70" s="1444">
        <v>0</v>
      </c>
      <c r="E70" s="1444">
        <v>0</v>
      </c>
      <c r="F70" s="1444">
        <v>0</v>
      </c>
      <c r="G70" s="1444">
        <v>0</v>
      </c>
      <c r="H70" s="1444">
        <v>0</v>
      </c>
      <c r="I70" s="1444">
        <v>0</v>
      </c>
      <c r="J70" s="1444">
        <v>0</v>
      </c>
      <c r="K70" s="1444">
        <v>0</v>
      </c>
      <c r="L70" s="1613">
        <v>0</v>
      </c>
      <c r="M70" s="1646">
        <v>0</v>
      </c>
      <c r="N70" s="1646">
        <v>0</v>
      </c>
      <c r="O70" s="1646">
        <v>0</v>
      </c>
      <c r="P70" s="1646">
        <v>3</v>
      </c>
      <c r="Q70" s="1655">
        <v>3</v>
      </c>
      <c r="R70" s="628">
        <v>3</v>
      </c>
      <c r="S70" s="865">
        <v>12</v>
      </c>
      <c r="T70" s="1439">
        <v>31</v>
      </c>
      <c r="U70" s="1439">
        <v>0</v>
      </c>
      <c r="V70" s="1439">
        <v>0</v>
      </c>
      <c r="W70" s="1439">
        <v>0</v>
      </c>
      <c r="X70" s="1439">
        <v>0</v>
      </c>
      <c r="Y70" s="1439">
        <v>0</v>
      </c>
      <c r="Z70" s="1439">
        <v>0</v>
      </c>
      <c r="AA70" s="1439">
        <v>0</v>
      </c>
      <c r="AB70" s="1439">
        <v>5</v>
      </c>
      <c r="AC70" s="1439">
        <v>3</v>
      </c>
      <c r="AD70" s="1439">
        <v>3</v>
      </c>
      <c r="AE70" s="1439">
        <v>24</v>
      </c>
      <c r="AF70" s="1439">
        <v>3</v>
      </c>
      <c r="AG70" s="1439">
        <v>3</v>
      </c>
      <c r="AH70" s="1439">
        <v>3</v>
      </c>
      <c r="AI70" s="1439">
        <v>24</v>
      </c>
      <c r="AJ70" s="1439">
        <v>3</v>
      </c>
      <c r="AK70" s="1439">
        <v>3</v>
      </c>
      <c r="AL70" s="1439">
        <v>3</v>
      </c>
      <c r="AM70" s="1439">
        <v>18</v>
      </c>
      <c r="AN70" s="1439">
        <v>21</v>
      </c>
      <c r="AO70" s="1439">
        <v>21</v>
      </c>
      <c r="AP70" s="1439">
        <v>11</v>
      </c>
      <c r="AQ70" s="1439">
        <v>3</v>
      </c>
      <c r="AR70" s="1439">
        <v>11</v>
      </c>
      <c r="AS70" s="1439">
        <v>8</v>
      </c>
      <c r="AT70" s="1439">
        <v>4</v>
      </c>
      <c r="AU70" s="1439">
        <v>115</v>
      </c>
      <c r="AV70" s="795">
        <v>10</v>
      </c>
      <c r="AW70" s="795">
        <v>10</v>
      </c>
      <c r="AX70" s="795">
        <v>10</v>
      </c>
      <c r="AY70" s="795">
        <v>10</v>
      </c>
      <c r="AZ70" s="795">
        <v>10</v>
      </c>
      <c r="BA70" s="1439">
        <v>23</v>
      </c>
    </row>
  </sheetData>
  <sheetProtection formatColumns="0" formatRows="0" autoFilter="0" sort="0" insertRows="0" insertColumns="1" deleteRows="0" deleteColumns="0"/>
  <mergeCells count="119">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U8:AU12"/>
    <mergeCell ref="AJ8:AJ9"/>
    <mergeCell ref="AB8:AB11"/>
    <mergeCell ref="AC8:AC10"/>
    <mergeCell ref="AD8:AD10"/>
    <mergeCell ref="AI8:AI9"/>
    <mergeCell ref="S33:T33"/>
    <mergeCell ref="V33:Z33"/>
    <mergeCell ref="AB33:AR33"/>
    <mergeCell ref="S32:T32"/>
    <mergeCell ref="V32:Z32"/>
    <mergeCell ref="AB32:AR32"/>
  </mergeCells>
  <dataValidations count="10">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allowBlank="1" errorTitle="Ошибка" error="Выберите значение из списка" sqref="V42:W42"/>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01B1E88-5838-3368-6C58-E6AFA7FBC318}"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4157" width="10.57421875" hidden="1"/>
    <col min="2" max="2" style="14157" width="11.00390625" hidden="1" customWidth="1"/>
    <col min="3" max="3" style="14157" width="10.57421875" hidden="1"/>
    <col min="4" max="4" style="14157" width="11.8515625" hidden="1" customWidth="1"/>
    <col min="5" max="5" style="14157" width="10.00390625" hidden="1" customWidth="1"/>
    <col min="6" max="6" style="14157" width="8.7109375" hidden="1" customWidth="1"/>
    <col min="7" max="7" style="14157" width="7.57421875" hidden="1" customWidth="1"/>
    <col min="8" max="8" style="14157" width="11.421875" hidden="1" customWidth="1"/>
    <col min="9" max="9" style="14157" width="14.140625" hidden="1" customWidth="1"/>
    <col min="10" max="10" style="14157" width="9.8515625" hidden="1" customWidth="1"/>
    <col min="11" max="11" style="14157" width="14.7109375" hidden="1" customWidth="1"/>
    <col min="12" max="12" style="14974" width="19.140625" hidden="1" customWidth="1"/>
    <col min="13" max="14" style="14975" width="12.28125" hidden="1" customWidth="1"/>
    <col min="15" max="15" style="14975" width="23.421875" hidden="1" customWidth="1"/>
    <col min="16" max="16" style="14976" width="3.00390625" customWidth="1"/>
    <col min="17" max="18" style="14977" width="3.00390625" customWidth="1"/>
    <col min="19" max="19" style="14978" width="12.00390625" customWidth="1"/>
    <col min="20" max="20" style="14077" width="35.00390625" customWidth="1"/>
    <col min="21" max="21" style="14077" width="0.140625" customWidth="1"/>
    <col min="22" max="24" style="14077" width="24.7109375" hidden="1" customWidth="1"/>
    <col min="25" max="25" style="14077" width="11.7109375" hidden="1" customWidth="1"/>
    <col min="26" max="26" style="14077" width="3.7109375" hidden="1" customWidth="1"/>
    <col min="27" max="27" style="14077" width="11.7109375" hidden="1" customWidth="1"/>
    <col min="28" max="28" style="14077" width="8.57421875" hidden="1" customWidth="1"/>
    <col min="29" max="29" style="14077" width="24.7109375" customWidth="1"/>
    <col min="30" max="31" style="14077" width="24.00390625" customWidth="1"/>
    <col min="32" max="32" style="14077" width="11.00390625" customWidth="1"/>
    <col min="33" max="33" style="14077" width="3.7109375" customWidth="1"/>
    <col min="34" max="34" style="14077" width="11.00390625" customWidth="1"/>
    <col min="35" max="35" style="14077" width="8.57421875" hidden="1" customWidth="1"/>
    <col min="36" max="36" style="14077" width="4.00390625" customWidth="1"/>
    <col min="37" max="37" style="14077" width="115.00390625" customWidth="1"/>
    <col min="38" max="42" style="14158" width="10.00390625" customWidth="1"/>
    <col min="43" max="43" style="14077" width="10.57421875" hidden="1"/>
  </cols>
  <sheetData>
    <row customHeight="1" ht="22.5" hidden="1">
      <c r="X1" s="611"/>
      <c r="Y1" s="611"/>
      <c r="AE1" s="611"/>
      <c r="AF1" s="611"/>
      <c r="AQ1" s="1439" t="s">
        <v>14</v>
      </c>
    </row>
    <row customHeight="1" ht="23.25" hidden="1">
      <c r="A2" s="1647"/>
      <c r="B2" s="1647"/>
      <c r="C2" s="1647"/>
      <c r="D2" s="1647"/>
      <c r="E2" s="2542">
        <v>1</v>
      </c>
      <c r="F2" s="1647"/>
      <c r="G2" s="1647"/>
      <c r="H2" s="1647"/>
      <c r="I2" s="1647"/>
      <c r="J2" s="1647"/>
      <c r="K2" s="1647"/>
      <c r="L2" s="1648"/>
      <c r="M2" s="1649"/>
      <c r="N2" s="1649"/>
      <c r="O2" s="1649"/>
      <c r="P2" s="645"/>
      <c r="Q2" s="644"/>
      <c r="R2" s="639"/>
      <c r="S2" s="1709">
        <f>INDEX(PT_DIFFERENTIATION_NUM_NTAR,MATCH(A2,PT_DIFFERENTIATION_NTAR_ID,0))</f>
      </c>
      <c r="T2" s="582" t="s">
        <v>124</v>
      </c>
      <c r="U2" s="584"/>
      <c r="V2" s="2526"/>
      <c r="W2" s="2527"/>
      <c r="X2" s="2527"/>
      <c r="Y2" s="2527"/>
      <c r="Z2" s="2527"/>
      <c r="AA2" s="2527"/>
      <c r="AB2" s="2528"/>
      <c r="AC2" s="2526">
        <f>INDEX(PT_DIFFERENTIATION_NTAR,MATCH(A2,PT_DIFFERENTIATION_NTAR_ID,0))</f>
      </c>
      <c r="AD2" s="2527"/>
      <c r="AE2" s="2527"/>
      <c r="AF2" s="2527"/>
      <c r="AG2" s="2527"/>
      <c r="AH2" s="2527"/>
      <c r="AI2" s="2527"/>
      <c r="AJ2" s="2528"/>
      <c r="AK2" s="154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784"/>
      <c r="AN2" s="784" t="str">
        <f>IF(T2="","",T2)</f>
        <v>Наименование тарифа</v>
      </c>
      <c r="AO2" s="784"/>
      <c r="AP2" s="784"/>
      <c r="AQ2" s="1439">
        <v>0</v>
      </c>
    </row>
    <row customHeight="1" ht="23.25" hidden="1">
      <c r="A3" s="1647"/>
      <c r="B3" s="1647"/>
      <c r="C3" s="1647"/>
      <c r="D3" s="1647"/>
      <c r="E3" s="2543"/>
      <c r="F3" s="2542">
        <v>1</v>
      </c>
      <c r="G3" s="1647"/>
      <c r="H3" s="1647"/>
      <c r="I3" s="1647"/>
      <c r="J3" s="1647"/>
      <c r="K3" s="1647"/>
      <c r="L3" s="1648"/>
      <c r="M3" s="1649"/>
      <c r="N3" s="1649"/>
      <c r="O3" s="1649"/>
      <c r="P3" s="1707"/>
      <c r="Q3" s="636"/>
      <c r="R3" s="637"/>
      <c r="S3" s="1709">
        <f>INDEX(PT_DIFFERENTIATION_NUM_TER,MATCH(B3,PT_DIFFERENTIATION_TER_ID,0))</f>
      </c>
      <c r="T3" s="592" t="s">
        <v>402</v>
      </c>
      <c r="U3" s="584"/>
      <c r="V3" s="2526"/>
      <c r="W3" s="2527"/>
      <c r="X3" s="2527"/>
      <c r="Y3" s="2527"/>
      <c r="Z3" s="2527"/>
      <c r="AA3" s="2527"/>
      <c r="AB3" s="2528"/>
      <c r="AC3" s="2526">
        <f>INDEX(PT_DIFFERENTIATION_TER,MATCH(B3,PT_DIFFERENTIATION_TER_ID,0))</f>
      </c>
      <c r="AD3" s="2527"/>
      <c r="AE3" s="2527"/>
      <c r="AF3" s="2527"/>
      <c r="AG3" s="2527"/>
      <c r="AH3" s="2527"/>
      <c r="AI3" s="2527"/>
      <c r="AJ3" s="2528"/>
      <c r="AK3" s="1542" t="s">
        <v>403</v>
      </c>
      <c r="AM3" s="784"/>
      <c r="AN3" s="784" t="str">
        <f>IF(T3="","",T3)</f>
        <v>Территория действия тарифа</v>
      </c>
      <c r="AO3" s="784"/>
      <c r="AP3" s="784"/>
      <c r="AQ3" s="1439">
        <v>0</v>
      </c>
    </row>
    <row customHeight="1" ht="23.25" hidden="1">
      <c r="A4" s="1647"/>
      <c r="B4" s="1647"/>
      <c r="C4" s="1647"/>
      <c r="D4" s="1647"/>
      <c r="E4" s="2543"/>
      <c r="F4" s="2543"/>
      <c r="G4" s="2542">
        <v>1</v>
      </c>
      <c r="H4" s="1647"/>
      <c r="I4" s="1647"/>
      <c r="J4" s="1647"/>
      <c r="K4" s="1647"/>
      <c r="L4" s="1648"/>
      <c r="M4" s="1649"/>
      <c r="N4" s="1649"/>
      <c r="O4" s="1649"/>
      <c r="P4" s="638"/>
      <c r="Q4" s="636"/>
      <c r="R4" s="637"/>
      <c r="S4" s="1709">
        <f>INDEX(PT_DIFFERENTIATION_NUM_CS,MATCH(C4,PT_DIFFERENTIATION_CS_ID,0))</f>
      </c>
      <c r="T4" s="593" t="s">
        <v>489</v>
      </c>
      <c r="U4" s="584"/>
      <c r="V4" s="2526"/>
      <c r="W4" s="2527"/>
      <c r="X4" s="2527"/>
      <c r="Y4" s="2527"/>
      <c r="Z4" s="2527"/>
      <c r="AA4" s="2527"/>
      <c r="AB4" s="2528"/>
      <c r="AC4" s="2526">
        <f>INDEX(PT_DIFFERENTIATION_CS,MATCH(C4,PT_DIFFERENTIATION_CS_ID,0))</f>
      </c>
      <c r="AD4" s="2527"/>
      <c r="AE4" s="2527"/>
      <c r="AF4" s="2527"/>
      <c r="AG4" s="2527"/>
      <c r="AH4" s="2527"/>
      <c r="AI4" s="2527"/>
      <c r="AJ4" s="2528"/>
      <c r="AK4" s="1542" t="s">
        <v>490</v>
      </c>
      <c r="AM4" s="784"/>
      <c r="AN4" s="784" t="str">
        <f>IF(T4="","",T4)</f>
        <v>Наименование централизованной системы холодного водоснабжения</v>
      </c>
      <c r="AO4" s="784"/>
      <c r="AP4" s="784"/>
      <c r="AQ4" s="1439">
        <v>0</v>
      </c>
    </row>
    <row customHeight="1" ht="23.25" hidden="1">
      <c r="A5" s="1647"/>
      <c r="B5" s="1647"/>
      <c r="C5" s="1647"/>
      <c r="D5" s="1647"/>
      <c r="E5" s="2543"/>
      <c r="F5" s="2543"/>
      <c r="G5" s="2543"/>
      <c r="H5" s="2543"/>
      <c r="I5" s="2540">
        <f>S4&amp;".1"</f>
      </c>
      <c r="J5" s="1647"/>
      <c r="K5" s="1647"/>
      <c r="L5" s="1648"/>
      <c r="P5" s="2541">
        <v>1</v>
      </c>
      <c r="Q5" s="1706"/>
      <c r="R5" s="640"/>
      <c r="S5" s="1709">
        <f>$I5</f>
      </c>
      <c r="T5" s="569" t="s">
        <v>491</v>
      </c>
      <c r="U5" s="584"/>
      <c r="V5" s="2634"/>
      <c r="W5" s="2635"/>
      <c r="X5" s="2635"/>
      <c r="Y5" s="2635"/>
      <c r="Z5" s="2635"/>
      <c r="AA5" s="2635"/>
      <c r="AB5" s="2636"/>
      <c r="AC5" s="2637"/>
      <c r="AD5" s="2638"/>
      <c r="AE5" s="2638"/>
      <c r="AF5" s="2638"/>
      <c r="AG5" s="2638"/>
      <c r="AH5" s="2638"/>
      <c r="AI5" s="2638"/>
      <c r="AJ5" s="2639"/>
      <c r="AK5" s="1542" t="s">
        <v>492</v>
      </c>
      <c r="AM5" s="784"/>
      <c r="AN5" s="784" t="str">
        <f>IF(T5="","",T5)</f>
        <v>Наименование признака дифференциации</v>
      </c>
      <c r="AO5" s="784"/>
      <c r="AP5" s="784"/>
      <c r="AQ5" s="1439">
        <v>0</v>
      </c>
    </row>
    <row customHeight="1" ht="23.25" hidden="1">
      <c r="A6" s="1647"/>
      <c r="B6" s="1647"/>
      <c r="C6" s="1647"/>
      <c r="D6" s="1647"/>
      <c r="E6" s="2543"/>
      <c r="F6" s="2543"/>
      <c r="G6" s="2543"/>
      <c r="H6" s="2543"/>
      <c r="I6" s="2570"/>
      <c r="J6" s="2540">
        <f>I5&amp;".1"</f>
      </c>
      <c r="K6" s="1647"/>
      <c r="L6" s="1648" t="s">
        <v>411</v>
      </c>
      <c r="P6" s="2541"/>
      <c r="Q6" s="2541">
        <v>1</v>
      </c>
      <c r="R6" s="641"/>
      <c r="S6" s="1709">
        <f>$J6</f>
      </c>
      <c r="T6" s="570" t="s">
        <v>412</v>
      </c>
      <c r="U6" s="584"/>
      <c r="V6" s="2529"/>
      <c r="W6" s="2530"/>
      <c r="X6" s="2530"/>
      <c r="Y6" s="2530"/>
      <c r="Z6" s="2530"/>
      <c r="AA6" s="2530"/>
      <c r="AB6" s="2531"/>
      <c r="AC6" s="2529"/>
      <c r="AD6" s="2530"/>
      <c r="AE6" s="2530"/>
      <c r="AF6" s="2530"/>
      <c r="AG6" s="2530"/>
      <c r="AH6" s="2530"/>
      <c r="AI6" s="2530"/>
      <c r="AJ6" s="2531"/>
      <c r="AK6" s="1591" t="s">
        <v>493</v>
      </c>
      <c r="AM6" s="784"/>
      <c r="AN6" s="784" t="str">
        <f>IF(T6="","",T6)</f>
        <v>Группа потребителей</v>
      </c>
      <c r="AO6" s="784"/>
      <c r="AP6" s="784"/>
      <c r="AQ6" s="1439">
        <v>0</v>
      </c>
    </row>
    <row customHeight="1" ht="23.25" hidden="1">
      <c r="A7" s="1647"/>
      <c r="B7" s="1647"/>
      <c r="C7" s="1647"/>
      <c r="D7" s="1647"/>
      <c r="E7" s="2543"/>
      <c r="F7" s="2543"/>
      <c r="G7" s="2543"/>
      <c r="H7" s="2543"/>
      <c r="I7" s="2570"/>
      <c r="J7" s="2570"/>
      <c r="K7" s="2540">
        <f>J6&amp;".1"</f>
      </c>
      <c r="L7" s="1648"/>
      <c r="P7" s="2541"/>
      <c r="Q7" s="2541"/>
      <c r="R7" s="641">
        <v>1</v>
      </c>
      <c r="S7" s="1709">
        <f>$K7</f>
      </c>
      <c r="T7" s="1721"/>
      <c r="U7" s="584"/>
      <c r="V7" s="1035"/>
      <c r="W7" s="1035"/>
      <c r="X7" s="1541"/>
      <c r="Y7" s="2549"/>
      <c r="Z7" s="2391" t="s">
        <v>67</v>
      </c>
      <c r="AA7" s="2549"/>
      <c r="AB7" s="2391" t="s">
        <v>67</v>
      </c>
      <c r="AC7" s="1035"/>
      <c r="AD7" s="1035"/>
      <c r="AE7" s="1541"/>
      <c r="AF7" s="2549"/>
      <c r="AG7" s="2391" t="s">
        <v>67</v>
      </c>
      <c r="AH7" s="2571"/>
      <c r="AI7" s="2391" t="s">
        <v>67</v>
      </c>
      <c r="AJ7" s="1722"/>
      <c r="AK7" s="263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795">
        <f>STRCHECKDATE(V8:AJ8)</f>
      </c>
      <c r="AM7" s="784"/>
      <c r="AN7" s="784" t="str">
        <f>IF(T7="","",T7)</f>
        <v/>
      </c>
      <c r="AO7" s="784"/>
      <c r="AP7" s="784"/>
      <c r="AQ7" s="1439">
        <v>0</v>
      </c>
    </row>
    <row customHeight="1" ht="14.25" hidden="1">
      <c r="A8" s="1647"/>
      <c r="B8" s="1647"/>
      <c r="C8" s="1647"/>
      <c r="D8" s="1647"/>
      <c r="E8" s="2543"/>
      <c r="F8" s="2543"/>
      <c r="G8" s="2543"/>
      <c r="H8" s="2543"/>
      <c r="I8" s="2570"/>
      <c r="J8" s="2570"/>
      <c r="K8" s="2540"/>
      <c r="L8" s="1648"/>
      <c r="P8" s="2541"/>
      <c r="Q8" s="2541"/>
      <c r="R8" s="641"/>
      <c r="S8" s="1708"/>
      <c r="T8" s="584"/>
      <c r="U8" s="584"/>
      <c r="V8" s="609"/>
      <c r="W8" s="609"/>
      <c r="X8" s="612" t="str">
        <f>Y7&amp;"-"&amp;AA7</f>
        <v>-</v>
      </c>
      <c r="Y8" s="2550"/>
      <c r="Z8" s="2391"/>
      <c r="AA8" s="2550"/>
      <c r="AB8" s="2391"/>
      <c r="AC8" s="609"/>
      <c r="AD8" s="609"/>
      <c r="AE8" s="612" t="str">
        <f>AF7&amp;"-"&amp;AH7</f>
        <v>-</v>
      </c>
      <c r="AF8" s="2550"/>
      <c r="AG8" s="2391"/>
      <c r="AH8" s="2572"/>
      <c r="AI8" s="2391"/>
      <c r="AJ8" s="1723"/>
      <c r="AK8" s="2633"/>
      <c r="AM8" s="784"/>
      <c r="AN8" s="784" t="str">
        <f>IF(T8="","",T8)</f>
        <v/>
      </c>
      <c r="AO8" s="784"/>
      <c r="AP8" s="784"/>
      <c r="AQ8" s="1439">
        <v>0</v>
      </c>
    </row>
    <row customHeight="1" ht="21" hidden="1">
      <c r="A9" s="1647"/>
      <c r="B9" s="1647"/>
      <c r="C9" s="1647"/>
      <c r="D9" s="1647"/>
      <c r="E9" s="2543"/>
      <c r="F9" s="2543"/>
      <c r="G9" s="2543"/>
      <c r="H9" s="2543"/>
      <c r="I9" s="2570"/>
      <c r="J9" s="2540"/>
      <c r="K9" s="1647"/>
      <c r="L9" s="1648"/>
      <c r="P9" s="2541"/>
      <c r="Q9" s="2541"/>
      <c r="R9" s="640"/>
      <c r="S9" s="1562"/>
      <c r="T9" s="571" t="s">
        <v>494</v>
      </c>
      <c r="U9" s="651"/>
      <c r="V9" s="651"/>
      <c r="W9" s="651"/>
      <c r="X9" s="651"/>
      <c r="Y9" s="651"/>
      <c r="Z9" s="651"/>
      <c r="AA9" s="651"/>
      <c r="AB9" s="651"/>
      <c r="AC9" s="651"/>
      <c r="AD9" s="651"/>
      <c r="AE9" s="651"/>
      <c r="AF9" s="651"/>
      <c r="AG9" s="651"/>
      <c r="AH9" s="651"/>
      <c r="AI9" s="651"/>
      <c r="AJ9" s="651"/>
      <c r="AK9" s="1542" t="s">
        <v>495</v>
      </c>
      <c r="AM9" s="784"/>
      <c r="AN9" s="784" t="str">
        <f>IF(T9="","",T9)</f>
        <v>Добавить значение признака дифференциации</v>
      </c>
      <c r="AO9" s="784"/>
      <c r="AP9" s="784"/>
      <c r="AQ9" s="1439">
        <v>0</v>
      </c>
    </row>
    <row customHeight="1" ht="21" hidden="1">
      <c r="A10" s="1647"/>
      <c r="B10" s="1647"/>
      <c r="C10" s="1647"/>
      <c r="D10" s="1647"/>
      <c r="E10" s="2543"/>
      <c r="F10" s="2543"/>
      <c r="G10" s="2543"/>
      <c r="H10" s="2543"/>
      <c r="I10" s="2540"/>
      <c r="J10" s="1647"/>
      <c r="K10" s="1647"/>
      <c r="L10" s="1648"/>
      <c r="P10" s="2541"/>
      <c r="Q10" s="1706"/>
      <c r="R10" s="640"/>
      <c r="S10" s="1562"/>
      <c r="T10" s="649" t="s">
        <v>417</v>
      </c>
      <c r="U10" s="651"/>
      <c r="V10" s="651"/>
      <c r="W10" s="651"/>
      <c r="X10" s="651"/>
      <c r="Y10" s="651"/>
      <c r="Z10" s="651"/>
      <c r="AA10" s="651"/>
      <c r="AB10" s="650"/>
      <c r="AC10" s="651"/>
      <c r="AD10" s="651"/>
      <c r="AE10" s="651"/>
      <c r="AF10" s="651"/>
      <c r="AG10" s="651"/>
      <c r="AH10" s="651"/>
      <c r="AI10" s="650"/>
      <c r="AJ10" s="651"/>
      <c r="AK10" s="1724"/>
      <c r="AM10" s="784"/>
      <c r="AN10" s="784" t="str">
        <f>IF(T10="","",T10)</f>
        <v>Добавить группу потребителей</v>
      </c>
      <c r="AO10" s="784"/>
      <c r="AP10" s="784"/>
      <c r="AQ10" s="1439">
        <v>0</v>
      </c>
    </row>
    <row customHeight="1" ht="14.25" hidden="1">
      <c r="A11" s="1647"/>
      <c r="B11" s="1647"/>
      <c r="C11" s="1647"/>
      <c r="D11" s="1647"/>
      <c r="E11" s="2543"/>
      <c r="F11" s="2543"/>
      <c r="G11" s="2543"/>
      <c r="H11" s="2542"/>
      <c r="I11" s="1647"/>
      <c r="J11" s="1647"/>
      <c r="K11" s="1647"/>
      <c r="L11" s="1648"/>
      <c r="M11" s="1649"/>
      <c r="N11" s="1649"/>
      <c r="O11" s="821"/>
      <c r="P11" s="644"/>
      <c r="Q11" s="659"/>
      <c r="R11" s="639"/>
      <c r="S11" s="1562"/>
      <c r="T11" s="656" t="s">
        <v>496</v>
      </c>
      <c r="U11" s="651"/>
      <c r="V11" s="651"/>
      <c r="W11" s="651"/>
      <c r="X11" s="651"/>
      <c r="Y11" s="651"/>
      <c r="Z11" s="651"/>
      <c r="AA11" s="651"/>
      <c r="AB11" s="650"/>
      <c r="AC11" s="651"/>
      <c r="AD11" s="651"/>
      <c r="AE11" s="651"/>
      <c r="AF11" s="651"/>
      <c r="AG11" s="651"/>
      <c r="AH11" s="651"/>
      <c r="AI11" s="650"/>
      <c r="AJ11" s="651"/>
      <c r="AK11" s="587"/>
      <c r="AM11" s="784"/>
      <c r="AN11" s="784" t="str">
        <f>IF(T11="","",T11)</f>
        <v>Добавить наименование признака дифференциации</v>
      </c>
      <c r="AO11" s="784"/>
      <c r="AP11" s="784"/>
      <c r="AQ11" s="1439">
        <v>0</v>
      </c>
    </row>
    <row s="14158" customFormat="1" customHeight="1" ht="14.25" hidden="1">
      <c r="A12" s="1627"/>
      <c r="B12" s="1627"/>
      <c r="C12" s="1598"/>
      <c r="D12" s="1598"/>
      <c r="E12" s="2543"/>
      <c r="F12" s="2542"/>
      <c r="G12" s="1598"/>
      <c r="H12" s="1598"/>
      <c r="I12" s="1598"/>
      <c r="J12" s="1598"/>
      <c r="K12" s="1598"/>
      <c r="L12" s="1710"/>
      <c r="M12" s="1605"/>
      <c r="N12" s="1605"/>
      <c r="P12" s="1600"/>
      <c r="Q12" s="1601"/>
      <c r="R12" s="1600"/>
      <c r="S12" s="1606"/>
      <c r="T12" s="1609" t="s">
        <v>170</v>
      </c>
      <c r="U12" s="1608"/>
      <c r="V12" s="1608"/>
      <c r="W12" s="1608"/>
      <c r="X12" s="1608"/>
      <c r="Y12" s="1608"/>
      <c r="Z12" s="1608"/>
      <c r="AA12" s="1608"/>
      <c r="AB12" s="1608"/>
      <c r="AC12" s="1608"/>
      <c r="AD12" s="1608"/>
      <c r="AE12" s="1608"/>
      <c r="AF12" s="1608"/>
      <c r="AG12" s="1608"/>
      <c r="AH12" s="1608"/>
      <c r="AI12" s="1608"/>
      <c r="AJ12" s="1608"/>
      <c r="AK12" s="1608"/>
      <c r="AM12" s="1073"/>
      <c r="AN12" s="1073" t="str">
        <f>IF(T12="","",T12)</f>
        <v>Добавить централизованную систему для дифференциации</v>
      </c>
      <c r="AO12" s="1073"/>
      <c r="AP12" s="1073"/>
      <c r="AQ12" s="802">
        <v>0</v>
      </c>
    </row>
    <row s="14158" customFormat="1" customHeight="1" ht="14.25" hidden="1">
      <c r="A13" s="1627"/>
      <c r="B13" s="1627"/>
      <c r="C13" s="1627"/>
      <c r="D13" s="1627"/>
      <c r="E13" s="2542"/>
      <c r="F13" s="1627"/>
      <c r="G13" s="1627"/>
      <c r="H13" s="1627"/>
      <c r="I13" s="1627"/>
      <c r="J13" s="1627"/>
      <c r="K13" s="1627"/>
      <c r="L13" s="1630"/>
      <c r="M13" s="1605"/>
      <c r="N13" s="1605"/>
      <c r="O13" s="802"/>
      <c r="P13" s="664"/>
      <c r="Q13" s="1628"/>
      <c r="R13" s="664"/>
      <c r="S13" s="1606"/>
      <c r="T13" s="1609" t="s">
        <v>171</v>
      </c>
      <c r="U13" s="1608"/>
      <c r="V13" s="1608"/>
      <c r="W13" s="1608"/>
      <c r="X13" s="1608"/>
      <c r="Y13" s="1608"/>
      <c r="Z13" s="1608"/>
      <c r="AA13" s="1608"/>
      <c r="AB13" s="1608"/>
      <c r="AC13" s="1608"/>
      <c r="AD13" s="1608"/>
      <c r="AE13" s="1608"/>
      <c r="AF13" s="1608"/>
      <c r="AG13" s="1608"/>
      <c r="AH13" s="1608"/>
      <c r="AI13" s="1608"/>
      <c r="AJ13" s="1608"/>
      <c r="AK13" s="1608"/>
      <c r="AM13" s="784"/>
      <c r="AN13" s="784" t="str">
        <f>IF(T13="","",T13)</f>
        <v>Добавить территорию для дифференциации</v>
      </c>
      <c r="AO13" s="784"/>
      <c r="AP13" s="784"/>
      <c r="AQ13" s="795">
        <v>0</v>
      </c>
    </row>
    <row customHeight="1" ht="14.25" hidden="1">
      <c r="AB14" s="611"/>
      <c r="AI14" s="611"/>
      <c r="AQ14" s="1439">
        <v>0</v>
      </c>
    </row>
    <row customHeight="1" ht="14.25" hidden="1">
      <c r="AC15" s="1644"/>
      <c r="AD15" s="1644"/>
      <c r="AE15" s="1645"/>
      <c r="AF15" s="2551"/>
      <c r="AG15" s="2552" t="s">
        <v>67</v>
      </c>
      <c r="AH15" s="2551"/>
      <c r="AI15" s="2552" t="s">
        <v>67</v>
      </c>
      <c r="AQ15" s="1439">
        <v>0</v>
      </c>
    </row>
    <row customHeight="1" ht="14.25" hidden="1">
      <c r="AC16" s="1644"/>
      <c r="AD16" s="1644"/>
      <c r="AE16" s="612" t="str">
        <f>AF15&amp;"-"&amp;AH15</f>
        <v>-</v>
      </c>
      <c r="AF16" s="2552"/>
      <c r="AG16" s="2552"/>
      <c r="AH16" s="2552"/>
      <c r="AI16" s="2552"/>
      <c r="AQ16" s="1439">
        <v>0</v>
      </c>
    </row>
    <row customHeight="1" ht="14.25" hidden="1">
      <c r="AI17" s="611"/>
      <c r="AQ17" s="1439">
        <v>0</v>
      </c>
    </row>
    <row s="14157" customFormat="1" customHeight="1" ht="22.5" hidden="1">
      <c r="L18" s="1705"/>
      <c r="M18" s="1646"/>
      <c r="N18" s="1646"/>
      <c r="O18" s="1651" t="s">
        <v>419</v>
      </c>
      <c r="P18" s="1646"/>
      <c r="Q18" s="1655"/>
      <c r="R18" s="1655"/>
      <c r="S18" s="1013"/>
      <c r="Y18" s="1651"/>
      <c r="AA18" s="1651"/>
      <c r="AB18" s="1650"/>
      <c r="AF18" s="1651"/>
      <c r="AH18" s="1651"/>
      <c r="AI18" s="1650"/>
      <c r="AL18" s="795"/>
      <c r="AM18" s="795"/>
      <c r="AN18" s="795"/>
      <c r="AO18" s="795"/>
      <c r="AP18" s="795"/>
      <c r="AQ18" s="1444">
        <v>0</v>
      </c>
    </row>
    <row s="14157" customFormat="1" customHeight="1" ht="14.25" hidden="1">
      <c r="L19" s="1705"/>
      <c r="M19" s="1646"/>
      <c r="N19" s="1646"/>
      <c r="O19" s="1646"/>
      <c r="P19" s="1646"/>
      <c r="Q19" s="1655"/>
      <c r="R19" s="1655"/>
      <c r="S19" s="1013"/>
      <c r="AB19" s="1650"/>
      <c r="AI19" s="1650"/>
      <c r="AL19" s="795"/>
      <c r="AM19" s="795"/>
      <c r="AN19" s="795"/>
      <c r="AO19" s="795"/>
      <c r="AP19" s="795"/>
      <c r="AQ19" s="1444">
        <v>0</v>
      </c>
    </row>
    <row s="14157" customFormat="1" customHeight="1" ht="12" hidden="1">
      <c r="L20" s="1705"/>
      <c r="M20" s="1646"/>
      <c r="N20" s="1646"/>
      <c r="O20" s="1648" t="s">
        <v>420</v>
      </c>
      <c r="P20" s="1646"/>
      <c r="Q20" s="1726"/>
      <c r="R20" s="1726"/>
      <c r="S20" s="1013"/>
      <c r="T20" s="1444" t="s">
        <v>421</v>
      </c>
      <c r="Z20" s="470" t="s">
        <v>422</v>
      </c>
      <c r="AB20" s="470" t="s">
        <v>423</v>
      </c>
      <c r="AC20" s="1444" t="s">
        <v>421</v>
      </c>
      <c r="AG20" s="470" t="s">
        <v>424</v>
      </c>
      <c r="AI20" s="470" t="s">
        <v>423</v>
      </c>
      <c r="AQ20" s="1444">
        <v>0</v>
      </c>
    </row>
    <row customHeight="1" ht="14.25" hidden="1">
      <c r="O21" s="1648"/>
      <c r="AQ21" s="1439">
        <v>0</v>
      </c>
    </row>
    <row customHeight="1" ht="14.25" hidden="1">
      <c r="O22" s="1648"/>
      <c r="AQ22" s="1439">
        <v>0</v>
      </c>
    </row>
    <row customHeight="1" ht="14.699999999999998">
      <c r="Q23" s="660"/>
      <c r="R23" s="660"/>
      <c r="S23" s="1559"/>
      <c r="T23" s="647"/>
      <c r="U23" s="647"/>
      <c r="V23" s="793"/>
      <c r="W23" s="793"/>
      <c r="X23" s="793"/>
      <c r="Y23" s="793"/>
      <c r="Z23" s="793"/>
      <c r="AA23" s="793"/>
      <c r="AB23" s="793"/>
      <c r="AC23" s="793"/>
      <c r="AD23" s="793"/>
      <c r="AE23" s="793"/>
      <c r="AF23" s="793"/>
      <c r="AG23" s="793"/>
      <c r="AH23" s="793"/>
      <c r="AI23" s="793"/>
      <c r="AQ23" s="1439">
        <v>14</v>
      </c>
    </row>
    <row customHeight="1" ht="14.699999999999998">
      <c r="Q24" s="660"/>
      <c r="R24" s="660"/>
      <c r="S24" s="2532"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532"/>
      <c r="U24" s="2532"/>
      <c r="V24" s="2532"/>
      <c r="W24" s="2532"/>
      <c r="X24" s="2532"/>
      <c r="Y24" s="2532"/>
      <c r="Z24" s="2532"/>
      <c r="AA24" s="2532"/>
      <c r="AB24" s="2532"/>
      <c r="AC24" s="2532"/>
      <c r="AD24" s="2532"/>
      <c r="AE24" s="2532"/>
      <c r="AF24" s="2532"/>
      <c r="AG24" s="2532"/>
      <c r="AH24" s="2532"/>
      <c r="AI24" s="1527"/>
      <c r="AQ24" s="1439">
        <v>14</v>
      </c>
    </row>
    <row customHeight="1" ht="14.699999999999998">
      <c r="Q25" s="660"/>
      <c r="R25" s="660"/>
      <c r="S25" s="2533" t="str">
        <f>IF(org=0,"Не определено",org)</f>
        <v>МУП г. Азова "Теплоэнерго"</v>
      </c>
      <c r="T25" s="2533"/>
      <c r="U25" s="2533"/>
      <c r="V25" s="2533"/>
      <c r="W25" s="2533"/>
      <c r="X25" s="2533"/>
      <c r="Y25" s="2533"/>
      <c r="Z25" s="2533"/>
      <c r="AA25" s="2533"/>
      <c r="AB25" s="2533"/>
      <c r="AC25" s="2533"/>
      <c r="AD25" s="2533"/>
      <c r="AE25" s="2533"/>
      <c r="AF25" s="2533"/>
      <c r="AG25" s="2533"/>
      <c r="AH25" s="2533"/>
      <c r="AI25" s="1527"/>
      <c r="AQ25" s="1439">
        <v>14</v>
      </c>
    </row>
    <row customHeight="1" ht="14.25" hidden="1">
      <c r="Q26" s="660"/>
      <c r="R26" s="660"/>
      <c r="S26" s="1559"/>
      <c r="T26" s="647"/>
      <c r="U26" s="647"/>
      <c r="V26" s="606"/>
      <c r="W26" s="606"/>
      <c r="X26" s="606"/>
      <c r="Y26" s="606"/>
      <c r="Z26" s="606"/>
      <c r="AA26" s="606"/>
      <c r="AB26" s="606"/>
      <c r="AC26" s="606"/>
      <c r="AD26" s="606"/>
      <c r="AE26" s="606"/>
      <c r="AF26" s="606"/>
      <c r="AG26" s="606"/>
      <c r="AH26" s="606"/>
      <c r="AI26" s="606"/>
      <c r="AJ26" s="793"/>
      <c r="AQ26" s="1439">
        <v>0</v>
      </c>
    </row>
    <row s="14284" customFormat="1" customHeight="1" ht="25.5" hidden="1">
      <c r="A27" s="1652"/>
      <c r="B27" s="1652"/>
      <c r="C27" s="1652"/>
      <c r="D27" s="1652"/>
      <c r="E27" s="1652"/>
      <c r="F27" s="1652"/>
      <c r="G27" s="1652"/>
      <c r="H27" s="1652"/>
      <c r="I27" s="1652"/>
      <c r="J27" s="1652"/>
      <c r="K27" s="1652"/>
      <c r="L27" s="1653"/>
      <c r="M27" s="1652"/>
      <c r="N27" s="1652"/>
      <c r="O27" s="1652"/>
      <c r="S27" s="2534" t="s">
        <v>42</v>
      </c>
      <c r="T27" s="2534"/>
      <c r="U27" s="1656"/>
      <c r="V27" s="2535" t="str">
        <f>IF(TITLE_NAME_OR_PR_CHANGE="",IF(TITLE_NAME_OR_PR="","",TITLE_NAME_OR_PR),TITLE_NAME_OR_PR_CHANGE)</f>
        <v/>
      </c>
      <c r="W27" s="2535"/>
      <c r="X27" s="2535"/>
      <c r="Y27" s="2535"/>
      <c r="Z27" s="2535"/>
      <c r="AA27" s="2535"/>
      <c r="AB27" s="610"/>
      <c r="AC27" s="2535" t="str">
        <f>IF(TITLE_NAME_OR_PR_CHANGE="",IF(TITLE_NAME_OR_PR="","",TITLE_NAME_OR_PR),TITLE_NAME_OR_PR_CHANGE)</f>
        <v/>
      </c>
      <c r="AD27" s="2535"/>
      <c r="AE27" s="2535"/>
      <c r="AF27" s="2535"/>
      <c r="AG27" s="2535"/>
      <c r="AH27" s="2535"/>
      <c r="AI27" s="610"/>
      <c r="AJ27" s="610"/>
      <c r="AK27" s="564"/>
      <c r="AL27" s="652"/>
      <c r="AM27" s="652"/>
      <c r="AN27" s="652"/>
      <c r="AO27" s="652"/>
      <c r="AP27" s="652"/>
      <c r="AQ27" s="702">
        <v>0</v>
      </c>
    </row>
    <row s="14284" customFormat="1" customHeight="1" ht="18.75" hidden="1">
      <c r="A28" s="1652"/>
      <c r="B28" s="1652"/>
      <c r="C28" s="1652"/>
      <c r="D28" s="1652"/>
      <c r="E28" s="1652"/>
      <c r="F28" s="1652"/>
      <c r="G28" s="1652"/>
      <c r="H28" s="1652"/>
      <c r="I28" s="1652"/>
      <c r="J28" s="1652"/>
      <c r="K28" s="1652"/>
      <c r="L28" s="1653"/>
      <c r="M28" s="1652"/>
      <c r="N28" s="1652"/>
      <c r="O28" s="1652"/>
      <c r="S28" s="2534" t="s">
        <v>425</v>
      </c>
      <c r="T28" s="2534"/>
      <c r="U28" s="1656"/>
      <c r="V28" s="2548" t="str">
        <f>IF(TITLE_DATE_PR_CHANGE="",IF(TITLE_DATE_PR="","",TITLE_DATE_PR),TITLE_DATE_PR_CHANGE)</f>
        <v>45471</v>
      </c>
      <c r="W28" s="2548"/>
      <c r="X28" s="2548"/>
      <c r="Y28" s="2548"/>
      <c r="Z28" s="2548"/>
      <c r="AA28" s="2548"/>
      <c r="AB28" s="610"/>
      <c r="AC28" s="2548" t="str">
        <f>IF(TITLE_DATE_PR_CHANGE="",IF(TITLE_DATE_PR="","",TITLE_DATE_PR),TITLE_DATE_PR_CHANGE)</f>
        <v>45471</v>
      </c>
      <c r="AD28" s="2548"/>
      <c r="AE28" s="2548"/>
      <c r="AF28" s="2548"/>
      <c r="AG28" s="2548"/>
      <c r="AH28" s="2548"/>
      <c r="AI28" s="610"/>
      <c r="AJ28" s="610"/>
      <c r="AK28" s="564"/>
      <c r="AL28" s="652"/>
      <c r="AM28" s="652"/>
      <c r="AN28" s="652"/>
      <c r="AO28" s="652"/>
      <c r="AP28" s="652"/>
      <c r="AQ28" s="702">
        <v>0</v>
      </c>
    </row>
    <row s="14284" customFormat="1" customHeight="1" ht="18.75" hidden="1">
      <c r="A29" s="1652"/>
      <c r="B29" s="1652"/>
      <c r="C29" s="1652"/>
      <c r="D29" s="1652"/>
      <c r="E29" s="1652"/>
      <c r="F29" s="1652"/>
      <c r="G29" s="1652"/>
      <c r="H29" s="1652"/>
      <c r="I29" s="1652"/>
      <c r="J29" s="1652"/>
      <c r="K29" s="1652"/>
      <c r="L29" s="1653"/>
      <c r="M29" s="1652"/>
      <c r="N29" s="1652"/>
      <c r="O29" s="1652"/>
      <c r="S29" s="2534" t="s">
        <v>426</v>
      </c>
      <c r="T29" s="2534"/>
      <c r="U29" s="1656"/>
      <c r="V29" s="2535" t="str">
        <f>IF(TITLE_NUMBER_PR_CHANGE="",IF(TITLE_NUMBER_PR="","",TITLE_NUMBER_PR),TITLE_NUMBER_PR_CHANGE)</f>
        <v>50/18-01/261</v>
      </c>
      <c r="W29" s="2535"/>
      <c r="X29" s="2535"/>
      <c r="Y29" s="2535"/>
      <c r="Z29" s="2535"/>
      <c r="AA29" s="2535"/>
      <c r="AB29" s="610"/>
      <c r="AC29" s="2535" t="str">
        <f>IF(TITLE_NUMBER_PR_CHANGE="",IF(TITLE_NUMBER_PR="","",TITLE_NUMBER_PR),TITLE_NUMBER_PR_CHANGE)</f>
        <v>50/18-01/261</v>
      </c>
      <c r="AD29" s="2535"/>
      <c r="AE29" s="2535"/>
      <c r="AF29" s="2535"/>
      <c r="AG29" s="2535"/>
      <c r="AH29" s="2535"/>
      <c r="AI29" s="610"/>
      <c r="AJ29" s="610"/>
      <c r="AK29" s="564"/>
      <c r="AL29" s="652"/>
      <c r="AM29" s="652"/>
      <c r="AN29" s="652"/>
      <c r="AO29" s="652"/>
      <c r="AP29" s="652"/>
      <c r="AQ29" s="702">
        <v>0</v>
      </c>
    </row>
    <row s="14284" customFormat="1" customHeight="1" ht="18.75" hidden="1">
      <c r="A30" s="1652"/>
      <c r="B30" s="1652"/>
      <c r="C30" s="1652"/>
      <c r="D30" s="1652"/>
      <c r="E30" s="1652"/>
      <c r="F30" s="1652"/>
      <c r="G30" s="1652"/>
      <c r="H30" s="1652"/>
      <c r="I30" s="1652"/>
      <c r="J30" s="1652"/>
      <c r="K30" s="1652"/>
      <c r="L30" s="1653"/>
      <c r="M30" s="1652"/>
      <c r="N30" s="1652"/>
      <c r="O30" s="1652"/>
      <c r="S30" s="2534" t="s">
        <v>43</v>
      </c>
      <c r="T30" s="2534"/>
      <c r="U30" s="1656"/>
      <c r="V30" s="2535" t="str">
        <f>IF(TITLE_IST_PUB_CHANGE="",IF(TITLE_IST_PUB="","",TITLE_IST_PUB),TITLE_IST_PUB_CHANGE)</f>
        <v/>
      </c>
      <c r="W30" s="2535"/>
      <c r="X30" s="2535"/>
      <c r="Y30" s="2535"/>
      <c r="Z30" s="2535"/>
      <c r="AA30" s="2535"/>
      <c r="AB30" s="610"/>
      <c r="AC30" s="2535" t="str">
        <f>IF(TITLE_IST_PUB_CHANGE="",IF(TITLE_IST_PUB="","",TITLE_IST_PUB),TITLE_IST_PUB_CHANGE)</f>
        <v/>
      </c>
      <c r="AD30" s="2535"/>
      <c r="AE30" s="2535"/>
      <c r="AF30" s="2535"/>
      <c r="AG30" s="2535"/>
      <c r="AH30" s="2535"/>
      <c r="AI30" s="610"/>
      <c r="AJ30" s="610"/>
      <c r="AK30" s="564"/>
      <c r="AL30" s="652"/>
      <c r="AM30" s="652"/>
      <c r="AN30" s="652"/>
      <c r="AO30" s="652"/>
      <c r="AP30" s="652"/>
      <c r="AQ30" s="702">
        <v>0</v>
      </c>
    </row>
    <row customHeight="1" ht="14.25">
      <c r="Q31" s="660"/>
      <c r="R31" s="660"/>
      <c r="S31" s="1559"/>
      <c r="T31" s="647"/>
      <c r="U31" s="647"/>
      <c r="V31" s="606"/>
      <c r="W31" s="606"/>
      <c r="X31" s="606"/>
      <c r="Y31" s="606"/>
      <c r="Z31" s="606"/>
      <c r="AA31" s="606"/>
      <c r="AB31" s="606"/>
      <c r="AC31" s="606"/>
      <c r="AD31" s="606"/>
      <c r="AE31" s="606"/>
      <c r="AF31" s="606"/>
      <c r="AG31" s="606"/>
      <c r="AH31" s="606"/>
      <c r="AI31" s="606"/>
      <c r="AJ31" s="793"/>
      <c r="AQ31" s="1439">
        <v>0</v>
      </c>
    </row>
    <row s="14284" customFormat="1" customHeight="1" ht="18.75">
      <c r="A32" s="1652"/>
      <c r="B32" s="1652"/>
      <c r="C32" s="1652"/>
      <c r="D32" s="1652"/>
      <c r="E32" s="1652"/>
      <c r="F32" s="1652"/>
      <c r="G32" s="1652"/>
      <c r="H32" s="1652"/>
      <c r="I32" s="1652"/>
      <c r="J32" s="1652"/>
      <c r="K32" s="1652"/>
      <c r="L32" s="1653"/>
      <c r="M32" s="1652"/>
      <c r="N32" s="1652"/>
      <c r="O32" s="1652"/>
      <c r="S32" s="2534" t="s">
        <v>427</v>
      </c>
      <c r="T32" s="2534"/>
      <c r="U32" s="1656"/>
      <c r="V32" s="2548" t="str">
        <f>IF(TITLE_DATE_PR_CHANGE="",IF(TITLE_DATE_PR="","",TITLE_DATE_PR),TITLE_DATE_PR_CHANGE)</f>
        <v>45471</v>
      </c>
      <c r="W32" s="2548"/>
      <c r="X32" s="2548"/>
      <c r="Y32" s="2548"/>
      <c r="Z32" s="2548"/>
      <c r="AA32" s="2548"/>
      <c r="AB32" s="610"/>
      <c r="AC32" s="2548" t="str">
        <f>IF(TITLE_DATE_PR_CHANGE="",IF(TITLE_DATE_PR="","",TITLE_DATE_PR),TITLE_DATE_PR_CHANGE)</f>
        <v>45471</v>
      </c>
      <c r="AD32" s="2548"/>
      <c r="AE32" s="2548"/>
      <c r="AF32" s="2548"/>
      <c r="AG32" s="2548"/>
      <c r="AH32" s="2548"/>
      <c r="AI32" s="610"/>
      <c r="AJ32" s="610"/>
      <c r="AK32" s="564"/>
      <c r="AL32" s="652"/>
      <c r="AM32" s="652"/>
      <c r="AN32" s="652"/>
      <c r="AO32" s="652"/>
      <c r="AP32" s="652"/>
      <c r="AQ32" s="702">
        <v>0</v>
      </c>
    </row>
    <row s="14284" customFormat="1" customHeight="1" ht="18.75">
      <c r="A33" s="1652"/>
      <c r="B33" s="1652"/>
      <c r="C33" s="1652"/>
      <c r="D33" s="1652"/>
      <c r="E33" s="1652"/>
      <c r="F33" s="1652"/>
      <c r="G33" s="1652"/>
      <c r="H33" s="1652"/>
      <c r="I33" s="1652"/>
      <c r="J33" s="1652"/>
      <c r="K33" s="1652"/>
      <c r="L33" s="1653"/>
      <c r="M33" s="1652"/>
      <c r="N33" s="1652"/>
      <c r="O33" s="1652"/>
      <c r="S33" s="2534" t="s">
        <v>428</v>
      </c>
      <c r="T33" s="2534"/>
      <c r="U33" s="1656"/>
      <c r="V33" s="2535" t="str">
        <f>IF(TITLE_NUMBER_PR_CHANGE="",IF(TITLE_NUMBER_PR="","",TITLE_NUMBER_PR),TITLE_NUMBER_PR_CHANGE)</f>
        <v>50/18-01/261</v>
      </c>
      <c r="W33" s="2535"/>
      <c r="X33" s="2535"/>
      <c r="Y33" s="2535"/>
      <c r="Z33" s="2535"/>
      <c r="AA33" s="2535"/>
      <c r="AB33" s="610"/>
      <c r="AC33" s="2535" t="str">
        <f>IF(TITLE_NUMBER_PR_CHANGE="",IF(TITLE_NUMBER_PR="","",TITLE_NUMBER_PR),TITLE_NUMBER_PR_CHANGE)</f>
        <v>50/18-01/261</v>
      </c>
      <c r="AD33" s="2535"/>
      <c r="AE33" s="2535"/>
      <c r="AF33" s="2535"/>
      <c r="AG33" s="2535"/>
      <c r="AH33" s="2535"/>
      <c r="AI33" s="610"/>
      <c r="AJ33" s="610"/>
      <c r="AK33" s="564"/>
      <c r="AL33" s="652"/>
      <c r="AM33" s="652"/>
      <c r="AN33" s="652"/>
      <c r="AO33" s="652"/>
      <c r="AP33" s="652"/>
      <c r="AQ33" s="702">
        <v>0</v>
      </c>
    </row>
    <row s="14284" customFormat="1" customHeight="1" ht="1.05">
      <c r="A34" s="1652"/>
      <c r="B34" s="1652"/>
      <c r="C34" s="1652"/>
      <c r="D34" s="1652"/>
      <c r="E34" s="1652"/>
      <c r="F34" s="1652"/>
      <c r="G34" s="1652"/>
      <c r="H34" s="1652"/>
      <c r="I34" s="1652"/>
      <c r="J34" s="1652"/>
      <c r="K34" s="1652"/>
      <c r="L34" s="1653"/>
      <c r="M34" s="1652"/>
      <c r="N34" s="1652"/>
      <c r="O34" s="1652"/>
      <c r="S34" s="607"/>
      <c r="T34" s="607"/>
      <c r="U34" s="1639"/>
      <c r="V34" s="610"/>
      <c r="W34" s="610"/>
      <c r="X34" s="610"/>
      <c r="Y34" s="610"/>
      <c r="Z34" s="610"/>
      <c r="AA34" s="610"/>
      <c r="AB34" s="562" t="s">
        <v>429</v>
      </c>
      <c r="AC34" s="610"/>
      <c r="AD34" s="610"/>
      <c r="AE34" s="610"/>
      <c r="AF34" s="610"/>
      <c r="AG34" s="610"/>
      <c r="AH34" s="610"/>
      <c r="AI34" s="562" t="s">
        <v>429</v>
      </c>
      <c r="AL34" s="652"/>
      <c r="AM34" s="652"/>
      <c r="AN34" s="652"/>
      <c r="AO34" s="652"/>
      <c r="AP34" s="652"/>
      <c r="AQ34" s="702">
        <v>1</v>
      </c>
    </row>
    <row customHeight="1" ht="14.699999999999998">
      <c r="Q35" s="660"/>
      <c r="R35" s="660"/>
      <c r="S35" s="1559"/>
      <c r="T35" s="647"/>
      <c r="U35" s="1528"/>
      <c r="V35" s="2536"/>
      <c r="W35" s="2536"/>
      <c r="X35" s="2536"/>
      <c r="Y35" s="2536"/>
      <c r="Z35" s="2536"/>
      <c r="AA35" s="2536"/>
      <c r="AB35" s="2536"/>
      <c r="AC35" s="2536"/>
      <c r="AD35" s="2536"/>
      <c r="AE35" s="2536"/>
      <c r="AF35" s="2536"/>
      <c r="AG35" s="2536"/>
      <c r="AH35" s="2536"/>
      <c r="AI35" s="2536"/>
      <c r="AQ35" s="1439">
        <v>14</v>
      </c>
    </row>
    <row customHeight="1" ht="14.699999999999998">
      <c r="Q36" s="660"/>
      <c r="R36" s="660"/>
      <c r="S36" s="2411" t="s">
        <v>305</v>
      </c>
      <c r="T36" s="2411"/>
      <c r="U36" s="2411"/>
      <c r="V36" s="2411"/>
      <c r="W36" s="2411"/>
      <c r="X36" s="2411"/>
      <c r="Y36" s="2411"/>
      <c r="Z36" s="2411"/>
      <c r="AA36" s="2411"/>
      <c r="AB36" s="2411"/>
      <c r="AC36" s="2411"/>
      <c r="AD36" s="2411"/>
      <c r="AE36" s="2411"/>
      <c r="AF36" s="2411"/>
      <c r="AG36" s="2411"/>
      <c r="AH36" s="2411"/>
      <c r="AI36" s="2411"/>
      <c r="AJ36" s="2411"/>
      <c r="AK36" s="2411" t="s">
        <v>306</v>
      </c>
      <c r="AQ36" s="1439">
        <v>14</v>
      </c>
    </row>
    <row customHeight="1" ht="14.699999999999998">
      <c r="Q37" s="660"/>
      <c r="R37" s="660"/>
      <c r="S37" s="2557" t="s">
        <v>89</v>
      </c>
      <c r="T37" s="2493" t="s">
        <v>430</v>
      </c>
      <c r="U37" s="585"/>
      <c r="V37" s="2558" t="s">
        <v>431</v>
      </c>
      <c r="W37" s="2559"/>
      <c r="X37" s="2559"/>
      <c r="Y37" s="2559"/>
      <c r="Z37" s="2559"/>
      <c r="AA37" s="2560"/>
      <c r="AB37" s="2561" t="s">
        <v>432</v>
      </c>
      <c r="AC37" s="2558" t="s">
        <v>431</v>
      </c>
      <c r="AD37" s="2559"/>
      <c r="AE37" s="2559"/>
      <c r="AF37" s="2559"/>
      <c r="AG37" s="2559"/>
      <c r="AH37" s="2560"/>
      <c r="AI37" s="2561" t="s">
        <v>433</v>
      </c>
      <c r="AJ37" s="2564" t="s">
        <v>434</v>
      </c>
      <c r="AK37" s="2411"/>
      <c r="AQ37" s="1439">
        <v>14</v>
      </c>
    </row>
    <row customHeight="1" ht="35.699999999999996">
      <c r="Q38" s="660"/>
      <c r="R38" s="660"/>
      <c r="S38" s="2557"/>
      <c r="T38" s="2493"/>
      <c r="U38" s="1315"/>
      <c r="V38" s="1636" t="s">
        <v>497</v>
      </c>
      <c r="W38" s="2546" t="s">
        <v>437</v>
      </c>
      <c r="X38" s="2547"/>
      <c r="Y38" s="2546" t="s">
        <v>438</v>
      </c>
      <c r="Z38" s="2553"/>
      <c r="AA38" s="2547"/>
      <c r="AB38" s="2562"/>
      <c r="AC38" s="1636" t="s">
        <v>497</v>
      </c>
      <c r="AD38" s="2546" t="s">
        <v>437</v>
      </c>
      <c r="AE38" s="2547"/>
      <c r="AF38" s="2546" t="s">
        <v>438</v>
      </c>
      <c r="AG38" s="2553"/>
      <c r="AH38" s="2547"/>
      <c r="AI38" s="2562"/>
      <c r="AJ38" s="2565"/>
      <c r="AK38" s="2411"/>
      <c r="AQ38" s="1439">
        <v>34</v>
      </c>
    </row>
    <row customHeight="1" ht="35.699999999999996">
      <c r="A39" s="1654"/>
      <c r="B39" s="1654" t="s">
        <v>136</v>
      </c>
      <c r="C39" s="1654" t="s">
        <v>137</v>
      </c>
      <c r="D39" s="1654" t="s">
        <v>138</v>
      </c>
      <c r="E39" s="1648" t="s">
        <v>439</v>
      </c>
      <c r="F39" s="1648" t="s">
        <v>440</v>
      </c>
      <c r="G39" s="1648" t="s">
        <v>441</v>
      </c>
      <c r="H39" s="1648"/>
      <c r="I39" s="1648" t="s">
        <v>498</v>
      </c>
      <c r="J39" s="1648" t="s">
        <v>444</v>
      </c>
      <c r="K39" s="1648" t="s">
        <v>499</v>
      </c>
      <c r="L39" s="1648" t="s">
        <v>420</v>
      </c>
      <c r="Q39" s="660"/>
      <c r="R39" s="660"/>
      <c r="S39" s="2557"/>
      <c r="T39" s="2493"/>
      <c r="U39" s="586"/>
      <c r="V39" s="1636" t="s">
        <v>500</v>
      </c>
      <c r="W39" s="1506" t="s">
        <v>501</v>
      </c>
      <c r="X39" s="1506" t="s">
        <v>502</v>
      </c>
      <c r="Y39" s="1641" t="s">
        <v>448</v>
      </c>
      <c r="Z39" s="2554" t="s">
        <v>449</v>
      </c>
      <c r="AA39" s="2555"/>
      <c r="AB39" s="2563"/>
      <c r="AC39" s="1636" t="s">
        <v>500</v>
      </c>
      <c r="AD39" s="1506" t="s">
        <v>501</v>
      </c>
      <c r="AE39" s="1506" t="s">
        <v>502</v>
      </c>
      <c r="AF39" s="1641" t="s">
        <v>448</v>
      </c>
      <c r="AG39" s="2554" t="s">
        <v>449</v>
      </c>
      <c r="AH39" s="2555"/>
      <c r="AI39" s="2563"/>
      <c r="AJ39" s="2566"/>
      <c r="AK39" s="2411"/>
      <c r="AQ39" s="1439">
        <v>34</v>
      </c>
    </row>
    <row s="14730" customFormat="1" customHeight="1" ht="11.25" hidden="1">
      <c r="A40" s="1654"/>
      <c r="B40" s="1654"/>
      <c r="C40" s="1654"/>
      <c r="D40" s="1654"/>
      <c r="E40" s="1654"/>
      <c r="F40" s="1654"/>
      <c r="G40" s="1654"/>
      <c r="H40" s="1654"/>
      <c r="I40" s="1654"/>
      <c r="J40" s="1654"/>
      <c r="K40" s="1654"/>
      <c r="L40" s="1648"/>
      <c r="M40" s="1646"/>
      <c r="N40" s="1646"/>
      <c r="O40" s="1646"/>
      <c r="P40" s="1530"/>
      <c r="Q40" s="1531"/>
      <c r="R40" s="1538">
        <v>1</v>
      </c>
      <c r="S40" s="1561" t="s">
        <v>110</v>
      </c>
      <c r="T40" s="1539" t="s">
        <v>111</v>
      </c>
      <c r="U40" s="1529" t="str">
        <f>OFFSET(U40,0,-1)</f>
        <v>2</v>
      </c>
      <c r="V40" s="1637">
        <f>OFFSET(V40,0,-1)+1</f>
        <v>3</v>
      </c>
      <c r="W40" s="1637">
        <f>OFFSET(W40,0,-1)+1</f>
        <v>4</v>
      </c>
      <c r="X40" s="1637">
        <f>OFFSET(X40,0,-1)+1</f>
        <v>5</v>
      </c>
      <c r="Y40" s="1637">
        <f>OFFSET(Y40,0,-1)+1</f>
        <v>6</v>
      </c>
      <c r="Z40" s="2556">
        <f>OFFSET(Z40,0,-1)+1</f>
        <v>7</v>
      </c>
      <c r="AA40" s="2556"/>
      <c r="AB40" s="1637">
        <f>OFFSET(AB40,0,-2)+1</f>
        <v>8</v>
      </c>
      <c r="AC40" s="1637">
        <f>OFFSET(AC40,0,-1)+1</f>
        <v>9</v>
      </c>
      <c r="AD40" s="1637">
        <f>OFFSET(AD40,0,-1)+1</f>
        <v>10</v>
      </c>
      <c r="AE40" s="1637">
        <f>OFFSET(AE40,0,-1)+1</f>
        <v>11</v>
      </c>
      <c r="AF40" s="1637">
        <f>OFFSET(AF40,0,-1)+1</f>
        <v>12</v>
      </c>
      <c r="AG40" s="2556">
        <f>OFFSET(AG40,0,-1)+1</f>
        <v>13</v>
      </c>
      <c r="AH40" s="2556"/>
      <c r="AI40" s="1637">
        <f>OFFSET(AI40,0,-2)+1</f>
        <v>14</v>
      </c>
      <c r="AJ40" s="1529">
        <f>OFFSET(AJ40,0,-1)</f>
        <v>14</v>
      </c>
      <c r="AK40" s="1637">
        <f>OFFSET(AK40,0,-1)+1</f>
        <v>15</v>
      </c>
      <c r="AL40" s="795"/>
      <c r="AM40" s="795"/>
      <c r="AN40" s="795"/>
      <c r="AO40" s="795"/>
      <c r="AP40" s="795"/>
      <c r="AQ40" s="780">
        <v>0</v>
      </c>
    </row>
    <row customHeight="1" ht="24">
      <c r="A41" s="1647" t="s">
        <v>231</v>
      </c>
      <c r="B41" s="1647"/>
      <c r="C41" s="1647"/>
      <c r="D41" s="1647"/>
      <c r="E41" s="2542">
        <v>1</v>
      </c>
      <c r="F41" s="1647"/>
      <c r="G41" s="1647"/>
      <c r="H41" s="1647"/>
      <c r="I41" s="1647"/>
      <c r="J41" s="1647"/>
      <c r="K41" s="1647"/>
      <c r="L41" s="1648"/>
      <c r="M41" s="1649"/>
      <c r="N41" s="1649"/>
      <c r="O41" s="1649"/>
      <c r="P41" s="645"/>
      <c r="Q41" s="644"/>
      <c r="R41" s="639"/>
      <c r="S41" s="1642">
        <f>INDEX(PT_DIFFERENTIATION_NUM_NTAR,MATCH(A41,PT_DIFFERENTIATION_NTAR_ID,0))</f>
        <v>0</v>
      </c>
      <c r="T41" s="582" t="s">
        <v>124</v>
      </c>
      <c r="U41" s="584"/>
      <c r="V41" s="2526"/>
      <c r="W41" s="2527"/>
      <c r="X41" s="2527"/>
      <c r="Y41" s="2527"/>
      <c r="Z41" s="2527"/>
      <c r="AA41" s="2527"/>
      <c r="AB41" s="2528"/>
      <c r="AC41" s="2526" t="str">
        <f>INDEX(PT_DIFFERENTIATION_NTAR,MATCH(A41,PT_DIFFERENTIATION_NTAR_ID,0))</f>
        <v/>
      </c>
      <c r="AD41" s="2527"/>
      <c r="AE41" s="2527"/>
      <c r="AF41" s="2527"/>
      <c r="AG41" s="2527"/>
      <c r="AH41" s="2527"/>
      <c r="AI41" s="2527"/>
      <c r="AJ41" s="2528"/>
      <c r="AK41" s="154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784"/>
      <c r="AN41" s="784" t="str">
        <f>IF(T41="","",T41)</f>
        <v>Наименование тарифа</v>
      </c>
      <c r="AO41" s="784"/>
      <c r="AP41" s="784"/>
      <c r="AQ41" s="1439">
        <v>23</v>
      </c>
    </row>
    <row customHeight="1" ht="24">
      <c r="A42" s="1647" t="s">
        <v>231</v>
      </c>
      <c r="B42" s="1647" t="s">
        <v>232</v>
      </c>
      <c r="C42" s="1647"/>
      <c r="D42" s="1647"/>
      <c r="E42" s="2543"/>
      <c r="F42" s="2542">
        <v>1</v>
      </c>
      <c r="G42" s="1647"/>
      <c r="H42" s="1647"/>
      <c r="I42" s="1647"/>
      <c r="J42" s="1647"/>
      <c r="K42" s="1647"/>
      <c r="L42" s="1648"/>
      <c r="M42" s="1649"/>
      <c r="N42" s="1649"/>
      <c r="O42" s="1649"/>
      <c r="P42" s="1640"/>
      <c r="Q42" s="636"/>
      <c r="R42" s="637"/>
      <c r="S42" s="1642" t="str">
        <f>INDEX(PT_DIFFERENTIATION_NUM_TER,MATCH(B42,PT_DIFFERENTIATION_TER_ID,0))</f>
        <v>.</v>
      </c>
      <c r="T42" s="592" t="s">
        <v>402</v>
      </c>
      <c r="U42" s="584"/>
      <c r="V42" s="2526"/>
      <c r="W42" s="2527"/>
      <c r="X42" s="2527"/>
      <c r="Y42" s="2527"/>
      <c r="Z42" s="2527"/>
      <c r="AA42" s="2527"/>
      <c r="AB42" s="2528"/>
      <c r="AC42" s="2526" t="str">
        <f>INDEX(PT_DIFFERENTIATION_TER,MATCH(B42,PT_DIFFERENTIATION_TER_ID,0))</f>
        <v/>
      </c>
      <c r="AD42" s="2527"/>
      <c r="AE42" s="2527"/>
      <c r="AF42" s="2527"/>
      <c r="AG42" s="2527"/>
      <c r="AH42" s="2527"/>
      <c r="AI42" s="2527"/>
      <c r="AJ42" s="2528"/>
      <c r="AK42" s="1542" t="s">
        <v>403</v>
      </c>
      <c r="AM42" s="784"/>
      <c r="AN42" s="784" t="str">
        <f>IF(T42="","",T42)</f>
        <v>Территория действия тарифа</v>
      </c>
      <c r="AO42" s="784"/>
      <c r="AP42" s="784"/>
      <c r="AQ42" s="1439">
        <v>23</v>
      </c>
    </row>
    <row customHeight="1" ht="24">
      <c r="A43" s="1647" t="s">
        <v>231</v>
      </c>
      <c r="B43" s="1647" t="s">
        <v>232</v>
      </c>
      <c r="C43" s="1647" t="s">
        <v>233</v>
      </c>
      <c r="D43" s="1647"/>
      <c r="E43" s="2543"/>
      <c r="F43" s="2543"/>
      <c r="G43" s="2542">
        <v>1</v>
      </c>
      <c r="H43" s="1647"/>
      <c r="I43" s="1647"/>
      <c r="J43" s="1647"/>
      <c r="K43" s="1647"/>
      <c r="L43" s="1648"/>
      <c r="M43" s="1649"/>
      <c r="N43" s="1649"/>
      <c r="O43" s="1649"/>
      <c r="P43" s="638"/>
      <c r="Q43" s="636"/>
      <c r="R43" s="637"/>
      <c r="S43" s="1642" t="str">
        <f>INDEX(PT_DIFFERENTIATION_NUM_CS,MATCH(C43,PT_DIFFERENTIATION_CS_ID,0))</f>
        <v>..</v>
      </c>
      <c r="T43" s="593" t="s">
        <v>489</v>
      </c>
      <c r="U43" s="584"/>
      <c r="V43" s="2526"/>
      <c r="W43" s="2527"/>
      <c r="X43" s="2527"/>
      <c r="Y43" s="2527"/>
      <c r="Z43" s="2527"/>
      <c r="AA43" s="2527"/>
      <c r="AB43" s="2528"/>
      <c r="AC43" s="2526" t="str">
        <f>INDEX(PT_DIFFERENTIATION_CS,MATCH(C43,PT_DIFFERENTIATION_CS_ID,0))</f>
        <v/>
      </c>
      <c r="AD43" s="2527"/>
      <c r="AE43" s="2527"/>
      <c r="AF43" s="2527"/>
      <c r="AG43" s="2527"/>
      <c r="AH43" s="2527"/>
      <c r="AI43" s="2527"/>
      <c r="AJ43" s="2528"/>
      <c r="AK43" s="1542" t="s">
        <v>490</v>
      </c>
      <c r="AM43" s="784"/>
      <c r="AN43" s="784" t="str">
        <f>IF(T43="","",T43)</f>
        <v>Наименование централизованной системы холодного водоснабжения</v>
      </c>
      <c r="AO43" s="784"/>
      <c r="AP43" s="784"/>
      <c r="AQ43" s="1439">
        <v>23</v>
      </c>
    </row>
    <row customHeight="1" ht="24">
      <c r="A44" s="1647" t="s">
        <v>231</v>
      </c>
      <c r="B44" s="1647" t="s">
        <v>232</v>
      </c>
      <c r="C44" s="1647" t="s">
        <v>233</v>
      </c>
      <c r="D44" s="1647" t="s">
        <v>503</v>
      </c>
      <c r="E44" s="2543"/>
      <c r="F44" s="2543"/>
      <c r="G44" s="2543"/>
      <c r="H44" s="2543"/>
      <c r="I44" s="2540" t="str">
        <f>S43&amp;".1"</f>
        <v>...1</v>
      </c>
      <c r="J44" s="1647"/>
      <c r="K44" s="1647"/>
      <c r="L44" s="1648"/>
      <c r="P44" s="2541">
        <v>1</v>
      </c>
      <c r="Q44" s="1638"/>
      <c r="R44" s="640"/>
      <c r="S44" s="1642" t="str">
        <f>$I44</f>
        <v>...1</v>
      </c>
      <c r="T44" s="569" t="s">
        <v>491</v>
      </c>
      <c r="U44" s="584"/>
      <c r="V44" s="2634"/>
      <c r="W44" s="2635"/>
      <c r="X44" s="2635"/>
      <c r="Y44" s="2635"/>
      <c r="Z44" s="2635"/>
      <c r="AA44" s="2635"/>
      <c r="AB44" s="2636"/>
      <c r="AC44" s="2637"/>
      <c r="AD44" s="2638"/>
      <c r="AE44" s="2638"/>
      <c r="AF44" s="2638"/>
      <c r="AG44" s="2638"/>
      <c r="AH44" s="2638"/>
      <c r="AI44" s="2638"/>
      <c r="AJ44" s="2639"/>
      <c r="AK44" s="1542" t="s">
        <v>492</v>
      </c>
      <c r="AM44" s="784"/>
      <c r="AN44" s="784" t="str">
        <f>IF(T44="","",T44)</f>
        <v>Наименование признака дифференциации</v>
      </c>
      <c r="AO44" s="784"/>
      <c r="AP44" s="784"/>
      <c r="AQ44" s="1439">
        <v>23</v>
      </c>
    </row>
    <row customHeight="1" ht="24">
      <c r="A45" s="1647" t="s">
        <v>231</v>
      </c>
      <c r="B45" s="1647" t="s">
        <v>232</v>
      </c>
      <c r="C45" s="1647" t="s">
        <v>233</v>
      </c>
      <c r="D45" s="1647" t="s">
        <v>503</v>
      </c>
      <c r="E45" s="2543"/>
      <c r="F45" s="2543"/>
      <c r="G45" s="2543"/>
      <c r="H45" s="2543"/>
      <c r="I45" s="2570"/>
      <c r="J45" s="2540" t="str">
        <f>I44&amp;".1"</f>
        <v>...1.1</v>
      </c>
      <c r="K45" s="1647"/>
      <c r="L45" s="1648" t="s">
        <v>411</v>
      </c>
      <c r="P45" s="2541"/>
      <c r="Q45" s="2541">
        <v>1</v>
      </c>
      <c r="R45" s="641"/>
      <c r="S45" s="1642" t="str">
        <f>$J45</f>
        <v>...1.1</v>
      </c>
      <c r="T45" s="570" t="s">
        <v>412</v>
      </c>
      <c r="U45" s="584"/>
      <c r="V45" s="2529"/>
      <c r="W45" s="2530"/>
      <c r="X45" s="2530"/>
      <c r="Y45" s="2530"/>
      <c r="Z45" s="2530"/>
      <c r="AA45" s="2530"/>
      <c r="AB45" s="2531"/>
      <c r="AC45" s="2529"/>
      <c r="AD45" s="2530"/>
      <c r="AE45" s="2530"/>
      <c r="AF45" s="2530"/>
      <c r="AG45" s="2530"/>
      <c r="AH45" s="2530"/>
      <c r="AI45" s="2530"/>
      <c r="AJ45" s="2531"/>
      <c r="AK45" s="1591" t="s">
        <v>493</v>
      </c>
      <c r="AM45" s="784"/>
      <c r="AN45" s="784" t="str">
        <f>IF(T45="","",T45)</f>
        <v>Группа потребителей</v>
      </c>
      <c r="AO45" s="784"/>
      <c r="AP45" s="784"/>
      <c r="AQ45" s="1439">
        <v>23</v>
      </c>
    </row>
    <row customHeight="1" ht="24">
      <c r="A46" s="1647" t="s">
        <v>231</v>
      </c>
      <c r="B46" s="1647" t="s">
        <v>232</v>
      </c>
      <c r="C46" s="1647" t="s">
        <v>233</v>
      </c>
      <c r="D46" s="1647" t="s">
        <v>503</v>
      </c>
      <c r="E46" s="2543"/>
      <c r="F46" s="2543"/>
      <c r="G46" s="2543"/>
      <c r="H46" s="2543"/>
      <c r="I46" s="2570"/>
      <c r="J46" s="2570"/>
      <c r="K46" s="2540" t="str">
        <f>J45&amp;".1"</f>
        <v>...1.1.1</v>
      </c>
      <c r="L46" s="1648"/>
      <c r="P46" s="2541"/>
      <c r="Q46" s="2541"/>
      <c r="R46" s="641">
        <v>1</v>
      </c>
      <c r="S46" s="1642" t="str">
        <f>$K46</f>
        <v>...1.1.1</v>
      </c>
      <c r="T46" s="1721"/>
      <c r="U46" s="584"/>
      <c r="V46" s="1644"/>
      <c r="W46" s="1644"/>
      <c r="X46" s="1645"/>
      <c r="Y46" s="2551"/>
      <c r="Z46" s="2552" t="s">
        <v>67</v>
      </c>
      <c r="AA46" s="2551"/>
      <c r="AB46" s="2552" t="s">
        <v>67</v>
      </c>
      <c r="AC46" s="1035"/>
      <c r="AD46" s="1035"/>
      <c r="AE46" s="1541"/>
      <c r="AF46" s="2549"/>
      <c r="AG46" s="2391" t="s">
        <v>67</v>
      </c>
      <c r="AH46" s="2571"/>
      <c r="AI46" s="2391" t="s">
        <v>19</v>
      </c>
      <c r="AJ46" s="1722"/>
      <c r="AK46" s="263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795">
        <f>STRCHECKDATE(V47:AJ47)</f>
      </c>
      <c r="AM46" s="784"/>
      <c r="AN46" s="784" t="str">
        <f>IF(T46="","",T46)</f>
        <v/>
      </c>
      <c r="AO46" s="784"/>
      <c r="AP46" s="784"/>
      <c r="AQ46" s="1439">
        <v>23</v>
      </c>
    </row>
    <row customHeight="1" ht="0">
      <c r="A47" s="1647" t="s">
        <v>231</v>
      </c>
      <c r="B47" s="1647" t="s">
        <v>232</v>
      </c>
      <c r="C47" s="1647" t="s">
        <v>233</v>
      </c>
      <c r="D47" s="1647" t="s">
        <v>503</v>
      </c>
      <c r="E47" s="2543"/>
      <c r="F47" s="2543"/>
      <c r="G47" s="2543"/>
      <c r="H47" s="2543"/>
      <c r="I47" s="2570"/>
      <c r="J47" s="2570"/>
      <c r="K47" s="2540"/>
      <c r="L47" s="1648"/>
      <c r="P47" s="2541"/>
      <c r="Q47" s="2541"/>
      <c r="R47" s="641"/>
      <c r="S47" s="1643"/>
      <c r="T47" s="584"/>
      <c r="U47" s="584"/>
      <c r="V47" s="1644"/>
      <c r="W47" s="1644"/>
      <c r="X47" s="612" t="str">
        <f>Y46&amp;"-"&amp;AA46</f>
        <v>-</v>
      </c>
      <c r="Y47" s="2552"/>
      <c r="Z47" s="2552"/>
      <c r="AA47" s="2552"/>
      <c r="AB47" s="2552"/>
      <c r="AC47" s="609"/>
      <c r="AD47" s="609"/>
      <c r="AE47" s="612" t="str">
        <f>AF46&amp;"-"&amp;AH46</f>
        <v>-</v>
      </c>
      <c r="AF47" s="2550"/>
      <c r="AG47" s="2391"/>
      <c r="AH47" s="2572"/>
      <c r="AI47" s="2391"/>
      <c r="AJ47" s="1723"/>
      <c r="AK47" s="2633"/>
      <c r="AM47" s="784"/>
      <c r="AN47" s="784" t="str">
        <f>IF(T47="","",T47)</f>
        <v/>
      </c>
      <c r="AO47" s="784"/>
      <c r="AP47" s="784"/>
      <c r="AQ47" s="1439">
        <v>0</v>
      </c>
    </row>
    <row customHeight="1" ht="21">
      <c r="A48" s="1647" t="s">
        <v>231</v>
      </c>
      <c r="B48" s="1647" t="s">
        <v>232</v>
      </c>
      <c r="C48" s="1647" t="s">
        <v>233</v>
      </c>
      <c r="D48" s="1647" t="s">
        <v>503</v>
      </c>
      <c r="E48" s="2543"/>
      <c r="F48" s="2543"/>
      <c r="G48" s="2543"/>
      <c r="H48" s="2543"/>
      <c r="I48" s="2570"/>
      <c r="J48" s="2540"/>
      <c r="K48" s="1647"/>
      <c r="L48" s="1648"/>
      <c r="P48" s="2541"/>
      <c r="Q48" s="2541"/>
      <c r="R48" s="640"/>
      <c r="S48" s="1562"/>
      <c r="T48" s="571" t="s">
        <v>494</v>
      </c>
      <c r="U48" s="651"/>
      <c r="V48" s="651"/>
      <c r="W48" s="651"/>
      <c r="X48" s="651"/>
      <c r="Y48" s="651"/>
      <c r="Z48" s="651"/>
      <c r="AA48" s="651"/>
      <c r="AB48" s="651"/>
      <c r="AC48" s="651"/>
      <c r="AD48" s="651"/>
      <c r="AE48" s="651"/>
      <c r="AF48" s="651"/>
      <c r="AG48" s="651"/>
      <c r="AH48" s="651"/>
      <c r="AI48" s="651"/>
      <c r="AJ48" s="651"/>
      <c r="AK48" s="1542" t="s">
        <v>495</v>
      </c>
      <c r="AM48" s="784"/>
      <c r="AN48" s="784" t="str">
        <f>IF(T48="","",T48)</f>
        <v>Добавить значение признака дифференциации</v>
      </c>
      <c r="AO48" s="784"/>
      <c r="AP48" s="784"/>
      <c r="AQ48" s="1439">
        <v>20</v>
      </c>
    </row>
    <row customHeight="1" ht="22.049999999999997">
      <c r="A49" s="1647" t="s">
        <v>231</v>
      </c>
      <c r="B49" s="1647" t="s">
        <v>232</v>
      </c>
      <c r="C49" s="1647" t="s">
        <v>233</v>
      </c>
      <c r="D49" s="1647" t="s">
        <v>503</v>
      </c>
      <c r="E49" s="2543"/>
      <c r="F49" s="2543"/>
      <c r="G49" s="2543"/>
      <c r="H49" s="2543"/>
      <c r="I49" s="2540"/>
      <c r="J49" s="1647"/>
      <c r="K49" s="1647"/>
      <c r="L49" s="1648"/>
      <c r="P49" s="2541"/>
      <c r="Q49" s="1638"/>
      <c r="R49" s="640"/>
      <c r="S49" s="1562"/>
      <c r="T49" s="649" t="s">
        <v>417</v>
      </c>
      <c r="U49" s="651"/>
      <c r="V49" s="651"/>
      <c r="W49" s="651"/>
      <c r="X49" s="651"/>
      <c r="Y49" s="651"/>
      <c r="Z49" s="651"/>
      <c r="AA49" s="651"/>
      <c r="AB49" s="650"/>
      <c r="AC49" s="651"/>
      <c r="AD49" s="651"/>
      <c r="AE49" s="651"/>
      <c r="AF49" s="651"/>
      <c r="AG49" s="651"/>
      <c r="AH49" s="651"/>
      <c r="AI49" s="650"/>
      <c r="AJ49" s="651"/>
      <c r="AK49" s="1724"/>
      <c r="AM49" s="784"/>
      <c r="AN49" s="784" t="str">
        <f>IF(T49="","",T49)</f>
        <v>Добавить группу потребителей</v>
      </c>
      <c r="AO49" s="784"/>
      <c r="AP49" s="784"/>
      <c r="AQ49" s="1439">
        <v>21</v>
      </c>
    </row>
    <row customHeight="1" ht="22.049999999999997">
      <c r="A50" s="1647" t="s">
        <v>231</v>
      </c>
      <c r="B50" s="1647" t="s">
        <v>232</v>
      </c>
      <c r="C50" s="1647" t="s">
        <v>233</v>
      </c>
      <c r="D50" s="1647" t="s">
        <v>503</v>
      </c>
      <c r="E50" s="2543"/>
      <c r="F50" s="2543"/>
      <c r="G50" s="2543"/>
      <c r="H50" s="2542"/>
      <c r="I50" s="1647"/>
      <c r="J50" s="1647"/>
      <c r="K50" s="1647"/>
      <c r="L50" s="1648"/>
      <c r="M50" s="1649"/>
      <c r="N50" s="1649"/>
      <c r="O50" s="821"/>
      <c r="P50" s="644"/>
      <c r="Q50" s="659"/>
      <c r="R50" s="639"/>
      <c r="S50" s="1562"/>
      <c r="T50" s="656" t="s">
        <v>496</v>
      </c>
      <c r="U50" s="651"/>
      <c r="V50" s="651"/>
      <c r="W50" s="651"/>
      <c r="X50" s="651"/>
      <c r="Y50" s="651"/>
      <c r="Z50" s="651"/>
      <c r="AA50" s="651"/>
      <c r="AB50" s="650"/>
      <c r="AC50" s="651"/>
      <c r="AD50" s="651"/>
      <c r="AE50" s="651"/>
      <c r="AF50" s="651"/>
      <c r="AG50" s="651"/>
      <c r="AH50" s="651"/>
      <c r="AI50" s="650"/>
      <c r="AJ50" s="651"/>
      <c r="AK50" s="587"/>
      <c r="AM50" s="784"/>
      <c r="AN50" s="784" t="str">
        <f>IF(T50="","",T50)</f>
        <v>Добавить наименование признака дифференциации</v>
      </c>
      <c r="AO50" s="784"/>
      <c r="AP50" s="784"/>
      <c r="AQ50" s="1439">
        <v>21</v>
      </c>
    </row>
    <row s="14158" customFormat="1" customHeight="1" ht="0">
      <c r="A51" s="1627" t="s">
        <v>231</v>
      </c>
      <c r="B51" s="1627" t="s">
        <v>232</v>
      </c>
      <c r="C51" s="1598"/>
      <c r="D51" s="1598"/>
      <c r="E51" s="2543"/>
      <c r="F51" s="2542"/>
      <c r="G51" s="1598"/>
      <c r="H51" s="1598"/>
      <c r="I51" s="1598"/>
      <c r="J51" s="1598"/>
      <c r="K51" s="1598"/>
      <c r="L51" s="1710"/>
      <c r="M51" s="1605"/>
      <c r="N51" s="1605"/>
      <c r="P51" s="1600"/>
      <c r="Q51" s="1601"/>
      <c r="R51" s="1600"/>
      <c r="S51" s="1606"/>
      <c r="T51" s="1609" t="s">
        <v>170</v>
      </c>
      <c r="U51" s="1608"/>
      <c r="V51" s="1608"/>
      <c r="W51" s="1608"/>
      <c r="X51" s="1608"/>
      <c r="Y51" s="1608"/>
      <c r="Z51" s="1608"/>
      <c r="AA51" s="1608"/>
      <c r="AB51" s="1608"/>
      <c r="AC51" s="1608"/>
      <c r="AD51" s="1608"/>
      <c r="AE51" s="1608"/>
      <c r="AF51" s="1608"/>
      <c r="AG51" s="1608"/>
      <c r="AH51" s="1608"/>
      <c r="AI51" s="1608"/>
      <c r="AJ51" s="1608"/>
      <c r="AK51" s="1608"/>
      <c r="AM51" s="1073"/>
      <c r="AN51" s="1073" t="str">
        <f>IF(T51="","",T51)</f>
        <v>Добавить централизованную систему для дифференциации</v>
      </c>
      <c r="AO51" s="1073"/>
      <c r="AP51" s="1073"/>
      <c r="AQ51" s="802">
        <v>0</v>
      </c>
    </row>
    <row s="14158" customFormat="1" customHeight="1" ht="0">
      <c r="A52" s="1627" t="s">
        <v>231</v>
      </c>
      <c r="B52" s="1627"/>
      <c r="C52" s="1627"/>
      <c r="D52" s="1627"/>
      <c r="E52" s="2542"/>
      <c r="F52" s="1627"/>
      <c r="G52" s="1627"/>
      <c r="H52" s="1627"/>
      <c r="I52" s="1627"/>
      <c r="J52" s="1627"/>
      <c r="K52" s="1627"/>
      <c r="L52" s="1630"/>
      <c r="M52" s="1605"/>
      <c r="N52" s="1605"/>
      <c r="O52" s="802"/>
      <c r="P52" s="664"/>
      <c r="Q52" s="1628"/>
      <c r="R52" s="664"/>
      <c r="S52" s="1606"/>
      <c r="T52" s="1609" t="s">
        <v>171</v>
      </c>
      <c r="U52" s="1608"/>
      <c r="V52" s="1608"/>
      <c r="W52" s="1608"/>
      <c r="X52" s="1608"/>
      <c r="Y52" s="1608"/>
      <c r="Z52" s="1608"/>
      <c r="AA52" s="1608"/>
      <c r="AB52" s="1608"/>
      <c r="AC52" s="1608"/>
      <c r="AD52" s="1608"/>
      <c r="AE52" s="1608"/>
      <c r="AF52" s="1608"/>
      <c r="AG52" s="1608"/>
      <c r="AH52" s="1608"/>
      <c r="AI52" s="1608"/>
      <c r="AJ52" s="1608"/>
      <c r="AK52" s="1608"/>
      <c r="AM52" s="784"/>
      <c r="AN52" s="784" t="str">
        <f>IF(T52="","",T52)</f>
        <v>Добавить территорию для дифференциации</v>
      </c>
      <c r="AO52" s="784"/>
      <c r="AP52" s="784"/>
      <c r="AQ52" s="795">
        <v>0</v>
      </c>
    </row>
    <row s="14158" customFormat="1" customHeight="1" ht="0">
      <c r="A53" s="1598"/>
      <c r="B53" s="1598"/>
      <c r="C53" s="1598"/>
      <c r="D53" s="1598"/>
      <c r="E53" s="1627"/>
      <c r="F53" s="1598"/>
      <c r="G53" s="1598"/>
      <c r="H53" s="1598"/>
      <c r="I53" s="1598"/>
      <c r="J53" s="1598"/>
      <c r="K53" s="1598"/>
      <c r="L53" s="1710"/>
      <c r="M53" s="1605"/>
      <c r="N53" s="1605"/>
      <c r="P53" s="1600"/>
      <c r="Q53" s="1601"/>
      <c r="R53" s="1600"/>
      <c r="S53" s="1606"/>
      <c r="T53" s="1609" t="s">
        <v>172</v>
      </c>
      <c r="U53" s="1608"/>
      <c r="V53" s="1608"/>
      <c r="W53" s="1608"/>
      <c r="X53" s="1608"/>
      <c r="Y53" s="1608"/>
      <c r="Z53" s="1608"/>
      <c r="AA53" s="1608"/>
      <c r="AB53" s="1608"/>
      <c r="AC53" s="1608"/>
      <c r="AD53" s="1608"/>
      <c r="AE53" s="1608"/>
      <c r="AF53" s="1608"/>
      <c r="AG53" s="1608"/>
      <c r="AH53" s="1608"/>
      <c r="AI53" s="1608"/>
      <c r="AJ53" s="1608"/>
      <c r="AK53" s="1608"/>
      <c r="AM53" s="1073"/>
      <c r="AN53" s="1073" t="str">
        <f>IF(T53="","",T53)</f>
        <v>Добавить наименование тарифа</v>
      </c>
      <c r="AO53" s="1073"/>
      <c r="AP53" s="1073"/>
      <c r="AQ53" s="802">
        <v>0</v>
      </c>
    </row>
    <row customHeight="1" ht="11.549999999999999">
      <c r="M54" s="1444"/>
      <c r="N54" s="1444"/>
      <c r="O54" s="821"/>
      <c r="P54" s="1439"/>
      <c r="Q54" s="1439"/>
      <c r="R54" s="1439"/>
      <c r="S54" s="1439"/>
      <c r="AL54" s="1439"/>
      <c r="AM54" s="1439"/>
      <c r="AN54" s="1439"/>
      <c r="AO54" s="1439"/>
      <c r="AP54" s="1439"/>
      <c r="AQ54" s="1439">
        <v>11</v>
      </c>
    </row>
    <row customHeight="1" ht="14.699999999999998">
      <c r="O55" s="821"/>
      <c r="S55" s="1537"/>
      <c r="T55" s="2569"/>
      <c r="U55" s="2569"/>
      <c r="V55" s="2569"/>
      <c r="W55" s="2569"/>
      <c r="X55" s="2569"/>
      <c r="Y55" s="2569"/>
      <c r="Z55" s="2569"/>
      <c r="AA55" s="2569"/>
      <c r="AB55" s="2569"/>
      <c r="AC55" s="2569"/>
      <c r="AD55" s="2569"/>
      <c r="AE55" s="2569"/>
      <c r="AF55" s="2569"/>
      <c r="AG55" s="2569"/>
      <c r="AH55" s="2569"/>
      <c r="AI55" s="2569"/>
      <c r="AJ55" s="2569"/>
      <c r="AK55" s="2569"/>
      <c r="AQ55" s="1439">
        <v>14</v>
      </c>
    </row>
    <row customHeight="1" ht="14.699999999999998">
      <c r="O56" s="821"/>
      <c r="AQ56" s="1439">
        <v>14</v>
      </c>
    </row>
    <row customHeight="1" ht="14.699999999999998">
      <c r="O57" s="821"/>
      <c r="S57" s="1537"/>
      <c r="T57" s="2569"/>
      <c r="U57" s="2569"/>
      <c r="V57" s="2569"/>
      <c r="W57" s="2569"/>
      <c r="X57" s="2569"/>
      <c r="Y57" s="2569"/>
      <c r="Z57" s="2569"/>
      <c r="AA57" s="2569"/>
      <c r="AB57" s="2569"/>
      <c r="AC57" s="2569"/>
      <c r="AD57" s="2569"/>
      <c r="AE57" s="2569"/>
      <c r="AF57" s="2569"/>
      <c r="AG57" s="2569"/>
      <c r="AH57" s="2569"/>
      <c r="AI57" s="2569"/>
      <c r="AJ57" s="2569"/>
      <c r="AK57" s="2569"/>
      <c r="AQ57" s="1439">
        <v>14</v>
      </c>
    </row>
    <row customHeight="1" ht="22.5" hidden="1">
      <c r="A58" s="1444" t="s">
        <v>83</v>
      </c>
      <c r="B58" s="1444">
        <v>0</v>
      </c>
      <c r="C58" s="1444">
        <v>0</v>
      </c>
      <c r="D58" s="1444">
        <v>0</v>
      </c>
      <c r="E58" s="1444">
        <v>0</v>
      </c>
      <c r="F58" s="1444">
        <v>0</v>
      </c>
      <c r="G58" s="1444">
        <v>0</v>
      </c>
      <c r="H58" s="1444">
        <v>0</v>
      </c>
      <c r="I58" s="1444">
        <v>0</v>
      </c>
      <c r="J58" s="1444">
        <v>0</v>
      </c>
      <c r="K58" s="1444">
        <v>0</v>
      </c>
      <c r="L58" s="1705">
        <v>0</v>
      </c>
      <c r="M58" s="1646">
        <v>0</v>
      </c>
      <c r="N58" s="1646">
        <v>0</v>
      </c>
      <c r="O58" s="1646">
        <v>0</v>
      </c>
      <c r="P58" s="1635">
        <v>3</v>
      </c>
      <c r="Q58" s="628">
        <v>3</v>
      </c>
      <c r="R58" s="628">
        <v>3</v>
      </c>
      <c r="S58" s="865">
        <v>12</v>
      </c>
      <c r="T58" s="1439">
        <v>35</v>
      </c>
      <c r="U58" s="1439">
        <v>0</v>
      </c>
      <c r="V58" s="1439">
        <v>0</v>
      </c>
      <c r="W58" s="1439">
        <v>0</v>
      </c>
      <c r="X58" s="1439">
        <v>0</v>
      </c>
      <c r="Y58" s="1439">
        <v>0</v>
      </c>
      <c r="Z58" s="1439">
        <v>0</v>
      </c>
      <c r="AA58" s="1439">
        <v>0</v>
      </c>
      <c r="AB58" s="1439">
        <v>0</v>
      </c>
      <c r="AC58" s="1439">
        <v>24</v>
      </c>
      <c r="AD58" s="1439">
        <v>24</v>
      </c>
      <c r="AE58" s="1439">
        <v>24</v>
      </c>
      <c r="AF58" s="1439">
        <v>11</v>
      </c>
      <c r="AG58" s="1439">
        <v>3</v>
      </c>
      <c r="AH58" s="1439">
        <v>11</v>
      </c>
      <c r="AI58" s="1439">
        <v>0</v>
      </c>
      <c r="AJ58" s="1439">
        <v>4</v>
      </c>
      <c r="AK58" s="1439">
        <v>115</v>
      </c>
      <c r="AL58" s="795">
        <v>10</v>
      </c>
      <c r="AM58" s="795">
        <v>10</v>
      </c>
      <c r="AN58" s="795">
        <v>10</v>
      </c>
      <c r="AO58" s="795">
        <v>10</v>
      </c>
      <c r="AP58" s="795">
        <v>10</v>
      </c>
      <c r="AQ58" s="1439">
        <v>23</v>
      </c>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9A2ADFB-93A8-0F74-41D8-30072A085548}"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4157" width="10.57421875" hidden="1"/>
    <col min="2" max="2" style="14157" width="11.00390625" hidden="1" customWidth="1"/>
    <col min="3" max="3" style="14157" width="10.57421875" hidden="1"/>
    <col min="4" max="4" style="14157" width="11.8515625" hidden="1" customWidth="1"/>
    <col min="5" max="5" style="14157" width="10.00390625" hidden="1" customWidth="1"/>
    <col min="6" max="6" style="14157" width="8.7109375" hidden="1" customWidth="1"/>
    <col min="7" max="7" style="14157" width="7.57421875" hidden="1" customWidth="1"/>
    <col min="8" max="8" style="14157" width="11.421875" hidden="1" customWidth="1"/>
    <col min="9" max="9" style="14157" width="14.140625" hidden="1" customWidth="1"/>
    <col min="10" max="10" style="14157" width="9.8515625" hidden="1" customWidth="1"/>
    <col min="11" max="11" style="14157" width="14.7109375" hidden="1" customWidth="1"/>
    <col min="12" max="12" style="14974" width="19.140625" hidden="1" customWidth="1"/>
    <col min="13" max="14" style="14975" width="12.28125" hidden="1" customWidth="1"/>
    <col min="15" max="15" style="14975" width="23.421875" hidden="1" customWidth="1"/>
    <col min="16" max="16" style="14976" width="3.00390625" customWidth="1"/>
    <col min="17" max="18" style="14977" width="3.00390625" customWidth="1"/>
    <col min="19" max="19" style="14978" width="12.00390625" customWidth="1"/>
    <col min="20" max="20" style="14077" width="35.00390625" customWidth="1"/>
    <col min="21" max="21" style="14077" width="0.140625" customWidth="1"/>
    <col min="22" max="24" style="14077" width="24.7109375" hidden="1" customWidth="1"/>
    <col min="25" max="25" style="14077" width="11.7109375" hidden="1" customWidth="1"/>
    <col min="26" max="26" style="14077" width="3.7109375" hidden="1" customWidth="1"/>
    <col min="27" max="27" style="14077" width="11.7109375" hidden="1" customWidth="1"/>
    <col min="28" max="28" style="14077" width="8.57421875" hidden="1" customWidth="1"/>
    <col min="29" max="29" style="14077" width="24.7109375" customWidth="1"/>
    <col min="30" max="31" style="14077" width="24.00390625" customWidth="1"/>
    <col min="32" max="32" style="14077" width="11.00390625" customWidth="1"/>
    <col min="33" max="33" style="14077" width="3.7109375" customWidth="1"/>
    <col min="34" max="34" style="14077" width="11.00390625" customWidth="1"/>
    <col min="35" max="35" style="14077" width="8.57421875" hidden="1" customWidth="1"/>
    <col min="36" max="36" style="14077" width="4.00390625" customWidth="1"/>
    <col min="37" max="37" style="14077" width="115.00390625" customWidth="1"/>
    <col min="38" max="42" style="14158" width="10.00390625" customWidth="1"/>
    <col min="43" max="43" style="14077" width="10.57421875" hidden="1"/>
  </cols>
  <sheetData>
    <row customHeight="1" ht="22.5" hidden="1">
      <c r="X1" s="611"/>
      <c r="Y1" s="611"/>
      <c r="AE1" s="611"/>
      <c r="AF1" s="611"/>
      <c r="AQ1" s="1439" t="s">
        <v>14</v>
      </c>
    </row>
    <row customHeight="1" ht="23.25" hidden="1">
      <c r="A2" s="1647"/>
      <c r="B2" s="1647"/>
      <c r="C2" s="1647"/>
      <c r="D2" s="1647"/>
      <c r="E2" s="2542">
        <v>1</v>
      </c>
      <c r="F2" s="1647"/>
      <c r="G2" s="1647"/>
      <c r="H2" s="1647"/>
      <c r="I2" s="1647"/>
      <c r="J2" s="1647"/>
      <c r="K2" s="1647"/>
      <c r="L2" s="1648"/>
      <c r="M2" s="1649"/>
      <c r="N2" s="1649"/>
      <c r="O2" s="1649"/>
      <c r="P2" s="645"/>
      <c r="Q2" s="644"/>
      <c r="R2" s="639"/>
      <c r="S2" s="1741">
        <f>INDEX(PT_DIFFERENTIATION_NUM_NTAR,MATCH(A2,PT_DIFFERENTIATION_NTAR_ID,0))</f>
      </c>
      <c r="T2" s="582" t="s">
        <v>124</v>
      </c>
      <c r="U2" s="584"/>
      <c r="V2" s="2526"/>
      <c r="W2" s="2527"/>
      <c r="X2" s="2527"/>
      <c r="Y2" s="2527"/>
      <c r="Z2" s="2527"/>
      <c r="AA2" s="2527"/>
      <c r="AB2" s="2528"/>
      <c r="AC2" s="2526">
        <f>INDEX(PT_DIFFERENTIATION_NTAR,MATCH(A2,PT_DIFFERENTIATION_NTAR_ID,0))</f>
      </c>
      <c r="AD2" s="2527"/>
      <c r="AE2" s="2527"/>
      <c r="AF2" s="2527"/>
      <c r="AG2" s="2527"/>
      <c r="AH2" s="2527"/>
      <c r="AI2" s="2527"/>
      <c r="AJ2" s="2528"/>
      <c r="AK2" s="154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784"/>
      <c r="AN2" s="784" t="str">
        <f>IF(T2="","",T2)</f>
        <v>Наименование тарифа</v>
      </c>
      <c r="AO2" s="784"/>
      <c r="AP2" s="784"/>
      <c r="AQ2" s="1439">
        <v>0</v>
      </c>
    </row>
    <row customHeight="1" ht="23.25" hidden="1">
      <c r="A3" s="1647"/>
      <c r="B3" s="1647"/>
      <c r="C3" s="1647"/>
      <c r="D3" s="1647"/>
      <c r="E3" s="2543"/>
      <c r="F3" s="2542">
        <v>1</v>
      </c>
      <c r="G3" s="1647"/>
      <c r="H3" s="1647"/>
      <c r="I3" s="1647"/>
      <c r="J3" s="1647"/>
      <c r="K3" s="1647"/>
      <c r="L3" s="1648"/>
      <c r="M3" s="1649"/>
      <c r="N3" s="1649"/>
      <c r="O3" s="1649"/>
      <c r="P3" s="1737"/>
      <c r="Q3" s="636"/>
      <c r="R3" s="637"/>
      <c r="S3" s="1741">
        <f>INDEX(PT_DIFFERENTIATION_NUM_TER,MATCH(B3,PT_DIFFERENTIATION_TER_ID,0))</f>
      </c>
      <c r="T3" s="592" t="s">
        <v>402</v>
      </c>
      <c r="U3" s="584"/>
      <c r="V3" s="2526"/>
      <c r="W3" s="2527"/>
      <c r="X3" s="2527"/>
      <c r="Y3" s="2527"/>
      <c r="Z3" s="2527"/>
      <c r="AA3" s="2527"/>
      <c r="AB3" s="2528"/>
      <c r="AC3" s="2526">
        <f>INDEX(PT_DIFFERENTIATION_TER,MATCH(B3,PT_DIFFERENTIATION_TER_ID,0))</f>
      </c>
      <c r="AD3" s="2527"/>
      <c r="AE3" s="2527"/>
      <c r="AF3" s="2527"/>
      <c r="AG3" s="2527"/>
      <c r="AH3" s="2527"/>
      <c r="AI3" s="2527"/>
      <c r="AJ3" s="2528"/>
      <c r="AK3" s="1542" t="s">
        <v>403</v>
      </c>
      <c r="AM3" s="784"/>
      <c r="AN3" s="784" t="str">
        <f>IF(T3="","",T3)</f>
        <v>Территория действия тарифа</v>
      </c>
      <c r="AO3" s="784"/>
      <c r="AP3" s="784"/>
      <c r="AQ3" s="1439">
        <v>0</v>
      </c>
    </row>
    <row customHeight="1" ht="23.25" hidden="1">
      <c r="A4" s="1647"/>
      <c r="B4" s="1647"/>
      <c r="C4" s="1647"/>
      <c r="D4" s="1647"/>
      <c r="E4" s="2543"/>
      <c r="F4" s="2543"/>
      <c r="G4" s="2542">
        <v>1</v>
      </c>
      <c r="H4" s="1647"/>
      <c r="I4" s="1647"/>
      <c r="J4" s="1647"/>
      <c r="K4" s="1647"/>
      <c r="L4" s="1648"/>
      <c r="M4" s="1649"/>
      <c r="N4" s="1649"/>
      <c r="O4" s="1649"/>
      <c r="P4" s="638"/>
      <c r="Q4" s="636"/>
      <c r="R4" s="637"/>
      <c r="S4" s="1741">
        <f>INDEX(PT_DIFFERENTIATION_NUM_CS,MATCH(C4,PT_DIFFERENTIATION_CS_ID,0))</f>
      </c>
      <c r="T4" s="593" t="s">
        <v>489</v>
      </c>
      <c r="U4" s="584"/>
      <c r="V4" s="2526"/>
      <c r="W4" s="2527"/>
      <c r="X4" s="2527"/>
      <c r="Y4" s="2527"/>
      <c r="Z4" s="2527"/>
      <c r="AA4" s="2527"/>
      <c r="AB4" s="2528"/>
      <c r="AC4" s="2526">
        <f>INDEX(PT_DIFFERENTIATION_CS,MATCH(C4,PT_DIFFERENTIATION_CS_ID,0))</f>
      </c>
      <c r="AD4" s="2527"/>
      <c r="AE4" s="2527"/>
      <c r="AF4" s="2527"/>
      <c r="AG4" s="2527"/>
      <c r="AH4" s="2527"/>
      <c r="AI4" s="2527"/>
      <c r="AJ4" s="2528"/>
      <c r="AK4" s="1542" t="s">
        <v>490</v>
      </c>
      <c r="AM4" s="784"/>
      <c r="AN4" s="784" t="str">
        <f>IF(T4="","",T4)</f>
        <v>Наименование централизованной системы холодного водоснабжения</v>
      </c>
      <c r="AO4" s="784"/>
      <c r="AP4" s="784"/>
      <c r="AQ4" s="1439">
        <v>0</v>
      </c>
    </row>
    <row customHeight="1" ht="23.25" hidden="1">
      <c r="A5" s="1647"/>
      <c r="B5" s="1647"/>
      <c r="C5" s="1647"/>
      <c r="D5" s="1647"/>
      <c r="E5" s="2543"/>
      <c r="F5" s="2543"/>
      <c r="G5" s="2543"/>
      <c r="H5" s="2543"/>
      <c r="I5" s="2540">
        <f>S4&amp;".1"</f>
      </c>
      <c r="J5" s="1647"/>
      <c r="K5" s="1647"/>
      <c r="L5" s="1648"/>
      <c r="P5" s="2541">
        <v>1</v>
      </c>
      <c r="Q5" s="1734"/>
      <c r="R5" s="640"/>
      <c r="S5" s="1741">
        <f>$I5</f>
      </c>
      <c r="T5" s="569" t="s">
        <v>491</v>
      </c>
      <c r="U5" s="584"/>
      <c r="V5" s="2634"/>
      <c r="W5" s="2635"/>
      <c r="X5" s="2635"/>
      <c r="Y5" s="2635"/>
      <c r="Z5" s="2635"/>
      <c r="AA5" s="2635"/>
      <c r="AB5" s="2636"/>
      <c r="AC5" s="2637"/>
      <c r="AD5" s="2638"/>
      <c r="AE5" s="2638"/>
      <c r="AF5" s="2638"/>
      <c r="AG5" s="2638"/>
      <c r="AH5" s="2638"/>
      <c r="AI5" s="2638"/>
      <c r="AJ5" s="2639"/>
      <c r="AK5" s="1542" t="s">
        <v>492</v>
      </c>
      <c r="AM5" s="784"/>
      <c r="AN5" s="784" t="str">
        <f>IF(T5="","",T5)</f>
        <v>Наименование признака дифференциации</v>
      </c>
      <c r="AO5" s="784"/>
      <c r="AP5" s="784"/>
      <c r="AQ5" s="1439">
        <v>0</v>
      </c>
    </row>
    <row customHeight="1" ht="23.25" hidden="1">
      <c r="A6" s="1647"/>
      <c r="B6" s="1647"/>
      <c r="C6" s="1647"/>
      <c r="D6" s="1647"/>
      <c r="E6" s="2543"/>
      <c r="F6" s="2543"/>
      <c r="G6" s="2543"/>
      <c r="H6" s="2543"/>
      <c r="I6" s="2570"/>
      <c r="J6" s="2540">
        <f>I5&amp;".1"</f>
      </c>
      <c r="K6" s="1647"/>
      <c r="L6" s="1648" t="s">
        <v>411</v>
      </c>
      <c r="P6" s="2541"/>
      <c r="Q6" s="2541">
        <v>1</v>
      </c>
      <c r="R6" s="641"/>
      <c r="S6" s="1741">
        <f>$J6</f>
      </c>
      <c r="T6" s="570" t="s">
        <v>412</v>
      </c>
      <c r="U6" s="584"/>
      <c r="V6" s="2529"/>
      <c r="W6" s="2530"/>
      <c r="X6" s="2530"/>
      <c r="Y6" s="2530"/>
      <c r="Z6" s="2530"/>
      <c r="AA6" s="2530"/>
      <c r="AB6" s="2531"/>
      <c r="AC6" s="2529"/>
      <c r="AD6" s="2530"/>
      <c r="AE6" s="2530"/>
      <c r="AF6" s="2530"/>
      <c r="AG6" s="2530"/>
      <c r="AH6" s="2530"/>
      <c r="AI6" s="2530"/>
      <c r="AJ6" s="2531"/>
      <c r="AK6" s="1591" t="s">
        <v>493</v>
      </c>
      <c r="AM6" s="784"/>
      <c r="AN6" s="784" t="str">
        <f>IF(T6="","",T6)</f>
        <v>Группа потребителей</v>
      </c>
      <c r="AO6" s="784"/>
      <c r="AP6" s="784"/>
      <c r="AQ6" s="1439">
        <v>0</v>
      </c>
    </row>
    <row customHeight="1" ht="23.25" hidden="1">
      <c r="A7" s="1647"/>
      <c r="B7" s="1647"/>
      <c r="C7" s="1647"/>
      <c r="D7" s="1647"/>
      <c r="E7" s="2543"/>
      <c r="F7" s="2543"/>
      <c r="G7" s="2543"/>
      <c r="H7" s="2543"/>
      <c r="I7" s="2570"/>
      <c r="J7" s="2570"/>
      <c r="K7" s="2540">
        <f>J6&amp;".1"</f>
      </c>
      <c r="L7" s="1648"/>
      <c r="P7" s="2541"/>
      <c r="Q7" s="2541"/>
      <c r="R7" s="641">
        <v>1</v>
      </c>
      <c r="S7" s="1741">
        <f>$K7</f>
      </c>
      <c r="T7" s="1721"/>
      <c r="U7" s="584"/>
      <c r="V7" s="1035"/>
      <c r="W7" s="1035"/>
      <c r="X7" s="1541"/>
      <c r="Y7" s="2549"/>
      <c r="Z7" s="2391" t="s">
        <v>67</v>
      </c>
      <c r="AA7" s="2549"/>
      <c r="AB7" s="2391" t="s">
        <v>67</v>
      </c>
      <c r="AC7" s="1035"/>
      <c r="AD7" s="1035"/>
      <c r="AE7" s="1541"/>
      <c r="AF7" s="2549"/>
      <c r="AG7" s="2391" t="s">
        <v>67</v>
      </c>
      <c r="AH7" s="2571"/>
      <c r="AI7" s="2391" t="s">
        <v>67</v>
      </c>
      <c r="AJ7" s="1722"/>
      <c r="AK7" s="263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795">
        <f>STRCHECKDATE(V8:AJ8)</f>
      </c>
      <c r="AM7" s="784"/>
      <c r="AN7" s="784" t="str">
        <f>IF(T7="","",T7)</f>
        <v/>
      </c>
      <c r="AO7" s="784"/>
      <c r="AP7" s="784"/>
      <c r="AQ7" s="1439">
        <v>0</v>
      </c>
    </row>
    <row customHeight="1" ht="14.25" hidden="1">
      <c r="A8" s="1647"/>
      <c r="B8" s="1647"/>
      <c r="C8" s="1647"/>
      <c r="D8" s="1647"/>
      <c r="E8" s="2543"/>
      <c r="F8" s="2543"/>
      <c r="G8" s="2543"/>
      <c r="H8" s="2543"/>
      <c r="I8" s="2570"/>
      <c r="J8" s="2570"/>
      <c r="K8" s="2540"/>
      <c r="L8" s="1648"/>
      <c r="P8" s="2541"/>
      <c r="Q8" s="2541"/>
      <c r="R8" s="641"/>
      <c r="S8" s="1740"/>
      <c r="T8" s="584"/>
      <c r="U8" s="584"/>
      <c r="V8" s="609"/>
      <c r="W8" s="609"/>
      <c r="X8" s="612" t="str">
        <f>Y7&amp;"-"&amp;AA7</f>
        <v>-</v>
      </c>
      <c r="Y8" s="2550"/>
      <c r="Z8" s="2391"/>
      <c r="AA8" s="2550"/>
      <c r="AB8" s="2391"/>
      <c r="AC8" s="609"/>
      <c r="AD8" s="609"/>
      <c r="AE8" s="612" t="str">
        <f>AF7&amp;"-"&amp;AH7</f>
        <v>-</v>
      </c>
      <c r="AF8" s="2550"/>
      <c r="AG8" s="2391"/>
      <c r="AH8" s="2572"/>
      <c r="AI8" s="2391"/>
      <c r="AJ8" s="1723"/>
      <c r="AK8" s="2633"/>
      <c r="AM8" s="784"/>
      <c r="AN8" s="784" t="str">
        <f>IF(T8="","",T8)</f>
        <v/>
      </c>
      <c r="AO8" s="784"/>
      <c r="AP8" s="784"/>
      <c r="AQ8" s="1439">
        <v>0</v>
      </c>
    </row>
    <row customHeight="1" ht="21" hidden="1">
      <c r="A9" s="1647"/>
      <c r="B9" s="1647"/>
      <c r="C9" s="1647"/>
      <c r="D9" s="1647"/>
      <c r="E9" s="2543"/>
      <c r="F9" s="2543"/>
      <c r="G9" s="2543"/>
      <c r="H9" s="2543"/>
      <c r="I9" s="2570"/>
      <c r="J9" s="2540"/>
      <c r="K9" s="1647"/>
      <c r="L9" s="1648"/>
      <c r="P9" s="2541"/>
      <c r="Q9" s="2541"/>
      <c r="R9" s="640"/>
      <c r="S9" s="1562"/>
      <c r="T9" s="571" t="s">
        <v>494</v>
      </c>
      <c r="U9" s="651"/>
      <c r="V9" s="651"/>
      <c r="W9" s="651"/>
      <c r="X9" s="651"/>
      <c r="Y9" s="651"/>
      <c r="Z9" s="651"/>
      <c r="AA9" s="651"/>
      <c r="AB9" s="651"/>
      <c r="AC9" s="651"/>
      <c r="AD9" s="651"/>
      <c r="AE9" s="651"/>
      <c r="AF9" s="651"/>
      <c r="AG9" s="651"/>
      <c r="AH9" s="651"/>
      <c r="AI9" s="651"/>
      <c r="AJ9" s="651"/>
      <c r="AK9" s="1542" t="s">
        <v>495</v>
      </c>
      <c r="AM9" s="784"/>
      <c r="AN9" s="784" t="str">
        <f>IF(T9="","",T9)</f>
        <v>Добавить значение признака дифференциации</v>
      </c>
      <c r="AO9" s="784"/>
      <c r="AP9" s="784"/>
      <c r="AQ9" s="1439">
        <v>0</v>
      </c>
    </row>
    <row customHeight="1" ht="21" hidden="1">
      <c r="A10" s="1647"/>
      <c r="B10" s="1647"/>
      <c r="C10" s="1647"/>
      <c r="D10" s="1647"/>
      <c r="E10" s="2543"/>
      <c r="F10" s="2543"/>
      <c r="G10" s="2543"/>
      <c r="H10" s="2543"/>
      <c r="I10" s="2540"/>
      <c r="J10" s="1647"/>
      <c r="K10" s="1647"/>
      <c r="L10" s="1648"/>
      <c r="P10" s="2541"/>
      <c r="Q10" s="1734"/>
      <c r="R10" s="640"/>
      <c r="S10" s="1562"/>
      <c r="T10" s="649" t="s">
        <v>417</v>
      </c>
      <c r="U10" s="651"/>
      <c r="V10" s="651"/>
      <c r="W10" s="651"/>
      <c r="X10" s="651"/>
      <c r="Y10" s="651"/>
      <c r="Z10" s="651"/>
      <c r="AA10" s="651"/>
      <c r="AB10" s="650"/>
      <c r="AC10" s="651"/>
      <c r="AD10" s="651"/>
      <c r="AE10" s="651"/>
      <c r="AF10" s="651"/>
      <c r="AG10" s="651"/>
      <c r="AH10" s="651"/>
      <c r="AI10" s="650"/>
      <c r="AJ10" s="651"/>
      <c r="AK10" s="1724"/>
      <c r="AM10" s="784"/>
      <c r="AN10" s="784" t="str">
        <f>IF(T10="","",T10)</f>
        <v>Добавить группу потребителей</v>
      </c>
      <c r="AO10" s="784"/>
      <c r="AP10" s="784"/>
      <c r="AQ10" s="1439">
        <v>0</v>
      </c>
    </row>
    <row customHeight="1" ht="21" hidden="1">
      <c r="A11" s="1647"/>
      <c r="B11" s="1647"/>
      <c r="C11" s="1647"/>
      <c r="D11" s="1647"/>
      <c r="E11" s="2543"/>
      <c r="F11" s="2543"/>
      <c r="G11" s="2543"/>
      <c r="H11" s="2542"/>
      <c r="I11" s="1647"/>
      <c r="J11" s="1647"/>
      <c r="K11" s="1647"/>
      <c r="L11" s="1648"/>
      <c r="M11" s="1649"/>
      <c r="N11" s="1649"/>
      <c r="O11" s="821"/>
      <c r="P11" s="644"/>
      <c r="Q11" s="659"/>
      <c r="R11" s="639"/>
      <c r="S11" s="1562"/>
      <c r="T11" s="656" t="s">
        <v>496</v>
      </c>
      <c r="U11" s="651"/>
      <c r="V11" s="651"/>
      <c r="W11" s="651"/>
      <c r="X11" s="651"/>
      <c r="Y11" s="651"/>
      <c r="Z11" s="651"/>
      <c r="AA11" s="651"/>
      <c r="AB11" s="650"/>
      <c r="AC11" s="651"/>
      <c r="AD11" s="651"/>
      <c r="AE11" s="651"/>
      <c r="AF11" s="651"/>
      <c r="AG11" s="651"/>
      <c r="AH11" s="651"/>
      <c r="AI11" s="650"/>
      <c r="AJ11" s="651"/>
      <c r="AK11" s="587"/>
      <c r="AM11" s="784"/>
      <c r="AN11" s="784" t="str">
        <f>IF(T11="","",T11)</f>
        <v>Добавить наименование признака дифференциации</v>
      </c>
      <c r="AO11" s="784"/>
      <c r="AP11" s="784"/>
      <c r="AQ11" s="1439">
        <v>0</v>
      </c>
    </row>
    <row s="14158" customFormat="1" customHeight="1" ht="14.25" hidden="1">
      <c r="A12" s="1627"/>
      <c r="B12" s="1627"/>
      <c r="C12" s="1598"/>
      <c r="D12" s="1598"/>
      <c r="E12" s="2543"/>
      <c r="F12" s="2542"/>
      <c r="G12" s="1598"/>
      <c r="H12" s="1598"/>
      <c r="I12" s="1598"/>
      <c r="J12" s="1598"/>
      <c r="K12" s="1598"/>
      <c r="L12" s="1742"/>
      <c r="M12" s="1605"/>
      <c r="N12" s="1605"/>
      <c r="P12" s="1600"/>
      <c r="Q12" s="1601"/>
      <c r="R12" s="1600"/>
      <c r="S12" s="1606"/>
      <c r="T12" s="1609" t="s">
        <v>170</v>
      </c>
      <c r="U12" s="1608"/>
      <c r="V12" s="1608"/>
      <c r="W12" s="1608"/>
      <c r="X12" s="1608"/>
      <c r="Y12" s="1608"/>
      <c r="Z12" s="1608"/>
      <c r="AA12" s="1608"/>
      <c r="AB12" s="1608"/>
      <c r="AC12" s="1608"/>
      <c r="AD12" s="1608"/>
      <c r="AE12" s="1608"/>
      <c r="AF12" s="1608"/>
      <c r="AG12" s="1608"/>
      <c r="AH12" s="1608"/>
      <c r="AI12" s="1608"/>
      <c r="AJ12" s="1608"/>
      <c r="AK12" s="1608"/>
      <c r="AM12" s="1073"/>
      <c r="AN12" s="1073" t="str">
        <f>IF(T12="","",T12)</f>
        <v>Добавить централизованную систему для дифференциации</v>
      </c>
      <c r="AO12" s="1073"/>
      <c r="AP12" s="1073"/>
      <c r="AQ12" s="802">
        <v>0</v>
      </c>
    </row>
    <row s="14158" customFormat="1" customHeight="1" ht="14.25" hidden="1">
      <c r="A13" s="1627"/>
      <c r="B13" s="1627"/>
      <c r="C13" s="1627"/>
      <c r="D13" s="1627"/>
      <c r="E13" s="2542"/>
      <c r="F13" s="1627"/>
      <c r="G13" s="1627"/>
      <c r="H13" s="1627"/>
      <c r="I13" s="1627"/>
      <c r="J13" s="1627"/>
      <c r="K13" s="1627"/>
      <c r="L13" s="1630"/>
      <c r="M13" s="1605"/>
      <c r="N13" s="1605"/>
      <c r="O13" s="802"/>
      <c r="P13" s="664"/>
      <c r="Q13" s="1628"/>
      <c r="R13" s="664"/>
      <c r="S13" s="1606"/>
      <c r="T13" s="1609" t="s">
        <v>171</v>
      </c>
      <c r="U13" s="1608"/>
      <c r="V13" s="1608"/>
      <c r="W13" s="1608"/>
      <c r="X13" s="1608"/>
      <c r="Y13" s="1608"/>
      <c r="Z13" s="1608"/>
      <c r="AA13" s="1608"/>
      <c r="AB13" s="1608"/>
      <c r="AC13" s="1608"/>
      <c r="AD13" s="1608"/>
      <c r="AE13" s="1608"/>
      <c r="AF13" s="1608"/>
      <c r="AG13" s="1608"/>
      <c r="AH13" s="1608"/>
      <c r="AI13" s="1608"/>
      <c r="AJ13" s="1608"/>
      <c r="AK13" s="1608"/>
      <c r="AM13" s="784"/>
      <c r="AN13" s="784" t="str">
        <f>IF(T13="","",T13)</f>
        <v>Добавить территорию для дифференциации</v>
      </c>
      <c r="AO13" s="784"/>
      <c r="AP13" s="784"/>
      <c r="AQ13" s="795">
        <v>0</v>
      </c>
    </row>
    <row customHeight="1" ht="14.25" hidden="1">
      <c r="AB14" s="611"/>
      <c r="AI14" s="611"/>
      <c r="AQ14" s="1439">
        <v>0</v>
      </c>
    </row>
    <row customHeight="1" ht="14.25" hidden="1">
      <c r="AC15" s="1644"/>
      <c r="AD15" s="1644"/>
      <c r="AE15" s="1645"/>
      <c r="AF15" s="2551"/>
      <c r="AG15" s="2552" t="s">
        <v>67</v>
      </c>
      <c r="AH15" s="2551"/>
      <c r="AI15" s="2552" t="s">
        <v>67</v>
      </c>
      <c r="AQ15" s="1439">
        <v>0</v>
      </c>
    </row>
    <row customHeight="1" ht="14.25" hidden="1">
      <c r="AC16" s="1644"/>
      <c r="AD16" s="1644"/>
      <c r="AE16" s="612" t="str">
        <f>AF15&amp;"-"&amp;AH15</f>
        <v>-</v>
      </c>
      <c r="AF16" s="2552"/>
      <c r="AG16" s="2552"/>
      <c r="AH16" s="2552"/>
      <c r="AI16" s="2552"/>
      <c r="AQ16" s="1439">
        <v>0</v>
      </c>
    </row>
    <row customHeight="1" ht="14.25" hidden="1">
      <c r="AI17" s="611"/>
      <c r="AQ17" s="1439">
        <v>0</v>
      </c>
    </row>
    <row s="14157" customFormat="1" customHeight="1" ht="22.5" hidden="1">
      <c r="L18" s="1731"/>
      <c r="M18" s="1646"/>
      <c r="N18" s="1646"/>
      <c r="O18" s="1651" t="s">
        <v>419</v>
      </c>
      <c r="P18" s="1646"/>
      <c r="Q18" s="1655"/>
      <c r="R18" s="1655"/>
      <c r="S18" s="1013"/>
      <c r="Y18" s="1651"/>
      <c r="AA18" s="1651"/>
      <c r="AB18" s="1650"/>
      <c r="AF18" s="1651"/>
      <c r="AH18" s="1651"/>
      <c r="AI18" s="1650"/>
      <c r="AL18" s="795"/>
      <c r="AM18" s="795"/>
      <c r="AN18" s="795"/>
      <c r="AO18" s="795"/>
      <c r="AP18" s="795"/>
      <c r="AQ18" s="1444">
        <v>0</v>
      </c>
    </row>
    <row s="14157" customFormat="1" customHeight="1" ht="14.25" hidden="1">
      <c r="L19" s="1731"/>
      <c r="M19" s="1646"/>
      <c r="N19" s="1646"/>
      <c r="O19" s="1646"/>
      <c r="P19" s="1646"/>
      <c r="Q19" s="1655"/>
      <c r="R19" s="1655"/>
      <c r="S19" s="1013"/>
      <c r="AB19" s="1650"/>
      <c r="AI19" s="1650"/>
      <c r="AL19" s="795"/>
      <c r="AM19" s="795"/>
      <c r="AN19" s="795"/>
      <c r="AO19" s="795"/>
      <c r="AP19" s="795"/>
      <c r="AQ19" s="1444">
        <v>0</v>
      </c>
    </row>
    <row s="14157" customFormat="1" customHeight="1" ht="12" hidden="1">
      <c r="L20" s="1731"/>
      <c r="M20" s="1646"/>
      <c r="N20" s="1646"/>
      <c r="O20" s="1648" t="s">
        <v>420</v>
      </c>
      <c r="P20" s="1646"/>
      <c r="Q20" s="1726"/>
      <c r="R20" s="1726"/>
      <c r="S20" s="1013"/>
      <c r="T20" s="1444" t="s">
        <v>421</v>
      </c>
      <c r="Z20" s="470" t="s">
        <v>422</v>
      </c>
      <c r="AB20" s="470" t="s">
        <v>423</v>
      </c>
      <c r="AC20" s="1444" t="s">
        <v>421</v>
      </c>
      <c r="AG20" s="470" t="s">
        <v>424</v>
      </c>
      <c r="AI20" s="470" t="s">
        <v>423</v>
      </c>
      <c r="AQ20" s="1444">
        <v>0</v>
      </c>
    </row>
    <row customHeight="1" ht="14.25" hidden="1">
      <c r="O21" s="1648"/>
      <c r="AQ21" s="1439">
        <v>0</v>
      </c>
    </row>
    <row customHeight="1" ht="14.25" hidden="1">
      <c r="O22" s="1648"/>
      <c r="AQ22" s="1439">
        <v>0</v>
      </c>
    </row>
    <row customHeight="1" ht="14.699999999999998">
      <c r="Q23" s="660"/>
      <c r="R23" s="660"/>
      <c r="S23" s="1559"/>
      <c r="T23" s="647"/>
      <c r="U23" s="647"/>
      <c r="V23" s="793"/>
      <c r="W23" s="793"/>
      <c r="X23" s="793"/>
      <c r="Y23" s="793"/>
      <c r="Z23" s="793"/>
      <c r="AA23" s="793"/>
      <c r="AB23" s="793"/>
      <c r="AC23" s="793"/>
      <c r="AD23" s="793"/>
      <c r="AE23" s="793"/>
      <c r="AF23" s="793"/>
      <c r="AG23" s="793"/>
      <c r="AH23" s="793"/>
      <c r="AI23" s="793"/>
      <c r="AQ23" s="1439">
        <v>14</v>
      </c>
    </row>
    <row customHeight="1" ht="14.699999999999998">
      <c r="Q24" s="660"/>
      <c r="R24" s="660"/>
      <c r="S24" s="2532"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532"/>
      <c r="U24" s="2532"/>
      <c r="V24" s="2532"/>
      <c r="W24" s="2532"/>
      <c r="X24" s="2532"/>
      <c r="Y24" s="2532"/>
      <c r="Z24" s="2532"/>
      <c r="AA24" s="2532"/>
      <c r="AB24" s="2532"/>
      <c r="AC24" s="2532"/>
      <c r="AD24" s="2532"/>
      <c r="AE24" s="2532"/>
      <c r="AF24" s="2532"/>
      <c r="AG24" s="2532"/>
      <c r="AH24" s="2532"/>
      <c r="AI24" s="1527"/>
      <c r="AQ24" s="1439">
        <v>14</v>
      </c>
    </row>
    <row customHeight="1" ht="14.699999999999998">
      <c r="Q25" s="660"/>
      <c r="R25" s="660"/>
      <c r="S25" s="2533" t="str">
        <f>IF(org=0,"Не определено",org)</f>
        <v>МУП г. Азова "Теплоэнерго"</v>
      </c>
      <c r="T25" s="2533"/>
      <c r="U25" s="2533"/>
      <c r="V25" s="2533"/>
      <c r="W25" s="2533"/>
      <c r="X25" s="2533"/>
      <c r="Y25" s="2533"/>
      <c r="Z25" s="2533"/>
      <c r="AA25" s="2533"/>
      <c r="AB25" s="2533"/>
      <c r="AC25" s="2533"/>
      <c r="AD25" s="2533"/>
      <c r="AE25" s="2533"/>
      <c r="AF25" s="2533"/>
      <c r="AG25" s="2533"/>
      <c r="AH25" s="2533"/>
      <c r="AI25" s="1527"/>
      <c r="AQ25" s="1439">
        <v>14</v>
      </c>
    </row>
    <row customHeight="1" ht="14.25" hidden="1">
      <c r="Q26" s="660"/>
      <c r="R26" s="660"/>
      <c r="S26" s="1559"/>
      <c r="T26" s="647"/>
      <c r="U26" s="647"/>
      <c r="V26" s="606"/>
      <c r="W26" s="606"/>
      <c r="X26" s="606"/>
      <c r="Y26" s="606"/>
      <c r="Z26" s="606"/>
      <c r="AA26" s="606"/>
      <c r="AB26" s="606"/>
      <c r="AC26" s="606"/>
      <c r="AD26" s="606"/>
      <c r="AE26" s="606"/>
      <c r="AF26" s="606"/>
      <c r="AG26" s="606"/>
      <c r="AH26" s="606"/>
      <c r="AI26" s="606"/>
      <c r="AJ26" s="793"/>
      <c r="AQ26" s="1439">
        <v>0</v>
      </c>
    </row>
    <row s="14284" customFormat="1" customHeight="1" ht="25.5" hidden="1">
      <c r="A27" s="1652"/>
      <c r="B27" s="1652"/>
      <c r="C27" s="1652"/>
      <c r="D27" s="1652"/>
      <c r="E27" s="1652"/>
      <c r="F27" s="1652"/>
      <c r="G27" s="1652"/>
      <c r="H27" s="1652"/>
      <c r="I27" s="1652"/>
      <c r="J27" s="1652"/>
      <c r="K27" s="1652"/>
      <c r="L27" s="1653"/>
      <c r="M27" s="1652"/>
      <c r="N27" s="1652"/>
      <c r="O27" s="1652"/>
      <c r="S27" s="2534" t="s">
        <v>42</v>
      </c>
      <c r="T27" s="2534"/>
      <c r="U27" s="1656"/>
      <c r="V27" s="2535" t="str">
        <f>IF(TITLE_NAME_OR_PR_CHANGE="",IF(TITLE_NAME_OR_PR="","",TITLE_NAME_OR_PR),TITLE_NAME_OR_PR_CHANGE)</f>
        <v/>
      </c>
      <c r="W27" s="2535"/>
      <c r="X27" s="2535"/>
      <c r="Y27" s="2535"/>
      <c r="Z27" s="2535"/>
      <c r="AA27" s="2535"/>
      <c r="AB27" s="610"/>
      <c r="AC27" s="2535" t="str">
        <f>IF(TITLE_NAME_OR_PR_CHANGE="",IF(TITLE_NAME_OR_PR="","",TITLE_NAME_OR_PR),TITLE_NAME_OR_PR_CHANGE)</f>
        <v/>
      </c>
      <c r="AD27" s="2535"/>
      <c r="AE27" s="2535"/>
      <c r="AF27" s="2535"/>
      <c r="AG27" s="2535"/>
      <c r="AH27" s="2535"/>
      <c r="AI27" s="610"/>
      <c r="AJ27" s="610"/>
      <c r="AK27" s="564"/>
      <c r="AL27" s="652"/>
      <c r="AM27" s="652"/>
      <c r="AN27" s="652"/>
      <c r="AO27" s="652"/>
      <c r="AP27" s="652"/>
      <c r="AQ27" s="702">
        <v>0</v>
      </c>
    </row>
    <row s="14284" customFormat="1" customHeight="1" ht="18.75" hidden="1">
      <c r="A28" s="1652"/>
      <c r="B28" s="1652"/>
      <c r="C28" s="1652"/>
      <c r="D28" s="1652"/>
      <c r="E28" s="1652"/>
      <c r="F28" s="1652"/>
      <c r="G28" s="1652"/>
      <c r="H28" s="1652"/>
      <c r="I28" s="1652"/>
      <c r="J28" s="1652"/>
      <c r="K28" s="1652"/>
      <c r="L28" s="1653"/>
      <c r="M28" s="1652"/>
      <c r="N28" s="1652"/>
      <c r="O28" s="1652"/>
      <c r="S28" s="2534" t="s">
        <v>425</v>
      </c>
      <c r="T28" s="2534"/>
      <c r="U28" s="1656"/>
      <c r="V28" s="2548" t="str">
        <f>IF(TITLE_DATE_PR_CHANGE="",IF(TITLE_DATE_PR="","",TITLE_DATE_PR),TITLE_DATE_PR_CHANGE)</f>
        <v>45471</v>
      </c>
      <c r="W28" s="2548"/>
      <c r="X28" s="2548"/>
      <c r="Y28" s="2548"/>
      <c r="Z28" s="2548"/>
      <c r="AA28" s="2548"/>
      <c r="AB28" s="610"/>
      <c r="AC28" s="2548" t="str">
        <f>IF(TITLE_DATE_PR_CHANGE="",IF(TITLE_DATE_PR="","",TITLE_DATE_PR),TITLE_DATE_PR_CHANGE)</f>
        <v>45471</v>
      </c>
      <c r="AD28" s="2548"/>
      <c r="AE28" s="2548"/>
      <c r="AF28" s="2548"/>
      <c r="AG28" s="2548"/>
      <c r="AH28" s="2548"/>
      <c r="AI28" s="610"/>
      <c r="AJ28" s="610"/>
      <c r="AK28" s="564"/>
      <c r="AL28" s="652"/>
      <c r="AM28" s="652"/>
      <c r="AN28" s="652"/>
      <c r="AO28" s="652"/>
      <c r="AP28" s="652"/>
      <c r="AQ28" s="702">
        <v>0</v>
      </c>
    </row>
    <row s="14284" customFormat="1" customHeight="1" ht="18.75" hidden="1">
      <c r="A29" s="1652"/>
      <c r="B29" s="1652"/>
      <c r="C29" s="1652"/>
      <c r="D29" s="1652"/>
      <c r="E29" s="1652"/>
      <c r="F29" s="1652"/>
      <c r="G29" s="1652"/>
      <c r="H29" s="1652"/>
      <c r="I29" s="1652"/>
      <c r="J29" s="1652"/>
      <c r="K29" s="1652"/>
      <c r="L29" s="1653"/>
      <c r="M29" s="1652"/>
      <c r="N29" s="1652"/>
      <c r="O29" s="1652"/>
      <c r="S29" s="2534" t="s">
        <v>426</v>
      </c>
      <c r="T29" s="2534"/>
      <c r="U29" s="1656"/>
      <c r="V29" s="2535" t="str">
        <f>IF(TITLE_NUMBER_PR_CHANGE="",IF(TITLE_NUMBER_PR="","",TITLE_NUMBER_PR),TITLE_NUMBER_PR_CHANGE)</f>
        <v>50/18-01/261</v>
      </c>
      <c r="W29" s="2535"/>
      <c r="X29" s="2535"/>
      <c r="Y29" s="2535"/>
      <c r="Z29" s="2535"/>
      <c r="AA29" s="2535"/>
      <c r="AB29" s="610"/>
      <c r="AC29" s="2535" t="str">
        <f>IF(TITLE_NUMBER_PR_CHANGE="",IF(TITLE_NUMBER_PR="","",TITLE_NUMBER_PR),TITLE_NUMBER_PR_CHANGE)</f>
        <v>50/18-01/261</v>
      </c>
      <c r="AD29" s="2535"/>
      <c r="AE29" s="2535"/>
      <c r="AF29" s="2535"/>
      <c r="AG29" s="2535"/>
      <c r="AH29" s="2535"/>
      <c r="AI29" s="610"/>
      <c r="AJ29" s="610"/>
      <c r="AK29" s="564"/>
      <c r="AL29" s="652"/>
      <c r="AM29" s="652"/>
      <c r="AN29" s="652"/>
      <c r="AO29" s="652"/>
      <c r="AP29" s="652"/>
      <c r="AQ29" s="702">
        <v>0</v>
      </c>
    </row>
    <row s="14284" customFormat="1" customHeight="1" ht="18.75" hidden="1">
      <c r="A30" s="1652"/>
      <c r="B30" s="1652"/>
      <c r="C30" s="1652"/>
      <c r="D30" s="1652"/>
      <c r="E30" s="1652"/>
      <c r="F30" s="1652"/>
      <c r="G30" s="1652"/>
      <c r="H30" s="1652"/>
      <c r="I30" s="1652"/>
      <c r="J30" s="1652"/>
      <c r="K30" s="1652"/>
      <c r="L30" s="1653"/>
      <c r="M30" s="1652"/>
      <c r="N30" s="1652"/>
      <c r="O30" s="1652"/>
      <c r="S30" s="2534" t="s">
        <v>43</v>
      </c>
      <c r="T30" s="2534"/>
      <c r="U30" s="1656"/>
      <c r="V30" s="2535" t="str">
        <f>IF(TITLE_IST_PUB_CHANGE="",IF(TITLE_IST_PUB="","",TITLE_IST_PUB),TITLE_IST_PUB_CHANGE)</f>
        <v/>
      </c>
      <c r="W30" s="2535"/>
      <c r="X30" s="2535"/>
      <c r="Y30" s="2535"/>
      <c r="Z30" s="2535"/>
      <c r="AA30" s="2535"/>
      <c r="AB30" s="610"/>
      <c r="AC30" s="2535" t="str">
        <f>IF(TITLE_IST_PUB_CHANGE="",IF(TITLE_IST_PUB="","",TITLE_IST_PUB),TITLE_IST_PUB_CHANGE)</f>
        <v/>
      </c>
      <c r="AD30" s="2535"/>
      <c r="AE30" s="2535"/>
      <c r="AF30" s="2535"/>
      <c r="AG30" s="2535"/>
      <c r="AH30" s="2535"/>
      <c r="AI30" s="610"/>
      <c r="AJ30" s="610"/>
      <c r="AK30" s="564"/>
      <c r="AL30" s="652"/>
      <c r="AM30" s="652"/>
      <c r="AN30" s="652"/>
      <c r="AO30" s="652"/>
      <c r="AP30" s="652"/>
      <c r="AQ30" s="702">
        <v>0</v>
      </c>
    </row>
    <row customHeight="1" ht="14.25">
      <c r="Q31" s="660"/>
      <c r="R31" s="660"/>
      <c r="S31" s="1559"/>
      <c r="T31" s="647"/>
      <c r="U31" s="647"/>
      <c r="V31" s="606"/>
      <c r="W31" s="606"/>
      <c r="X31" s="606"/>
      <c r="Y31" s="606"/>
      <c r="Z31" s="606"/>
      <c r="AA31" s="606"/>
      <c r="AB31" s="606"/>
      <c r="AC31" s="606"/>
      <c r="AD31" s="606"/>
      <c r="AE31" s="606"/>
      <c r="AF31" s="606"/>
      <c r="AG31" s="606"/>
      <c r="AH31" s="606"/>
      <c r="AI31" s="606"/>
      <c r="AJ31" s="793"/>
      <c r="AQ31" s="1439">
        <v>0</v>
      </c>
    </row>
    <row s="14284" customFormat="1" customHeight="1" ht="18.75">
      <c r="A32" s="1652"/>
      <c r="B32" s="1652"/>
      <c r="C32" s="1652"/>
      <c r="D32" s="1652"/>
      <c r="E32" s="1652"/>
      <c r="F32" s="1652"/>
      <c r="G32" s="1652"/>
      <c r="H32" s="1652"/>
      <c r="I32" s="1652"/>
      <c r="J32" s="1652"/>
      <c r="K32" s="1652"/>
      <c r="L32" s="1653"/>
      <c r="M32" s="1652"/>
      <c r="N32" s="1652"/>
      <c r="O32" s="1652"/>
      <c r="S32" s="2534" t="s">
        <v>427</v>
      </c>
      <c r="T32" s="2534"/>
      <c r="U32" s="1656"/>
      <c r="V32" s="2548" t="str">
        <f>IF(TITLE_DATE_PR_CHANGE="",IF(TITLE_DATE_PR="","",TITLE_DATE_PR),TITLE_DATE_PR_CHANGE)</f>
        <v>45471</v>
      </c>
      <c r="W32" s="2548"/>
      <c r="X32" s="2548"/>
      <c r="Y32" s="2548"/>
      <c r="Z32" s="2548"/>
      <c r="AA32" s="2548"/>
      <c r="AB32" s="610"/>
      <c r="AC32" s="2548" t="str">
        <f>IF(TITLE_DATE_PR_CHANGE="",IF(TITLE_DATE_PR="","",TITLE_DATE_PR),TITLE_DATE_PR_CHANGE)</f>
        <v>45471</v>
      </c>
      <c r="AD32" s="2548"/>
      <c r="AE32" s="2548"/>
      <c r="AF32" s="2548"/>
      <c r="AG32" s="2548"/>
      <c r="AH32" s="2548"/>
      <c r="AI32" s="610"/>
      <c r="AJ32" s="610"/>
      <c r="AK32" s="564"/>
      <c r="AL32" s="652"/>
      <c r="AM32" s="652"/>
      <c r="AN32" s="652"/>
      <c r="AO32" s="652"/>
      <c r="AP32" s="652"/>
      <c r="AQ32" s="702">
        <v>0</v>
      </c>
    </row>
    <row s="14284" customFormat="1" customHeight="1" ht="18.75">
      <c r="A33" s="1652"/>
      <c r="B33" s="1652"/>
      <c r="C33" s="1652"/>
      <c r="D33" s="1652"/>
      <c r="E33" s="1652"/>
      <c r="F33" s="1652"/>
      <c r="G33" s="1652"/>
      <c r="H33" s="1652"/>
      <c r="I33" s="1652"/>
      <c r="J33" s="1652"/>
      <c r="K33" s="1652"/>
      <c r="L33" s="1653"/>
      <c r="M33" s="1652"/>
      <c r="N33" s="1652"/>
      <c r="O33" s="1652"/>
      <c r="S33" s="2534" t="s">
        <v>428</v>
      </c>
      <c r="T33" s="2534"/>
      <c r="U33" s="1656"/>
      <c r="V33" s="2535" t="str">
        <f>IF(TITLE_NUMBER_PR_CHANGE="",IF(TITLE_NUMBER_PR="","",TITLE_NUMBER_PR),TITLE_NUMBER_PR_CHANGE)</f>
        <v>50/18-01/261</v>
      </c>
      <c r="W33" s="2535"/>
      <c r="X33" s="2535"/>
      <c r="Y33" s="2535"/>
      <c r="Z33" s="2535"/>
      <c r="AA33" s="2535"/>
      <c r="AB33" s="610"/>
      <c r="AC33" s="2535" t="str">
        <f>IF(TITLE_NUMBER_PR_CHANGE="",IF(TITLE_NUMBER_PR="","",TITLE_NUMBER_PR),TITLE_NUMBER_PR_CHANGE)</f>
        <v>50/18-01/261</v>
      </c>
      <c r="AD33" s="2535"/>
      <c r="AE33" s="2535"/>
      <c r="AF33" s="2535"/>
      <c r="AG33" s="2535"/>
      <c r="AH33" s="2535"/>
      <c r="AI33" s="610"/>
      <c r="AJ33" s="610"/>
      <c r="AK33" s="564"/>
      <c r="AL33" s="652"/>
      <c r="AM33" s="652"/>
      <c r="AN33" s="652"/>
      <c r="AO33" s="652"/>
      <c r="AP33" s="652"/>
      <c r="AQ33" s="702">
        <v>0</v>
      </c>
    </row>
    <row s="14284" customFormat="1" customHeight="1" ht="1.05">
      <c r="A34" s="1652"/>
      <c r="B34" s="1652"/>
      <c r="C34" s="1652"/>
      <c r="D34" s="1652"/>
      <c r="E34" s="1652"/>
      <c r="F34" s="1652"/>
      <c r="G34" s="1652"/>
      <c r="H34" s="1652"/>
      <c r="I34" s="1652"/>
      <c r="J34" s="1652"/>
      <c r="K34" s="1652"/>
      <c r="L34" s="1653"/>
      <c r="M34" s="1652"/>
      <c r="N34" s="1652"/>
      <c r="O34" s="1652"/>
      <c r="S34" s="607"/>
      <c r="T34" s="607"/>
      <c r="U34" s="1738"/>
      <c r="V34" s="610"/>
      <c r="W34" s="610"/>
      <c r="X34" s="610"/>
      <c r="Y34" s="610"/>
      <c r="Z34" s="610"/>
      <c r="AA34" s="610"/>
      <c r="AB34" s="562" t="s">
        <v>429</v>
      </c>
      <c r="AC34" s="610"/>
      <c r="AD34" s="610"/>
      <c r="AE34" s="610"/>
      <c r="AF34" s="610"/>
      <c r="AG34" s="610"/>
      <c r="AH34" s="610"/>
      <c r="AI34" s="562" t="s">
        <v>429</v>
      </c>
      <c r="AL34" s="652"/>
      <c r="AM34" s="652"/>
      <c r="AN34" s="652"/>
      <c r="AO34" s="652"/>
      <c r="AP34" s="652"/>
      <c r="AQ34" s="702">
        <v>1</v>
      </c>
    </row>
    <row customHeight="1" ht="14.699999999999998">
      <c r="Q35" s="660"/>
      <c r="R35" s="660"/>
      <c r="S35" s="1559"/>
      <c r="T35" s="647"/>
      <c r="U35" s="1528"/>
      <c r="V35" s="2536"/>
      <c r="W35" s="2536"/>
      <c r="X35" s="2536"/>
      <c r="Y35" s="2536"/>
      <c r="Z35" s="2536"/>
      <c r="AA35" s="2536"/>
      <c r="AB35" s="2536"/>
      <c r="AC35" s="2536"/>
      <c r="AD35" s="2536"/>
      <c r="AE35" s="2536"/>
      <c r="AF35" s="2536"/>
      <c r="AG35" s="2536"/>
      <c r="AH35" s="2536"/>
      <c r="AI35" s="2536"/>
      <c r="AQ35" s="1439">
        <v>14</v>
      </c>
    </row>
    <row customHeight="1" ht="14.699999999999998">
      <c r="Q36" s="660"/>
      <c r="R36" s="660"/>
      <c r="S36" s="2411" t="s">
        <v>305</v>
      </c>
      <c r="T36" s="2411"/>
      <c r="U36" s="2411"/>
      <c r="V36" s="2411"/>
      <c r="W36" s="2411"/>
      <c r="X36" s="2411"/>
      <c r="Y36" s="2411"/>
      <c r="Z36" s="2411"/>
      <c r="AA36" s="2411"/>
      <c r="AB36" s="2411"/>
      <c r="AC36" s="2411"/>
      <c r="AD36" s="2411"/>
      <c r="AE36" s="2411"/>
      <c r="AF36" s="2411"/>
      <c r="AG36" s="2411"/>
      <c r="AH36" s="2411"/>
      <c r="AI36" s="2411"/>
      <c r="AJ36" s="2411"/>
      <c r="AK36" s="2411" t="s">
        <v>306</v>
      </c>
      <c r="AQ36" s="1439">
        <v>14</v>
      </c>
    </row>
    <row customHeight="1" ht="14.699999999999998">
      <c r="Q37" s="660"/>
      <c r="R37" s="660"/>
      <c r="S37" s="2557" t="s">
        <v>89</v>
      </c>
      <c r="T37" s="2493" t="s">
        <v>430</v>
      </c>
      <c r="U37" s="585"/>
      <c r="V37" s="2558" t="s">
        <v>431</v>
      </c>
      <c r="W37" s="2559"/>
      <c r="X37" s="2559"/>
      <c r="Y37" s="2559"/>
      <c r="Z37" s="2559"/>
      <c r="AA37" s="2560"/>
      <c r="AB37" s="2561" t="s">
        <v>432</v>
      </c>
      <c r="AC37" s="2558" t="s">
        <v>431</v>
      </c>
      <c r="AD37" s="2559"/>
      <c r="AE37" s="2559"/>
      <c r="AF37" s="2559"/>
      <c r="AG37" s="2559"/>
      <c r="AH37" s="2560"/>
      <c r="AI37" s="2561" t="s">
        <v>433</v>
      </c>
      <c r="AJ37" s="2564" t="s">
        <v>434</v>
      </c>
      <c r="AK37" s="2411"/>
      <c r="AQ37" s="1439">
        <v>14</v>
      </c>
    </row>
    <row customHeight="1" ht="35.699999999999996">
      <c r="Q38" s="660"/>
      <c r="R38" s="660"/>
      <c r="S38" s="2557"/>
      <c r="T38" s="2493"/>
      <c r="U38" s="1315"/>
      <c r="V38" s="1736" t="s">
        <v>497</v>
      </c>
      <c r="W38" s="2546" t="s">
        <v>437</v>
      </c>
      <c r="X38" s="2547"/>
      <c r="Y38" s="2546" t="s">
        <v>438</v>
      </c>
      <c r="Z38" s="2553"/>
      <c r="AA38" s="2547"/>
      <c r="AB38" s="2562"/>
      <c r="AC38" s="1736" t="s">
        <v>497</v>
      </c>
      <c r="AD38" s="2546" t="s">
        <v>437</v>
      </c>
      <c r="AE38" s="2547"/>
      <c r="AF38" s="2546" t="s">
        <v>438</v>
      </c>
      <c r="AG38" s="2553"/>
      <c r="AH38" s="2547"/>
      <c r="AI38" s="2562"/>
      <c r="AJ38" s="2565"/>
      <c r="AK38" s="2411"/>
      <c r="AQ38" s="1439">
        <v>34</v>
      </c>
    </row>
    <row customHeight="1" ht="35.699999999999996">
      <c r="A39" s="1654"/>
      <c r="B39" s="1654" t="s">
        <v>136</v>
      </c>
      <c r="C39" s="1654" t="s">
        <v>137</v>
      </c>
      <c r="D39" s="1654" t="s">
        <v>138</v>
      </c>
      <c r="E39" s="1648" t="s">
        <v>439</v>
      </c>
      <c r="F39" s="1648" t="s">
        <v>440</v>
      </c>
      <c r="G39" s="1648" t="s">
        <v>441</v>
      </c>
      <c r="H39" s="1648"/>
      <c r="I39" s="1648" t="s">
        <v>498</v>
      </c>
      <c r="J39" s="1648" t="s">
        <v>444</v>
      </c>
      <c r="K39" s="1648" t="s">
        <v>499</v>
      </c>
      <c r="L39" s="1648" t="s">
        <v>420</v>
      </c>
      <c r="Q39" s="660"/>
      <c r="R39" s="660"/>
      <c r="S39" s="2557"/>
      <c r="T39" s="2493"/>
      <c r="U39" s="586"/>
      <c r="V39" s="1736" t="s">
        <v>500</v>
      </c>
      <c r="W39" s="1506" t="s">
        <v>501</v>
      </c>
      <c r="X39" s="1506" t="s">
        <v>502</v>
      </c>
      <c r="Y39" s="1739" t="s">
        <v>448</v>
      </c>
      <c r="Z39" s="2554" t="s">
        <v>449</v>
      </c>
      <c r="AA39" s="2555"/>
      <c r="AB39" s="2563"/>
      <c r="AC39" s="1736" t="s">
        <v>500</v>
      </c>
      <c r="AD39" s="1506" t="s">
        <v>501</v>
      </c>
      <c r="AE39" s="1506" t="s">
        <v>502</v>
      </c>
      <c r="AF39" s="1739" t="s">
        <v>448</v>
      </c>
      <c r="AG39" s="2554" t="s">
        <v>449</v>
      </c>
      <c r="AH39" s="2555"/>
      <c r="AI39" s="2563"/>
      <c r="AJ39" s="2566"/>
      <c r="AK39" s="2411"/>
      <c r="AQ39" s="1439">
        <v>34</v>
      </c>
    </row>
    <row s="14730" customFormat="1" customHeight="1" ht="0">
      <c r="A40" s="1654"/>
      <c r="B40" s="1654"/>
      <c r="C40" s="1654"/>
      <c r="D40" s="1654"/>
      <c r="E40" s="1654"/>
      <c r="F40" s="1654"/>
      <c r="G40" s="1654"/>
      <c r="H40" s="1654"/>
      <c r="I40" s="1654"/>
      <c r="J40" s="1654"/>
      <c r="K40" s="1654"/>
      <c r="L40" s="1648"/>
      <c r="M40" s="1646"/>
      <c r="N40" s="1646"/>
      <c r="O40" s="1646"/>
      <c r="P40" s="1530"/>
      <c r="Q40" s="1531"/>
      <c r="R40" s="1538">
        <v>1</v>
      </c>
      <c r="S40" s="1561" t="s">
        <v>110</v>
      </c>
      <c r="T40" s="1539" t="s">
        <v>111</v>
      </c>
      <c r="U40" s="1529" t="str">
        <f>OFFSET(U40,0,-1)</f>
        <v>2</v>
      </c>
      <c r="V40" s="1735">
        <f>OFFSET(V40,0,-1)+1</f>
        <v>3</v>
      </c>
      <c r="W40" s="1735">
        <f>OFFSET(W40,0,-1)+1</f>
        <v>4</v>
      </c>
      <c r="X40" s="1735">
        <f>OFFSET(X40,0,-1)+1</f>
        <v>5</v>
      </c>
      <c r="Y40" s="1735">
        <f>OFFSET(Y40,0,-1)+1</f>
        <v>6</v>
      </c>
      <c r="Z40" s="2556">
        <f>OFFSET(Z40,0,-1)+1</f>
        <v>7</v>
      </c>
      <c r="AA40" s="2556"/>
      <c r="AB40" s="1735">
        <f>OFFSET(AB40,0,-2)+1</f>
        <v>8</v>
      </c>
      <c r="AC40" s="1735">
        <f>OFFSET(AC40,0,-1)+1</f>
        <v>9</v>
      </c>
      <c r="AD40" s="1735">
        <f>OFFSET(AD40,0,-1)+1</f>
        <v>10</v>
      </c>
      <c r="AE40" s="1735">
        <f>OFFSET(AE40,0,-1)+1</f>
        <v>11</v>
      </c>
      <c r="AF40" s="1735">
        <f>OFFSET(AF40,0,-1)+1</f>
        <v>12</v>
      </c>
      <c r="AG40" s="2556">
        <f>OFFSET(AG40,0,-1)+1</f>
        <v>13</v>
      </c>
      <c r="AH40" s="2556"/>
      <c r="AI40" s="1735">
        <f>OFFSET(AI40,0,-2)+1</f>
        <v>14</v>
      </c>
      <c r="AJ40" s="1529">
        <f>OFFSET(AJ40,0,-1)</f>
        <v>14</v>
      </c>
      <c r="AK40" s="1735">
        <f>OFFSET(AK40,0,-1)+1</f>
        <v>15</v>
      </c>
      <c r="AL40" s="795"/>
      <c r="AM40" s="795"/>
      <c r="AN40" s="795"/>
      <c r="AO40" s="795"/>
      <c r="AP40" s="795"/>
      <c r="AQ40" s="780">
        <v>0</v>
      </c>
    </row>
    <row customHeight="1" ht="24">
      <c r="A41" s="1647" t="s">
        <v>236</v>
      </c>
      <c r="B41" s="1647"/>
      <c r="C41" s="1647"/>
      <c r="D41" s="1647"/>
      <c r="E41" s="2542">
        <v>1</v>
      </c>
      <c r="F41" s="1647"/>
      <c r="G41" s="1647"/>
      <c r="H41" s="1647"/>
      <c r="I41" s="1647"/>
      <c r="J41" s="1647"/>
      <c r="K41" s="1647"/>
      <c r="L41" s="1648"/>
      <c r="M41" s="1649"/>
      <c r="N41" s="1649"/>
      <c r="O41" s="1649"/>
      <c r="P41" s="645"/>
      <c r="Q41" s="644"/>
      <c r="R41" s="639"/>
      <c r="S41" s="1741">
        <f>INDEX(PT_DIFFERENTIATION_NUM_NTAR,MATCH(A41,PT_DIFFERENTIATION_NTAR_ID,0))</f>
        <v>0</v>
      </c>
      <c r="T41" s="582" t="s">
        <v>124</v>
      </c>
      <c r="U41" s="584"/>
      <c r="V41" s="2526"/>
      <c r="W41" s="2527"/>
      <c r="X41" s="2527"/>
      <c r="Y41" s="2527"/>
      <c r="Z41" s="2527"/>
      <c r="AA41" s="2527"/>
      <c r="AB41" s="2528"/>
      <c r="AC41" s="2526" t="str">
        <f>INDEX(PT_DIFFERENTIATION_NTAR,MATCH(A41,PT_DIFFERENTIATION_NTAR_ID,0))</f>
        <v/>
      </c>
      <c r="AD41" s="2527"/>
      <c r="AE41" s="2527"/>
      <c r="AF41" s="2527"/>
      <c r="AG41" s="2527"/>
      <c r="AH41" s="2527"/>
      <c r="AI41" s="2527"/>
      <c r="AJ41" s="2528"/>
      <c r="AK41" s="154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784"/>
      <c r="AN41" s="784" t="str">
        <f>IF(T41="","",T41)</f>
        <v>Наименование тарифа</v>
      </c>
      <c r="AO41" s="784"/>
      <c r="AP41" s="784"/>
      <c r="AQ41" s="1439">
        <v>23</v>
      </c>
    </row>
    <row customHeight="1" ht="24">
      <c r="A42" s="1647" t="s">
        <v>236</v>
      </c>
      <c r="B42" s="1647" t="s">
        <v>237</v>
      </c>
      <c r="C42" s="1647"/>
      <c r="D42" s="1647"/>
      <c r="E42" s="2543"/>
      <c r="F42" s="2542">
        <v>1</v>
      </c>
      <c r="G42" s="1647"/>
      <c r="H42" s="1647"/>
      <c r="I42" s="1647"/>
      <c r="J42" s="1647"/>
      <c r="K42" s="1647"/>
      <c r="L42" s="1648"/>
      <c r="M42" s="1649"/>
      <c r="N42" s="1649"/>
      <c r="O42" s="1649"/>
      <c r="P42" s="1737"/>
      <c r="Q42" s="636"/>
      <c r="R42" s="637"/>
      <c r="S42" s="1741" t="str">
        <f>INDEX(PT_DIFFERENTIATION_NUM_TER,MATCH(B42,PT_DIFFERENTIATION_TER_ID,0))</f>
        <v>.</v>
      </c>
      <c r="T42" s="592" t="s">
        <v>402</v>
      </c>
      <c r="U42" s="584"/>
      <c r="V42" s="2526"/>
      <c r="W42" s="2527"/>
      <c r="X42" s="2527"/>
      <c r="Y42" s="2527"/>
      <c r="Z42" s="2527"/>
      <c r="AA42" s="2527"/>
      <c r="AB42" s="2528"/>
      <c r="AC42" s="2526" t="str">
        <f>INDEX(PT_DIFFERENTIATION_TER,MATCH(B42,PT_DIFFERENTIATION_TER_ID,0))</f>
        <v/>
      </c>
      <c r="AD42" s="2527"/>
      <c r="AE42" s="2527"/>
      <c r="AF42" s="2527"/>
      <c r="AG42" s="2527"/>
      <c r="AH42" s="2527"/>
      <c r="AI42" s="2527"/>
      <c r="AJ42" s="2528"/>
      <c r="AK42" s="1542" t="s">
        <v>403</v>
      </c>
      <c r="AM42" s="784"/>
      <c r="AN42" s="784" t="str">
        <f>IF(T42="","",T42)</f>
        <v>Территория действия тарифа</v>
      </c>
      <c r="AO42" s="784"/>
      <c r="AP42" s="784"/>
      <c r="AQ42" s="1439">
        <v>23</v>
      </c>
    </row>
    <row customHeight="1" ht="24">
      <c r="A43" s="1647" t="s">
        <v>236</v>
      </c>
      <c r="B43" s="1647" t="s">
        <v>237</v>
      </c>
      <c r="C43" s="1647" t="s">
        <v>238</v>
      </c>
      <c r="D43" s="1647"/>
      <c r="E43" s="2543"/>
      <c r="F43" s="2543"/>
      <c r="G43" s="2542">
        <v>1</v>
      </c>
      <c r="H43" s="1647"/>
      <c r="I43" s="1647"/>
      <c r="J43" s="1647"/>
      <c r="K43" s="1647"/>
      <c r="L43" s="1648"/>
      <c r="M43" s="1649"/>
      <c r="N43" s="1649"/>
      <c r="O43" s="1649"/>
      <c r="P43" s="638"/>
      <c r="Q43" s="636"/>
      <c r="R43" s="637"/>
      <c r="S43" s="1741" t="str">
        <f>INDEX(PT_DIFFERENTIATION_NUM_CS,MATCH(C43,PT_DIFFERENTIATION_CS_ID,0))</f>
        <v>..</v>
      </c>
      <c r="T43" s="593" t="s">
        <v>489</v>
      </c>
      <c r="U43" s="584"/>
      <c r="V43" s="2526"/>
      <c r="W43" s="2527"/>
      <c r="X43" s="2527"/>
      <c r="Y43" s="2527"/>
      <c r="Z43" s="2527"/>
      <c r="AA43" s="2527"/>
      <c r="AB43" s="2528"/>
      <c r="AC43" s="2526" t="str">
        <f>INDEX(PT_DIFFERENTIATION_CS,MATCH(C43,PT_DIFFERENTIATION_CS_ID,0))</f>
        <v/>
      </c>
      <c r="AD43" s="2527"/>
      <c r="AE43" s="2527"/>
      <c r="AF43" s="2527"/>
      <c r="AG43" s="2527"/>
      <c r="AH43" s="2527"/>
      <c r="AI43" s="2527"/>
      <c r="AJ43" s="2528"/>
      <c r="AK43" s="1542" t="s">
        <v>490</v>
      </c>
      <c r="AM43" s="784"/>
      <c r="AN43" s="784" t="str">
        <f>IF(T43="","",T43)</f>
        <v>Наименование централизованной системы холодного водоснабжения</v>
      </c>
      <c r="AO43" s="784"/>
      <c r="AP43" s="784"/>
      <c r="AQ43" s="1439">
        <v>23</v>
      </c>
    </row>
    <row customHeight="1" ht="24">
      <c r="A44" s="1647" t="s">
        <v>236</v>
      </c>
      <c r="B44" s="1647" t="s">
        <v>237</v>
      </c>
      <c r="C44" s="1647" t="s">
        <v>238</v>
      </c>
      <c r="D44" s="1647" t="s">
        <v>504</v>
      </c>
      <c r="E44" s="2543"/>
      <c r="F44" s="2543"/>
      <c r="G44" s="2543"/>
      <c r="H44" s="2543"/>
      <c r="I44" s="2540" t="str">
        <f>S43&amp;".1"</f>
        <v>...1</v>
      </c>
      <c r="J44" s="1647"/>
      <c r="K44" s="1647"/>
      <c r="L44" s="1648"/>
      <c r="P44" s="2541">
        <v>1</v>
      </c>
      <c r="Q44" s="1734"/>
      <c r="R44" s="640"/>
      <c r="S44" s="1741" t="str">
        <f>$I44</f>
        <v>...1</v>
      </c>
      <c r="T44" s="569" t="s">
        <v>491</v>
      </c>
      <c r="U44" s="584"/>
      <c r="V44" s="2634"/>
      <c r="W44" s="2635"/>
      <c r="X44" s="2635"/>
      <c r="Y44" s="2635"/>
      <c r="Z44" s="2635"/>
      <c r="AA44" s="2635"/>
      <c r="AB44" s="2636"/>
      <c r="AC44" s="2637"/>
      <c r="AD44" s="2638"/>
      <c r="AE44" s="2638"/>
      <c r="AF44" s="2638"/>
      <c r="AG44" s="2638"/>
      <c r="AH44" s="2638"/>
      <c r="AI44" s="2638"/>
      <c r="AJ44" s="2639"/>
      <c r="AK44" s="1542" t="s">
        <v>492</v>
      </c>
      <c r="AM44" s="784"/>
      <c r="AN44" s="784" t="str">
        <f>IF(T44="","",T44)</f>
        <v>Наименование признака дифференциации</v>
      </c>
      <c r="AO44" s="784"/>
      <c r="AP44" s="784"/>
      <c r="AQ44" s="1439">
        <v>23</v>
      </c>
    </row>
    <row customHeight="1" ht="24">
      <c r="A45" s="1647" t="s">
        <v>236</v>
      </c>
      <c r="B45" s="1647" t="s">
        <v>237</v>
      </c>
      <c r="C45" s="1647" t="s">
        <v>238</v>
      </c>
      <c r="D45" s="1647" t="s">
        <v>504</v>
      </c>
      <c r="E45" s="2543"/>
      <c r="F45" s="2543"/>
      <c r="G45" s="2543"/>
      <c r="H45" s="2543"/>
      <c r="I45" s="2570"/>
      <c r="J45" s="2540" t="str">
        <f>I44&amp;".1"</f>
        <v>...1.1</v>
      </c>
      <c r="K45" s="1647"/>
      <c r="L45" s="1648" t="s">
        <v>411</v>
      </c>
      <c r="P45" s="2541"/>
      <c r="Q45" s="2541">
        <v>1</v>
      </c>
      <c r="R45" s="641"/>
      <c r="S45" s="1741" t="str">
        <f>$J45</f>
        <v>...1.1</v>
      </c>
      <c r="T45" s="570" t="s">
        <v>412</v>
      </c>
      <c r="U45" s="584"/>
      <c r="V45" s="2529"/>
      <c r="W45" s="2530"/>
      <c r="X45" s="2530"/>
      <c r="Y45" s="2530"/>
      <c r="Z45" s="2530"/>
      <c r="AA45" s="2530"/>
      <c r="AB45" s="2531"/>
      <c r="AC45" s="2529"/>
      <c r="AD45" s="2530"/>
      <c r="AE45" s="2530"/>
      <c r="AF45" s="2530"/>
      <c r="AG45" s="2530"/>
      <c r="AH45" s="2530"/>
      <c r="AI45" s="2530"/>
      <c r="AJ45" s="2531"/>
      <c r="AK45" s="1591" t="s">
        <v>493</v>
      </c>
      <c r="AM45" s="784"/>
      <c r="AN45" s="784" t="str">
        <f>IF(T45="","",T45)</f>
        <v>Группа потребителей</v>
      </c>
      <c r="AO45" s="784"/>
      <c r="AP45" s="784"/>
      <c r="AQ45" s="1439">
        <v>23</v>
      </c>
    </row>
    <row customHeight="1" ht="24">
      <c r="A46" s="1647" t="s">
        <v>236</v>
      </c>
      <c r="B46" s="1647" t="s">
        <v>237</v>
      </c>
      <c r="C46" s="1647" t="s">
        <v>238</v>
      </c>
      <c r="D46" s="1647" t="s">
        <v>504</v>
      </c>
      <c r="E46" s="2543"/>
      <c r="F46" s="2543"/>
      <c r="G46" s="2543"/>
      <c r="H46" s="2543"/>
      <c r="I46" s="2570"/>
      <c r="J46" s="2570"/>
      <c r="K46" s="2540" t="str">
        <f>J45&amp;".1"</f>
        <v>...1.1.1</v>
      </c>
      <c r="L46" s="1648"/>
      <c r="P46" s="2541"/>
      <c r="Q46" s="2541"/>
      <c r="R46" s="641">
        <v>1</v>
      </c>
      <c r="S46" s="1741" t="str">
        <f>$K46</f>
        <v>...1.1.1</v>
      </c>
      <c r="T46" s="1721"/>
      <c r="U46" s="584"/>
      <c r="V46" s="1035"/>
      <c r="W46" s="1035"/>
      <c r="X46" s="1541"/>
      <c r="Y46" s="2549"/>
      <c r="Z46" s="2391" t="s">
        <v>67</v>
      </c>
      <c r="AA46" s="2549"/>
      <c r="AB46" s="2391" t="s">
        <v>67</v>
      </c>
      <c r="AC46" s="1035"/>
      <c r="AD46" s="1035"/>
      <c r="AE46" s="1541"/>
      <c r="AF46" s="2549"/>
      <c r="AG46" s="2391" t="s">
        <v>67</v>
      </c>
      <c r="AH46" s="2571"/>
      <c r="AI46" s="2391" t="s">
        <v>67</v>
      </c>
      <c r="AJ46" s="1722"/>
      <c r="AK46" s="263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795">
        <f>STRCHECKDATE(V47:AJ47)</f>
      </c>
      <c r="AM46" s="784"/>
      <c r="AN46" s="784" t="str">
        <f>IF(T46="","",T46)</f>
        <v/>
      </c>
      <c r="AO46" s="784"/>
      <c r="AP46" s="784"/>
      <c r="AQ46" s="1439">
        <v>23</v>
      </c>
    </row>
    <row customHeight="1" ht="0">
      <c r="A47" s="1647" t="s">
        <v>236</v>
      </c>
      <c r="B47" s="1647" t="s">
        <v>237</v>
      </c>
      <c r="C47" s="1647" t="s">
        <v>238</v>
      </c>
      <c r="D47" s="1647" t="s">
        <v>504</v>
      </c>
      <c r="E47" s="2543"/>
      <c r="F47" s="2543"/>
      <c r="G47" s="2543"/>
      <c r="H47" s="2543"/>
      <c r="I47" s="2570"/>
      <c r="J47" s="2570"/>
      <c r="K47" s="2540"/>
      <c r="L47" s="1648"/>
      <c r="P47" s="2541"/>
      <c r="Q47" s="2541"/>
      <c r="R47" s="641"/>
      <c r="S47" s="1740"/>
      <c r="T47" s="584"/>
      <c r="U47" s="584"/>
      <c r="V47" s="609"/>
      <c r="W47" s="609"/>
      <c r="X47" s="612" t="str">
        <f>Y46&amp;"-"&amp;AA46</f>
        <v>-</v>
      </c>
      <c r="Y47" s="2550"/>
      <c r="Z47" s="2391"/>
      <c r="AA47" s="2550"/>
      <c r="AB47" s="2391"/>
      <c r="AC47" s="609"/>
      <c r="AD47" s="609"/>
      <c r="AE47" s="612" t="str">
        <f>AF46&amp;"-"&amp;AH46</f>
        <v>-</v>
      </c>
      <c r="AF47" s="2550"/>
      <c r="AG47" s="2391"/>
      <c r="AH47" s="2572"/>
      <c r="AI47" s="2391"/>
      <c r="AJ47" s="1723"/>
      <c r="AK47" s="2633"/>
      <c r="AM47" s="784"/>
      <c r="AN47" s="784" t="str">
        <f>IF(T47="","",T47)</f>
        <v/>
      </c>
      <c r="AO47" s="784"/>
      <c r="AP47" s="784"/>
      <c r="AQ47" s="1439">
        <v>0</v>
      </c>
    </row>
    <row customHeight="1" ht="21">
      <c r="A48" s="1647" t="s">
        <v>236</v>
      </c>
      <c r="B48" s="1647" t="s">
        <v>237</v>
      </c>
      <c r="C48" s="1647" t="s">
        <v>238</v>
      </c>
      <c r="D48" s="1647" t="s">
        <v>504</v>
      </c>
      <c r="E48" s="2543"/>
      <c r="F48" s="2543"/>
      <c r="G48" s="2543"/>
      <c r="H48" s="2543"/>
      <c r="I48" s="2570"/>
      <c r="J48" s="2540"/>
      <c r="K48" s="1647"/>
      <c r="L48" s="1648"/>
      <c r="P48" s="2541"/>
      <c r="Q48" s="2541"/>
      <c r="R48" s="640"/>
      <c r="S48" s="1562"/>
      <c r="T48" s="571" t="s">
        <v>494</v>
      </c>
      <c r="U48" s="651"/>
      <c r="V48" s="651"/>
      <c r="W48" s="651"/>
      <c r="X48" s="651"/>
      <c r="Y48" s="651"/>
      <c r="Z48" s="651"/>
      <c r="AA48" s="651"/>
      <c r="AB48" s="651"/>
      <c r="AC48" s="651"/>
      <c r="AD48" s="651"/>
      <c r="AE48" s="651"/>
      <c r="AF48" s="651"/>
      <c r="AG48" s="651"/>
      <c r="AH48" s="651"/>
      <c r="AI48" s="651"/>
      <c r="AJ48" s="651"/>
      <c r="AK48" s="1542" t="s">
        <v>495</v>
      </c>
      <c r="AM48" s="784"/>
      <c r="AN48" s="784" t="str">
        <f>IF(T48="","",T48)</f>
        <v>Добавить значение признака дифференциации</v>
      </c>
      <c r="AO48" s="784"/>
      <c r="AP48" s="784"/>
      <c r="AQ48" s="1439">
        <v>20</v>
      </c>
    </row>
    <row customHeight="1" ht="22.049999999999997">
      <c r="A49" s="1647" t="s">
        <v>236</v>
      </c>
      <c r="B49" s="1647" t="s">
        <v>237</v>
      </c>
      <c r="C49" s="1647" t="s">
        <v>238</v>
      </c>
      <c r="D49" s="1647" t="s">
        <v>504</v>
      </c>
      <c r="E49" s="2543"/>
      <c r="F49" s="2543"/>
      <c r="G49" s="2543"/>
      <c r="H49" s="2543"/>
      <c r="I49" s="2540"/>
      <c r="J49" s="1647"/>
      <c r="K49" s="1647"/>
      <c r="L49" s="1648"/>
      <c r="P49" s="2541"/>
      <c r="Q49" s="1734"/>
      <c r="R49" s="640"/>
      <c r="S49" s="1562"/>
      <c r="T49" s="649" t="s">
        <v>417</v>
      </c>
      <c r="U49" s="651"/>
      <c r="V49" s="651"/>
      <c r="W49" s="651"/>
      <c r="X49" s="651"/>
      <c r="Y49" s="651"/>
      <c r="Z49" s="651"/>
      <c r="AA49" s="651"/>
      <c r="AB49" s="650"/>
      <c r="AC49" s="651"/>
      <c r="AD49" s="651"/>
      <c r="AE49" s="651"/>
      <c r="AF49" s="651"/>
      <c r="AG49" s="651"/>
      <c r="AH49" s="651"/>
      <c r="AI49" s="650"/>
      <c r="AJ49" s="651"/>
      <c r="AK49" s="1724"/>
      <c r="AM49" s="784"/>
      <c r="AN49" s="784" t="str">
        <f>IF(T49="","",T49)</f>
        <v>Добавить группу потребителей</v>
      </c>
      <c r="AO49" s="784"/>
      <c r="AP49" s="784"/>
      <c r="AQ49" s="1439">
        <v>21</v>
      </c>
    </row>
    <row customHeight="1" ht="22.049999999999997">
      <c r="A50" s="1647" t="s">
        <v>236</v>
      </c>
      <c r="B50" s="1647" t="s">
        <v>237</v>
      </c>
      <c r="C50" s="1647" t="s">
        <v>238</v>
      </c>
      <c r="D50" s="1647" t="s">
        <v>504</v>
      </c>
      <c r="E50" s="2543"/>
      <c r="F50" s="2543"/>
      <c r="G50" s="2543"/>
      <c r="H50" s="2542"/>
      <c r="I50" s="1647"/>
      <c r="J50" s="1647"/>
      <c r="K50" s="1647"/>
      <c r="L50" s="1648"/>
      <c r="M50" s="1649"/>
      <c r="N50" s="1649"/>
      <c r="O50" s="821"/>
      <c r="P50" s="644"/>
      <c r="Q50" s="659"/>
      <c r="R50" s="639"/>
      <c r="S50" s="1562"/>
      <c r="T50" s="656" t="s">
        <v>496</v>
      </c>
      <c r="U50" s="651"/>
      <c r="V50" s="651"/>
      <c r="W50" s="651"/>
      <c r="X50" s="651"/>
      <c r="Y50" s="651"/>
      <c r="Z50" s="651"/>
      <c r="AA50" s="651"/>
      <c r="AB50" s="650"/>
      <c r="AC50" s="651"/>
      <c r="AD50" s="651"/>
      <c r="AE50" s="651"/>
      <c r="AF50" s="651"/>
      <c r="AG50" s="651"/>
      <c r="AH50" s="651"/>
      <c r="AI50" s="650"/>
      <c r="AJ50" s="651"/>
      <c r="AK50" s="587"/>
      <c r="AM50" s="784"/>
      <c r="AN50" s="784" t="str">
        <f>IF(T50="","",T50)</f>
        <v>Добавить наименование признака дифференциации</v>
      </c>
      <c r="AO50" s="784"/>
      <c r="AP50" s="784"/>
      <c r="AQ50" s="1439">
        <v>21</v>
      </c>
    </row>
    <row s="14158" customFormat="1" customHeight="1" ht="0">
      <c r="A51" s="1627" t="s">
        <v>236</v>
      </c>
      <c r="B51" s="1627" t="s">
        <v>237</v>
      </c>
      <c r="C51" s="1598"/>
      <c r="D51" s="1598"/>
      <c r="E51" s="2543"/>
      <c r="F51" s="2542"/>
      <c r="G51" s="1598"/>
      <c r="H51" s="1598"/>
      <c r="I51" s="1598"/>
      <c r="J51" s="1598"/>
      <c r="K51" s="1598"/>
      <c r="L51" s="1742"/>
      <c r="M51" s="1605"/>
      <c r="N51" s="1605"/>
      <c r="P51" s="1600"/>
      <c r="Q51" s="1601"/>
      <c r="R51" s="1600"/>
      <c r="S51" s="1606"/>
      <c r="T51" s="1609" t="s">
        <v>170</v>
      </c>
      <c r="U51" s="1608"/>
      <c r="V51" s="1608"/>
      <c r="W51" s="1608"/>
      <c r="X51" s="1608"/>
      <c r="Y51" s="1608"/>
      <c r="Z51" s="1608"/>
      <c r="AA51" s="1608"/>
      <c r="AB51" s="1608"/>
      <c r="AC51" s="1608"/>
      <c r="AD51" s="1608"/>
      <c r="AE51" s="1608"/>
      <c r="AF51" s="1608"/>
      <c r="AG51" s="1608"/>
      <c r="AH51" s="1608"/>
      <c r="AI51" s="1608"/>
      <c r="AJ51" s="1608"/>
      <c r="AK51" s="1608"/>
      <c r="AM51" s="1073"/>
      <c r="AN51" s="1073" t="str">
        <f>IF(T51="","",T51)</f>
        <v>Добавить централизованную систему для дифференциации</v>
      </c>
      <c r="AO51" s="1073"/>
      <c r="AP51" s="1073"/>
      <c r="AQ51" s="802">
        <v>0</v>
      </c>
    </row>
    <row s="14158" customFormat="1" customHeight="1" ht="0">
      <c r="A52" s="1627" t="s">
        <v>236</v>
      </c>
      <c r="B52" s="1627"/>
      <c r="C52" s="1627"/>
      <c r="D52" s="1627"/>
      <c r="E52" s="2542"/>
      <c r="F52" s="1627"/>
      <c r="G52" s="1627"/>
      <c r="H52" s="1627"/>
      <c r="I52" s="1627"/>
      <c r="J52" s="1627"/>
      <c r="K52" s="1627"/>
      <c r="L52" s="1630"/>
      <c r="M52" s="1605"/>
      <c r="N52" s="1605"/>
      <c r="O52" s="802"/>
      <c r="P52" s="664"/>
      <c r="Q52" s="1628"/>
      <c r="R52" s="664"/>
      <c r="S52" s="1606"/>
      <c r="T52" s="1609" t="s">
        <v>171</v>
      </c>
      <c r="U52" s="1608"/>
      <c r="V52" s="1608"/>
      <c r="W52" s="1608"/>
      <c r="X52" s="1608"/>
      <c r="Y52" s="1608"/>
      <c r="Z52" s="1608"/>
      <c r="AA52" s="1608"/>
      <c r="AB52" s="1608"/>
      <c r="AC52" s="1608"/>
      <c r="AD52" s="1608"/>
      <c r="AE52" s="1608"/>
      <c r="AF52" s="1608"/>
      <c r="AG52" s="1608"/>
      <c r="AH52" s="1608"/>
      <c r="AI52" s="1608"/>
      <c r="AJ52" s="1608"/>
      <c r="AK52" s="1608"/>
      <c r="AM52" s="784"/>
      <c r="AN52" s="784" t="str">
        <f>IF(T52="","",T52)</f>
        <v>Добавить территорию для дифференциации</v>
      </c>
      <c r="AO52" s="784"/>
      <c r="AP52" s="784"/>
      <c r="AQ52" s="795">
        <v>0</v>
      </c>
    </row>
    <row s="14158" customFormat="1" customHeight="1" ht="0">
      <c r="A53" s="1598"/>
      <c r="B53" s="1598"/>
      <c r="C53" s="1598"/>
      <c r="D53" s="1598"/>
      <c r="E53" s="1627"/>
      <c r="F53" s="1598"/>
      <c r="G53" s="1598"/>
      <c r="H53" s="1598"/>
      <c r="I53" s="1598"/>
      <c r="J53" s="1598"/>
      <c r="K53" s="1598"/>
      <c r="L53" s="1742"/>
      <c r="M53" s="1605"/>
      <c r="N53" s="1605"/>
      <c r="P53" s="1600"/>
      <c r="Q53" s="1601"/>
      <c r="R53" s="1600"/>
      <c r="S53" s="1606"/>
      <c r="T53" s="1609" t="s">
        <v>172</v>
      </c>
      <c r="U53" s="1608"/>
      <c r="V53" s="1608"/>
      <c r="W53" s="1608"/>
      <c r="X53" s="1608"/>
      <c r="Y53" s="1608"/>
      <c r="Z53" s="1608"/>
      <c r="AA53" s="1608"/>
      <c r="AB53" s="1608"/>
      <c r="AC53" s="1608"/>
      <c r="AD53" s="1608"/>
      <c r="AE53" s="1608"/>
      <c r="AF53" s="1608"/>
      <c r="AG53" s="1608"/>
      <c r="AH53" s="1608"/>
      <c r="AI53" s="1608"/>
      <c r="AJ53" s="1608"/>
      <c r="AK53" s="1608"/>
      <c r="AM53" s="1073"/>
      <c r="AN53" s="1073" t="str">
        <f>IF(T53="","",T53)</f>
        <v>Добавить наименование тарифа</v>
      </c>
      <c r="AO53" s="1073"/>
      <c r="AP53" s="1073"/>
      <c r="AQ53" s="802">
        <v>0</v>
      </c>
    </row>
    <row customHeight="1" ht="11.549999999999999">
      <c r="M54" s="1444"/>
      <c r="N54" s="1444"/>
      <c r="O54" s="821"/>
      <c r="P54" s="1439"/>
      <c r="Q54" s="1439"/>
      <c r="R54" s="1439"/>
      <c r="S54" s="1439"/>
      <c r="AL54" s="1439"/>
      <c r="AM54" s="1439"/>
      <c r="AN54" s="1439"/>
      <c r="AO54" s="1439"/>
      <c r="AP54" s="1439"/>
      <c r="AQ54" s="1439">
        <v>11</v>
      </c>
    </row>
    <row customHeight="1" ht="14.699999999999998">
      <c r="O55" s="821"/>
      <c r="S55" s="1537"/>
      <c r="T55" s="2569"/>
      <c r="U55" s="2569"/>
      <c r="V55" s="2569"/>
      <c r="W55" s="2569"/>
      <c r="X55" s="2569"/>
      <c r="Y55" s="2569"/>
      <c r="Z55" s="2569"/>
      <c r="AA55" s="2569"/>
      <c r="AB55" s="2569"/>
      <c r="AC55" s="2569"/>
      <c r="AD55" s="2569"/>
      <c r="AE55" s="2569"/>
      <c r="AF55" s="2569"/>
      <c r="AG55" s="2569"/>
      <c r="AH55" s="2569"/>
      <c r="AI55" s="2569"/>
      <c r="AJ55" s="2569"/>
      <c r="AK55" s="2569"/>
      <c r="AQ55" s="1439">
        <v>14</v>
      </c>
    </row>
    <row customHeight="1" ht="14.699999999999998">
      <c r="O56" s="821"/>
      <c r="AQ56" s="1439">
        <v>14</v>
      </c>
    </row>
    <row customHeight="1" ht="14.699999999999998">
      <c r="O57" s="821"/>
      <c r="S57" s="1537"/>
      <c r="T57" s="2569"/>
      <c r="U57" s="2569"/>
      <c r="V57" s="2569"/>
      <c r="W57" s="2569"/>
      <c r="X57" s="2569"/>
      <c r="Y57" s="2569"/>
      <c r="Z57" s="2569"/>
      <c r="AA57" s="2569"/>
      <c r="AB57" s="2569"/>
      <c r="AC57" s="2569"/>
      <c r="AD57" s="2569"/>
      <c r="AE57" s="2569"/>
      <c r="AF57" s="2569"/>
      <c r="AG57" s="2569"/>
      <c r="AH57" s="2569"/>
      <c r="AI57" s="2569"/>
      <c r="AJ57" s="2569"/>
      <c r="AK57" s="2569"/>
      <c r="AQ57" s="1439">
        <v>14</v>
      </c>
    </row>
    <row customHeight="1" ht="22.5" hidden="1">
      <c r="A58" s="1444" t="s">
        <v>83</v>
      </c>
      <c r="B58" s="1444">
        <v>0</v>
      </c>
      <c r="C58" s="1444">
        <v>0</v>
      </c>
      <c r="D58" s="1444">
        <v>0</v>
      </c>
      <c r="E58" s="1444">
        <v>0</v>
      </c>
      <c r="F58" s="1444">
        <v>0</v>
      </c>
      <c r="G58" s="1444">
        <v>0</v>
      </c>
      <c r="H58" s="1444">
        <v>0</v>
      </c>
      <c r="I58" s="1444">
        <v>0</v>
      </c>
      <c r="J58" s="1444">
        <v>0</v>
      </c>
      <c r="K58" s="1444">
        <v>0</v>
      </c>
      <c r="L58" s="1731">
        <v>0</v>
      </c>
      <c r="M58" s="1646">
        <v>0</v>
      </c>
      <c r="N58" s="1646">
        <v>0</v>
      </c>
      <c r="O58" s="1646">
        <v>0</v>
      </c>
      <c r="P58" s="1730">
        <v>3</v>
      </c>
      <c r="Q58" s="628">
        <v>3</v>
      </c>
      <c r="R58" s="628">
        <v>3</v>
      </c>
      <c r="S58" s="865">
        <v>12</v>
      </c>
      <c r="T58" s="1439">
        <v>35</v>
      </c>
      <c r="U58" s="1439">
        <v>0</v>
      </c>
      <c r="V58" s="1439">
        <v>0</v>
      </c>
      <c r="W58" s="1439">
        <v>0</v>
      </c>
      <c r="X58" s="1439">
        <v>0</v>
      </c>
      <c r="Y58" s="1439">
        <v>0</v>
      </c>
      <c r="Z58" s="1439">
        <v>0</v>
      </c>
      <c r="AA58" s="1439">
        <v>0</v>
      </c>
      <c r="AB58" s="1439">
        <v>0</v>
      </c>
      <c r="AC58" s="1439">
        <v>24</v>
      </c>
      <c r="AD58" s="1439">
        <v>24</v>
      </c>
      <c r="AE58" s="1439">
        <v>24</v>
      </c>
      <c r="AF58" s="1439">
        <v>11</v>
      </c>
      <c r="AG58" s="1439">
        <v>3</v>
      </c>
      <c r="AH58" s="1439">
        <v>11</v>
      </c>
      <c r="AI58" s="1439">
        <v>0</v>
      </c>
      <c r="AJ58" s="1439">
        <v>4</v>
      </c>
      <c r="AK58" s="1439">
        <v>115</v>
      </c>
      <c r="AL58" s="795">
        <v>10</v>
      </c>
      <c r="AM58" s="795">
        <v>10</v>
      </c>
      <c r="AN58" s="795">
        <v>10</v>
      </c>
      <c r="AO58" s="795">
        <v>10</v>
      </c>
      <c r="AP58" s="795">
        <v>10</v>
      </c>
      <c r="AQ58" s="1439">
        <v>23</v>
      </c>
    </row>
  </sheetData>
  <sheetProtection formatColumns="0" formatRows="0" autoFilter="0" sort="0" insertRows="0" insertColumns="1" deleteRows="0" deleteColumns="0"/>
  <mergeCells count="101">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AK7:AK8"/>
    <mergeCell ref="AF15:AF16"/>
    <mergeCell ref="AG15:AG16"/>
    <mergeCell ref="AH15:AH16"/>
    <mergeCell ref="AI15:AI16"/>
    <mergeCell ref="Z46:Z47"/>
    <mergeCell ref="AC45:AJ45"/>
    <mergeCell ref="AA46:AA47"/>
    <mergeCell ref="AB46:AB47"/>
    <mergeCell ref="AF46:AF47"/>
    <mergeCell ref="AK46:AK47"/>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s>
  <dataValidations count="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463CA68-EC7C-FE88-315D-B561F61212B8}"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4157" width="10.57421875" hidden="1"/>
    <col min="2" max="2" style="14157" width="11.00390625" hidden="1" customWidth="1"/>
    <col min="3" max="3" style="14157" width="10.57421875" hidden="1"/>
    <col min="4" max="4" style="14157" width="11.8515625" hidden="1" customWidth="1"/>
    <col min="5" max="5" style="14157" width="10.00390625" hidden="1" customWidth="1"/>
    <col min="6" max="6" style="14157" width="8.7109375" hidden="1" customWidth="1"/>
    <col min="7" max="7" style="14157" width="7.57421875" hidden="1" customWidth="1"/>
    <col min="8" max="8" style="14157" width="11.421875" hidden="1" customWidth="1"/>
    <col min="9" max="9" style="14157" width="14.140625" hidden="1" customWidth="1"/>
    <col min="10" max="10" style="14157" width="9.8515625" hidden="1" customWidth="1"/>
    <col min="11" max="11" style="14157" width="14.7109375" hidden="1" customWidth="1"/>
    <col min="12" max="12" style="14974" width="19.140625" hidden="1" customWidth="1"/>
    <col min="13" max="14" style="14975" width="12.28125" hidden="1" customWidth="1"/>
    <col min="15" max="15" style="14975" width="23.421875" hidden="1" customWidth="1"/>
    <col min="16" max="16" style="14976" width="3.00390625" customWidth="1"/>
    <col min="17" max="18" style="14977" width="3.00390625" customWidth="1"/>
    <col min="19" max="19" style="14978" width="12.00390625" customWidth="1"/>
    <col min="20" max="20" style="14077" width="35.00390625" customWidth="1"/>
    <col min="21" max="21" style="14077" width="0.140625" customWidth="1"/>
    <col min="22" max="24" style="14077" width="24.7109375" hidden="1" customWidth="1"/>
    <col min="25" max="25" style="14077" width="11.7109375" hidden="1" customWidth="1"/>
    <col min="26" max="26" style="14077" width="3.7109375" hidden="1" customWidth="1"/>
    <col min="27" max="27" style="14077" width="11.7109375" hidden="1" customWidth="1"/>
    <col min="28" max="28" style="14077" width="8.57421875" hidden="1" customWidth="1"/>
    <col min="29" max="29" style="14077" width="24.7109375" customWidth="1"/>
    <col min="30" max="31" style="14077" width="24.00390625" customWidth="1"/>
    <col min="32" max="32" style="14077" width="11.00390625" customWidth="1"/>
    <col min="33" max="33" style="14077" width="3.7109375" customWidth="1"/>
    <col min="34" max="34" style="14077" width="11.00390625" customWidth="1"/>
    <col min="35" max="35" style="14077" width="8.57421875" hidden="1" customWidth="1"/>
    <col min="36" max="36" style="14077" width="4.00390625" customWidth="1"/>
    <col min="37" max="37" style="14077" width="115.00390625" customWidth="1"/>
    <col min="38" max="42" style="14158" width="10.00390625" customWidth="1"/>
    <col min="43" max="43" style="14077" width="10.57421875" hidden="1"/>
  </cols>
  <sheetData>
    <row customHeight="1" ht="22.5" hidden="1">
      <c r="X1" s="611"/>
      <c r="Y1" s="611"/>
      <c r="AE1" s="611"/>
      <c r="AF1" s="611"/>
      <c r="AQ1" s="1439" t="s">
        <v>14</v>
      </c>
    </row>
    <row customHeight="1" ht="23.25" hidden="1">
      <c r="A2" s="1647"/>
      <c r="B2" s="1647"/>
      <c r="C2" s="1647"/>
      <c r="D2" s="1647"/>
      <c r="E2" s="2542">
        <v>1</v>
      </c>
      <c r="F2" s="1647"/>
      <c r="G2" s="1647"/>
      <c r="H2" s="1647"/>
      <c r="I2" s="1647"/>
      <c r="J2" s="1647"/>
      <c r="K2" s="1647"/>
      <c r="L2" s="1648"/>
      <c r="M2" s="1649"/>
      <c r="N2" s="1649"/>
      <c r="O2" s="1649"/>
      <c r="P2" s="645"/>
      <c r="Q2" s="644"/>
      <c r="R2" s="639"/>
      <c r="S2" s="1741">
        <f>INDEX(PT_DIFFERENTIATION_NUM_NTAR,MATCH(A2,PT_DIFFERENTIATION_NTAR_ID,0))</f>
      </c>
      <c r="T2" s="582" t="s">
        <v>124</v>
      </c>
      <c r="U2" s="584"/>
      <c r="V2" s="2526"/>
      <c r="W2" s="2527"/>
      <c r="X2" s="2527"/>
      <c r="Y2" s="2527"/>
      <c r="Z2" s="2527"/>
      <c r="AA2" s="2527"/>
      <c r="AB2" s="2528"/>
      <c r="AC2" s="2526">
        <f>INDEX(PT_DIFFERENTIATION_NTAR,MATCH(A2,PT_DIFFERENTIATION_NTAR_ID,0))</f>
      </c>
      <c r="AD2" s="2527"/>
      <c r="AE2" s="2527"/>
      <c r="AF2" s="2527"/>
      <c r="AG2" s="2527"/>
      <c r="AH2" s="2527"/>
      <c r="AI2" s="2527"/>
      <c r="AJ2" s="2528"/>
      <c r="AK2" s="154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784"/>
      <c r="AN2" s="784" t="str">
        <f>IF(T2="","",T2)</f>
        <v>Наименование тарифа</v>
      </c>
      <c r="AO2" s="784"/>
      <c r="AP2" s="784"/>
      <c r="AQ2" s="1439">
        <v>0</v>
      </c>
    </row>
    <row customHeight="1" ht="23.25" hidden="1">
      <c r="A3" s="1647"/>
      <c r="B3" s="1647"/>
      <c r="C3" s="1647"/>
      <c r="D3" s="1647"/>
      <c r="E3" s="2543"/>
      <c r="F3" s="2542">
        <v>1</v>
      </c>
      <c r="G3" s="1647"/>
      <c r="H3" s="1647"/>
      <c r="I3" s="1647"/>
      <c r="J3" s="1647"/>
      <c r="K3" s="1647"/>
      <c r="L3" s="1648"/>
      <c r="M3" s="1649"/>
      <c r="N3" s="1649"/>
      <c r="O3" s="1649"/>
      <c r="P3" s="1737"/>
      <c r="Q3" s="636"/>
      <c r="R3" s="637"/>
      <c r="S3" s="1741">
        <f>INDEX(PT_DIFFERENTIATION_NUM_TER,MATCH(B3,PT_DIFFERENTIATION_TER_ID,0))</f>
      </c>
      <c r="T3" s="592" t="s">
        <v>402</v>
      </c>
      <c r="U3" s="584"/>
      <c r="V3" s="2526"/>
      <c r="W3" s="2527"/>
      <c r="X3" s="2527"/>
      <c r="Y3" s="2527"/>
      <c r="Z3" s="2527"/>
      <c r="AA3" s="2527"/>
      <c r="AB3" s="2528"/>
      <c r="AC3" s="2526">
        <f>INDEX(PT_DIFFERENTIATION_TER,MATCH(B3,PT_DIFFERENTIATION_TER_ID,0))</f>
      </c>
      <c r="AD3" s="2527"/>
      <c r="AE3" s="2527"/>
      <c r="AF3" s="2527"/>
      <c r="AG3" s="2527"/>
      <c r="AH3" s="2527"/>
      <c r="AI3" s="2527"/>
      <c r="AJ3" s="2528"/>
      <c r="AK3" s="1542" t="s">
        <v>403</v>
      </c>
      <c r="AM3" s="784"/>
      <c r="AN3" s="784" t="str">
        <f>IF(T3="","",T3)</f>
        <v>Территория действия тарифа</v>
      </c>
      <c r="AO3" s="784"/>
      <c r="AP3" s="784"/>
      <c r="AQ3" s="1439">
        <v>0</v>
      </c>
    </row>
    <row customHeight="1" ht="23.25" hidden="1">
      <c r="A4" s="1647"/>
      <c r="B4" s="1647"/>
      <c r="C4" s="1647"/>
      <c r="D4" s="1647"/>
      <c r="E4" s="2543"/>
      <c r="F4" s="2543"/>
      <c r="G4" s="2542">
        <v>1</v>
      </c>
      <c r="H4" s="1647"/>
      <c r="I4" s="1647"/>
      <c r="J4" s="1647"/>
      <c r="K4" s="1647"/>
      <c r="L4" s="1648"/>
      <c r="M4" s="1649"/>
      <c r="N4" s="1649"/>
      <c r="O4" s="1649"/>
      <c r="P4" s="638"/>
      <c r="Q4" s="636"/>
      <c r="R4" s="637"/>
      <c r="S4" s="1741">
        <f>INDEX(PT_DIFFERENTIATION_NUM_CS,MATCH(C4,PT_DIFFERENTIATION_CS_ID,0))</f>
      </c>
      <c r="T4" s="593" t="s">
        <v>489</v>
      </c>
      <c r="U4" s="584"/>
      <c r="V4" s="2526"/>
      <c r="W4" s="2527"/>
      <c r="X4" s="2527"/>
      <c r="Y4" s="2527"/>
      <c r="Z4" s="2527"/>
      <c r="AA4" s="2527"/>
      <c r="AB4" s="2528"/>
      <c r="AC4" s="2526">
        <f>INDEX(PT_DIFFERENTIATION_CS,MATCH(C4,PT_DIFFERENTIATION_CS_ID,0))</f>
      </c>
      <c r="AD4" s="2527"/>
      <c r="AE4" s="2527"/>
      <c r="AF4" s="2527"/>
      <c r="AG4" s="2527"/>
      <c r="AH4" s="2527"/>
      <c r="AI4" s="2527"/>
      <c r="AJ4" s="2528"/>
      <c r="AK4" s="1542" t="s">
        <v>490</v>
      </c>
      <c r="AM4" s="784"/>
      <c r="AN4" s="784" t="str">
        <f>IF(T4="","",T4)</f>
        <v>Наименование централизованной системы холодного водоснабжения</v>
      </c>
      <c r="AO4" s="784"/>
      <c r="AP4" s="784"/>
      <c r="AQ4" s="1439">
        <v>0</v>
      </c>
    </row>
    <row customHeight="1" ht="23.25" hidden="1">
      <c r="A5" s="1647"/>
      <c r="B5" s="1647"/>
      <c r="C5" s="1647"/>
      <c r="D5" s="1647"/>
      <c r="E5" s="2543"/>
      <c r="F5" s="2543"/>
      <c r="G5" s="2543"/>
      <c r="H5" s="2543"/>
      <c r="I5" s="2540">
        <f>S4&amp;".1"</f>
      </c>
      <c r="J5" s="1647"/>
      <c r="K5" s="1647"/>
      <c r="L5" s="1648"/>
      <c r="P5" s="2541">
        <v>1</v>
      </c>
      <c r="Q5" s="1734"/>
      <c r="R5" s="640"/>
      <c r="S5" s="1741">
        <f>$I5</f>
      </c>
      <c r="T5" s="569" t="s">
        <v>491</v>
      </c>
      <c r="U5" s="584"/>
      <c r="V5" s="2634"/>
      <c r="W5" s="2635"/>
      <c r="X5" s="2635"/>
      <c r="Y5" s="2635"/>
      <c r="Z5" s="2635"/>
      <c r="AA5" s="2635"/>
      <c r="AB5" s="2636"/>
      <c r="AC5" s="2637"/>
      <c r="AD5" s="2638"/>
      <c r="AE5" s="2638"/>
      <c r="AF5" s="2638"/>
      <c r="AG5" s="2638"/>
      <c r="AH5" s="2638"/>
      <c r="AI5" s="2638"/>
      <c r="AJ5" s="2639"/>
      <c r="AK5" s="1542" t="s">
        <v>492</v>
      </c>
      <c r="AM5" s="784"/>
      <c r="AN5" s="784" t="str">
        <f>IF(T5="","",T5)</f>
        <v>Наименование признака дифференциации</v>
      </c>
      <c r="AO5" s="784"/>
      <c r="AP5" s="784"/>
      <c r="AQ5" s="1439">
        <v>0</v>
      </c>
    </row>
    <row customHeight="1" ht="23.25" hidden="1">
      <c r="A6" s="1647"/>
      <c r="B6" s="1647"/>
      <c r="C6" s="1647"/>
      <c r="D6" s="1647"/>
      <c r="E6" s="2543"/>
      <c r="F6" s="2543"/>
      <c r="G6" s="2543"/>
      <c r="H6" s="2543"/>
      <c r="I6" s="2570"/>
      <c r="J6" s="2540">
        <f>I5&amp;".1"</f>
      </c>
      <c r="K6" s="1647"/>
      <c r="L6" s="1648" t="s">
        <v>411</v>
      </c>
      <c r="P6" s="2541"/>
      <c r="Q6" s="2541">
        <v>1</v>
      </c>
      <c r="R6" s="641"/>
      <c r="S6" s="1741">
        <f>$J6</f>
      </c>
      <c r="T6" s="570" t="s">
        <v>412</v>
      </c>
      <c r="U6" s="584"/>
      <c r="V6" s="2529"/>
      <c r="W6" s="2530"/>
      <c r="X6" s="2530"/>
      <c r="Y6" s="2530"/>
      <c r="Z6" s="2530"/>
      <c r="AA6" s="2530"/>
      <c r="AB6" s="2531"/>
      <c r="AC6" s="2529"/>
      <c r="AD6" s="2530"/>
      <c r="AE6" s="2530"/>
      <c r="AF6" s="2530"/>
      <c r="AG6" s="2530"/>
      <c r="AH6" s="2530"/>
      <c r="AI6" s="2530"/>
      <c r="AJ6" s="2531"/>
      <c r="AK6" s="1591" t="s">
        <v>493</v>
      </c>
      <c r="AM6" s="784"/>
      <c r="AN6" s="784" t="str">
        <f>IF(T6="","",T6)</f>
        <v>Группа потребителей</v>
      </c>
      <c r="AO6" s="784"/>
      <c r="AP6" s="784"/>
      <c r="AQ6" s="1439">
        <v>0</v>
      </c>
    </row>
    <row customHeight="1" ht="23.25" hidden="1">
      <c r="A7" s="1647"/>
      <c r="B7" s="1647"/>
      <c r="C7" s="1647"/>
      <c r="D7" s="1647"/>
      <c r="E7" s="2543"/>
      <c r="F7" s="2543"/>
      <c r="G7" s="2543"/>
      <c r="H7" s="2543"/>
      <c r="I7" s="2570"/>
      <c r="J7" s="2570"/>
      <c r="K7" s="2540">
        <f>J6&amp;".1"</f>
      </c>
      <c r="L7" s="1648"/>
      <c r="P7" s="2541"/>
      <c r="Q7" s="2541"/>
      <c r="R7" s="641">
        <v>1</v>
      </c>
      <c r="S7" s="1741">
        <f>$K7</f>
      </c>
      <c r="T7" s="1721"/>
      <c r="U7" s="584"/>
      <c r="V7" s="1035"/>
      <c r="W7" s="1035"/>
      <c r="X7" s="1541"/>
      <c r="Y7" s="2549"/>
      <c r="Z7" s="2391" t="s">
        <v>67</v>
      </c>
      <c r="AA7" s="2549"/>
      <c r="AB7" s="2391" t="s">
        <v>67</v>
      </c>
      <c r="AC7" s="1035"/>
      <c r="AD7" s="1035"/>
      <c r="AE7" s="1541"/>
      <c r="AF7" s="2549"/>
      <c r="AG7" s="2391" t="s">
        <v>67</v>
      </c>
      <c r="AH7" s="2571"/>
      <c r="AI7" s="2391" t="s">
        <v>67</v>
      </c>
      <c r="AJ7" s="1722"/>
      <c r="AK7" s="263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795">
        <f>STRCHECKDATE(V8:AJ8)</f>
      </c>
      <c r="AM7" s="784"/>
      <c r="AN7" s="784" t="str">
        <f>IF(T7="","",T7)</f>
        <v/>
      </c>
      <c r="AO7" s="784"/>
      <c r="AP7" s="784"/>
      <c r="AQ7" s="1439">
        <v>0</v>
      </c>
    </row>
    <row customHeight="1" ht="14.25" hidden="1">
      <c r="A8" s="1647"/>
      <c r="B8" s="1647"/>
      <c r="C8" s="1647"/>
      <c r="D8" s="1647"/>
      <c r="E8" s="2543"/>
      <c r="F8" s="2543"/>
      <c r="G8" s="2543"/>
      <c r="H8" s="2543"/>
      <c r="I8" s="2570"/>
      <c r="J8" s="2570"/>
      <c r="K8" s="2540"/>
      <c r="L8" s="1648"/>
      <c r="P8" s="2541"/>
      <c r="Q8" s="2541"/>
      <c r="R8" s="641"/>
      <c r="S8" s="1740"/>
      <c r="T8" s="584"/>
      <c r="U8" s="584"/>
      <c r="V8" s="609"/>
      <c r="W8" s="609"/>
      <c r="X8" s="612" t="str">
        <f>Y7&amp;"-"&amp;AA7</f>
        <v>-</v>
      </c>
      <c r="Y8" s="2550"/>
      <c r="Z8" s="2391"/>
      <c r="AA8" s="2550"/>
      <c r="AB8" s="2391"/>
      <c r="AC8" s="609"/>
      <c r="AD8" s="609"/>
      <c r="AE8" s="612" t="str">
        <f>AF7&amp;"-"&amp;AH7</f>
        <v>-</v>
      </c>
      <c r="AF8" s="2550"/>
      <c r="AG8" s="2391"/>
      <c r="AH8" s="2572"/>
      <c r="AI8" s="2391"/>
      <c r="AJ8" s="1723"/>
      <c r="AK8" s="2633"/>
      <c r="AM8" s="784"/>
      <c r="AN8" s="784" t="str">
        <f>IF(T8="","",T8)</f>
        <v/>
      </c>
      <c r="AO8" s="784"/>
      <c r="AP8" s="784"/>
      <c r="AQ8" s="1439">
        <v>0</v>
      </c>
    </row>
    <row customHeight="1" ht="21" hidden="1">
      <c r="A9" s="1647"/>
      <c r="B9" s="1647"/>
      <c r="C9" s="1647"/>
      <c r="D9" s="1647"/>
      <c r="E9" s="2543"/>
      <c r="F9" s="2543"/>
      <c r="G9" s="2543"/>
      <c r="H9" s="2543"/>
      <c r="I9" s="2570"/>
      <c r="J9" s="2540"/>
      <c r="K9" s="1647"/>
      <c r="L9" s="1648"/>
      <c r="P9" s="2541"/>
      <c r="Q9" s="2541"/>
      <c r="R9" s="640"/>
      <c r="S9" s="1562"/>
      <c r="T9" s="571" t="s">
        <v>494</v>
      </c>
      <c r="U9" s="651"/>
      <c r="V9" s="651"/>
      <c r="W9" s="651"/>
      <c r="X9" s="651"/>
      <c r="Y9" s="651"/>
      <c r="Z9" s="651"/>
      <c r="AA9" s="651"/>
      <c r="AB9" s="651"/>
      <c r="AC9" s="651"/>
      <c r="AD9" s="651"/>
      <c r="AE9" s="651"/>
      <c r="AF9" s="651"/>
      <c r="AG9" s="651"/>
      <c r="AH9" s="651"/>
      <c r="AI9" s="651"/>
      <c r="AJ9" s="651"/>
      <c r="AK9" s="1542" t="s">
        <v>495</v>
      </c>
      <c r="AM9" s="784"/>
      <c r="AN9" s="784" t="str">
        <f>IF(T9="","",T9)</f>
        <v>Добавить значение признака дифференциации</v>
      </c>
      <c r="AO9" s="784"/>
      <c r="AP9" s="784"/>
      <c r="AQ9" s="1439">
        <v>0</v>
      </c>
    </row>
    <row customHeight="1" ht="21" hidden="1">
      <c r="A10" s="1647"/>
      <c r="B10" s="1647"/>
      <c r="C10" s="1647"/>
      <c r="D10" s="1647"/>
      <c r="E10" s="2543"/>
      <c r="F10" s="2543"/>
      <c r="G10" s="2543"/>
      <c r="H10" s="2543"/>
      <c r="I10" s="2540"/>
      <c r="J10" s="1647"/>
      <c r="K10" s="1647"/>
      <c r="L10" s="1648"/>
      <c r="P10" s="2541"/>
      <c r="Q10" s="1734"/>
      <c r="R10" s="640"/>
      <c r="S10" s="1562"/>
      <c r="T10" s="649" t="s">
        <v>417</v>
      </c>
      <c r="U10" s="651"/>
      <c r="V10" s="651"/>
      <c r="W10" s="651"/>
      <c r="X10" s="651"/>
      <c r="Y10" s="651"/>
      <c r="Z10" s="651"/>
      <c r="AA10" s="651"/>
      <c r="AB10" s="650"/>
      <c r="AC10" s="651"/>
      <c r="AD10" s="651"/>
      <c r="AE10" s="651"/>
      <c r="AF10" s="651"/>
      <c r="AG10" s="651"/>
      <c r="AH10" s="651"/>
      <c r="AI10" s="650"/>
      <c r="AJ10" s="651"/>
      <c r="AK10" s="1724"/>
      <c r="AM10" s="784"/>
      <c r="AN10" s="784" t="str">
        <f>IF(T10="","",T10)</f>
        <v>Добавить группу потребителей</v>
      </c>
      <c r="AO10" s="784"/>
      <c r="AP10" s="784"/>
      <c r="AQ10" s="1439">
        <v>0</v>
      </c>
    </row>
    <row customHeight="1" ht="21" hidden="1">
      <c r="A11" s="1647"/>
      <c r="B11" s="1647"/>
      <c r="C11" s="1647"/>
      <c r="D11" s="1647"/>
      <c r="E11" s="2543"/>
      <c r="F11" s="2543"/>
      <c r="G11" s="2543"/>
      <c r="H11" s="2542"/>
      <c r="I11" s="1647"/>
      <c r="J11" s="1647"/>
      <c r="K11" s="1647"/>
      <c r="L11" s="1648"/>
      <c r="M11" s="1649"/>
      <c r="N11" s="1649"/>
      <c r="O11" s="821"/>
      <c r="P11" s="644"/>
      <c r="Q11" s="659"/>
      <c r="R11" s="639"/>
      <c r="S11" s="1562"/>
      <c r="T11" s="656" t="s">
        <v>496</v>
      </c>
      <c r="U11" s="651"/>
      <c r="V11" s="651"/>
      <c r="W11" s="651"/>
      <c r="X11" s="651"/>
      <c r="Y11" s="651"/>
      <c r="Z11" s="651"/>
      <c r="AA11" s="651"/>
      <c r="AB11" s="650"/>
      <c r="AC11" s="651"/>
      <c r="AD11" s="651"/>
      <c r="AE11" s="651"/>
      <c r="AF11" s="651"/>
      <c r="AG11" s="651"/>
      <c r="AH11" s="651"/>
      <c r="AI11" s="650"/>
      <c r="AJ11" s="651"/>
      <c r="AK11" s="587"/>
      <c r="AM11" s="784"/>
      <c r="AN11" s="784" t="str">
        <f>IF(T11="","",T11)</f>
        <v>Добавить наименование признака дифференциации</v>
      </c>
      <c r="AO11" s="784"/>
      <c r="AP11" s="784"/>
      <c r="AQ11" s="1439">
        <v>0</v>
      </c>
    </row>
    <row s="14158" customFormat="1" customHeight="1" ht="14.25" hidden="1">
      <c r="A12" s="1627"/>
      <c r="B12" s="1627"/>
      <c r="C12" s="1598"/>
      <c r="D12" s="1598"/>
      <c r="E12" s="2543"/>
      <c r="F12" s="2542"/>
      <c r="G12" s="1598"/>
      <c r="H12" s="1598"/>
      <c r="I12" s="1598"/>
      <c r="J12" s="1598"/>
      <c r="K12" s="1598"/>
      <c r="L12" s="1742"/>
      <c r="M12" s="1605"/>
      <c r="N12" s="1605"/>
      <c r="P12" s="1600"/>
      <c r="Q12" s="1601"/>
      <c r="R12" s="1600"/>
      <c r="S12" s="1606"/>
      <c r="T12" s="1609" t="s">
        <v>170</v>
      </c>
      <c r="U12" s="1608"/>
      <c r="V12" s="1608"/>
      <c r="W12" s="1608"/>
      <c r="X12" s="1608"/>
      <c r="Y12" s="1608"/>
      <c r="Z12" s="1608"/>
      <c r="AA12" s="1608"/>
      <c r="AB12" s="1608"/>
      <c r="AC12" s="1608"/>
      <c r="AD12" s="1608"/>
      <c r="AE12" s="1608"/>
      <c r="AF12" s="1608"/>
      <c r="AG12" s="1608"/>
      <c r="AH12" s="1608"/>
      <c r="AI12" s="1608"/>
      <c r="AJ12" s="1608"/>
      <c r="AK12" s="1608"/>
      <c r="AM12" s="1073"/>
      <c r="AN12" s="1073" t="str">
        <f>IF(T12="","",T12)</f>
        <v>Добавить централизованную систему для дифференциации</v>
      </c>
      <c r="AO12" s="1073"/>
      <c r="AP12" s="1073"/>
      <c r="AQ12" s="802">
        <v>0</v>
      </c>
    </row>
    <row s="14158" customFormat="1" customHeight="1" ht="14.25" hidden="1">
      <c r="A13" s="1627"/>
      <c r="B13" s="1627"/>
      <c r="C13" s="1627"/>
      <c r="D13" s="1627"/>
      <c r="E13" s="2542"/>
      <c r="F13" s="1627"/>
      <c r="G13" s="1627"/>
      <c r="H13" s="1627"/>
      <c r="I13" s="1627"/>
      <c r="J13" s="1627"/>
      <c r="K13" s="1627"/>
      <c r="L13" s="1630"/>
      <c r="M13" s="1605"/>
      <c r="N13" s="1605"/>
      <c r="O13" s="802"/>
      <c r="P13" s="664"/>
      <c r="Q13" s="1628"/>
      <c r="R13" s="664"/>
      <c r="S13" s="1606"/>
      <c r="T13" s="1609" t="s">
        <v>171</v>
      </c>
      <c r="U13" s="1608"/>
      <c r="V13" s="1608"/>
      <c r="W13" s="1608"/>
      <c r="X13" s="1608"/>
      <c r="Y13" s="1608"/>
      <c r="Z13" s="1608"/>
      <c r="AA13" s="1608"/>
      <c r="AB13" s="1608"/>
      <c r="AC13" s="1608"/>
      <c r="AD13" s="1608"/>
      <c r="AE13" s="1608"/>
      <c r="AF13" s="1608"/>
      <c r="AG13" s="1608"/>
      <c r="AH13" s="1608"/>
      <c r="AI13" s="1608"/>
      <c r="AJ13" s="1608"/>
      <c r="AK13" s="1608"/>
      <c r="AM13" s="784"/>
      <c r="AN13" s="784" t="str">
        <f>IF(T13="","",T13)</f>
        <v>Добавить территорию для дифференциации</v>
      </c>
      <c r="AO13" s="784"/>
      <c r="AP13" s="784"/>
      <c r="AQ13" s="795">
        <v>0</v>
      </c>
    </row>
    <row customHeight="1" ht="14.25" hidden="1">
      <c r="AB14" s="611"/>
      <c r="AI14" s="611"/>
      <c r="AQ14" s="1439">
        <v>0</v>
      </c>
    </row>
    <row customHeight="1" ht="14.25" hidden="1">
      <c r="AC15" s="1644"/>
      <c r="AD15" s="1644"/>
      <c r="AE15" s="1645"/>
      <c r="AF15" s="2551"/>
      <c r="AG15" s="2552" t="s">
        <v>67</v>
      </c>
      <c r="AH15" s="2551"/>
      <c r="AI15" s="2552" t="s">
        <v>67</v>
      </c>
      <c r="AQ15" s="1439">
        <v>0</v>
      </c>
    </row>
    <row customHeight="1" ht="14.25" hidden="1">
      <c r="AC16" s="1644"/>
      <c r="AD16" s="1644"/>
      <c r="AE16" s="612" t="str">
        <f>AF15&amp;"-"&amp;AH15</f>
        <v>-</v>
      </c>
      <c r="AF16" s="2552"/>
      <c r="AG16" s="2552"/>
      <c r="AH16" s="2552"/>
      <c r="AI16" s="2552"/>
      <c r="AQ16" s="1439">
        <v>0</v>
      </c>
    </row>
    <row customHeight="1" ht="14.25" hidden="1">
      <c r="AI17" s="611"/>
      <c r="AQ17" s="1439">
        <v>0</v>
      </c>
    </row>
    <row s="14157" customFormat="1" customHeight="1" ht="22.5" hidden="1">
      <c r="L18" s="1731"/>
      <c r="M18" s="1646"/>
      <c r="N18" s="1646"/>
      <c r="O18" s="1651" t="s">
        <v>419</v>
      </c>
      <c r="P18" s="1646"/>
      <c r="Q18" s="1655"/>
      <c r="R18" s="1655"/>
      <c r="S18" s="1013"/>
      <c r="Y18" s="1651"/>
      <c r="AA18" s="1651"/>
      <c r="AB18" s="1650"/>
      <c r="AF18" s="1651"/>
      <c r="AH18" s="1651"/>
      <c r="AI18" s="1650"/>
      <c r="AL18" s="795"/>
      <c r="AM18" s="795"/>
      <c r="AN18" s="795"/>
      <c r="AO18" s="795"/>
      <c r="AP18" s="795"/>
      <c r="AQ18" s="1444">
        <v>0</v>
      </c>
    </row>
    <row s="14157" customFormat="1" customHeight="1" ht="14.25" hidden="1">
      <c r="L19" s="1731"/>
      <c r="M19" s="1646"/>
      <c r="N19" s="1646"/>
      <c r="O19" s="1646"/>
      <c r="P19" s="1646"/>
      <c r="Q19" s="1655"/>
      <c r="R19" s="1655"/>
      <c r="S19" s="1013"/>
      <c r="AB19" s="1650"/>
      <c r="AI19" s="1650"/>
      <c r="AL19" s="795"/>
      <c r="AM19" s="795"/>
      <c r="AN19" s="795"/>
      <c r="AO19" s="795"/>
      <c r="AP19" s="795"/>
      <c r="AQ19" s="1444">
        <v>0</v>
      </c>
    </row>
    <row s="14157" customFormat="1" customHeight="1" ht="12" hidden="1">
      <c r="L20" s="1731"/>
      <c r="M20" s="1646"/>
      <c r="N20" s="1646"/>
      <c r="O20" s="1648" t="s">
        <v>420</v>
      </c>
      <c r="P20" s="1646"/>
      <c r="Q20" s="1726"/>
      <c r="R20" s="1726"/>
      <c r="S20" s="1013"/>
      <c r="T20" s="1444" t="s">
        <v>421</v>
      </c>
      <c r="Z20" s="470" t="s">
        <v>422</v>
      </c>
      <c r="AB20" s="470" t="s">
        <v>423</v>
      </c>
      <c r="AC20" s="1444" t="s">
        <v>421</v>
      </c>
      <c r="AG20" s="470" t="s">
        <v>424</v>
      </c>
      <c r="AI20" s="470" t="s">
        <v>423</v>
      </c>
      <c r="AQ20" s="1444">
        <v>0</v>
      </c>
    </row>
    <row customHeight="1" ht="14.25" hidden="1">
      <c r="O21" s="1648"/>
      <c r="AQ21" s="1439">
        <v>0</v>
      </c>
    </row>
    <row customHeight="1" ht="14.25" hidden="1">
      <c r="O22" s="1648"/>
      <c r="AQ22" s="1439">
        <v>0</v>
      </c>
    </row>
    <row customHeight="1" ht="14.699999999999998">
      <c r="Q23" s="660"/>
      <c r="R23" s="660"/>
      <c r="S23" s="1559"/>
      <c r="T23" s="647"/>
      <c r="U23" s="647"/>
      <c r="V23" s="793"/>
      <c r="W23" s="793"/>
      <c r="X23" s="793"/>
      <c r="Y23" s="793"/>
      <c r="Z23" s="793"/>
      <c r="AA23" s="793"/>
      <c r="AB23" s="793"/>
      <c r="AC23" s="793"/>
      <c r="AD23" s="793"/>
      <c r="AE23" s="793"/>
      <c r="AF23" s="793"/>
      <c r="AG23" s="793"/>
      <c r="AH23" s="793"/>
      <c r="AI23" s="793"/>
      <c r="AQ23" s="1439">
        <v>14</v>
      </c>
    </row>
    <row customHeight="1" ht="14.699999999999998">
      <c r="Q24" s="660"/>
      <c r="R24" s="660"/>
      <c r="S24" s="2532"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532"/>
      <c r="U24" s="2532"/>
      <c r="V24" s="2532"/>
      <c r="W24" s="2532"/>
      <c r="X24" s="2532"/>
      <c r="Y24" s="2532"/>
      <c r="Z24" s="2532"/>
      <c r="AA24" s="2532"/>
      <c r="AB24" s="2532"/>
      <c r="AC24" s="2532"/>
      <c r="AD24" s="2532"/>
      <c r="AE24" s="2532"/>
      <c r="AF24" s="2532"/>
      <c r="AG24" s="2532"/>
      <c r="AH24" s="2532"/>
      <c r="AI24" s="1527"/>
      <c r="AQ24" s="1439">
        <v>14</v>
      </c>
    </row>
    <row customHeight="1" ht="14.699999999999998">
      <c r="Q25" s="660"/>
      <c r="R25" s="660"/>
      <c r="S25" s="2533" t="str">
        <f>IF(org=0,"Не определено",org)</f>
        <v>МУП г. Азова "Теплоэнерго"</v>
      </c>
      <c r="T25" s="2533"/>
      <c r="U25" s="2533"/>
      <c r="V25" s="2533"/>
      <c r="W25" s="2533"/>
      <c r="X25" s="2533"/>
      <c r="Y25" s="2533"/>
      <c r="Z25" s="2533"/>
      <c r="AA25" s="2533"/>
      <c r="AB25" s="2533"/>
      <c r="AC25" s="2533"/>
      <c r="AD25" s="2533"/>
      <c r="AE25" s="2533"/>
      <c r="AF25" s="2533"/>
      <c r="AG25" s="2533"/>
      <c r="AH25" s="2533"/>
      <c r="AI25" s="1527"/>
      <c r="AQ25" s="1439">
        <v>14</v>
      </c>
    </row>
    <row customHeight="1" ht="14.25" hidden="1">
      <c r="Q26" s="660"/>
      <c r="R26" s="660"/>
      <c r="S26" s="1559"/>
      <c r="T26" s="647"/>
      <c r="U26" s="647"/>
      <c r="V26" s="606"/>
      <c r="W26" s="606"/>
      <c r="X26" s="606"/>
      <c r="Y26" s="606"/>
      <c r="Z26" s="606"/>
      <c r="AA26" s="606"/>
      <c r="AB26" s="606"/>
      <c r="AC26" s="606"/>
      <c r="AD26" s="606"/>
      <c r="AE26" s="606"/>
      <c r="AF26" s="606"/>
      <c r="AG26" s="606"/>
      <c r="AH26" s="606"/>
      <c r="AI26" s="606"/>
      <c r="AJ26" s="793"/>
      <c r="AQ26" s="1439">
        <v>0</v>
      </c>
    </row>
    <row s="14284" customFormat="1" customHeight="1" ht="25.5" hidden="1">
      <c r="A27" s="1652"/>
      <c r="B27" s="1652"/>
      <c r="C27" s="1652"/>
      <c r="D27" s="1652"/>
      <c r="E27" s="1652"/>
      <c r="F27" s="1652"/>
      <c r="G27" s="1652"/>
      <c r="H27" s="1652"/>
      <c r="I27" s="1652"/>
      <c r="J27" s="1652"/>
      <c r="K27" s="1652"/>
      <c r="L27" s="1653"/>
      <c r="M27" s="1652"/>
      <c r="N27" s="1652"/>
      <c r="O27" s="1652"/>
      <c r="S27" s="2534" t="s">
        <v>42</v>
      </c>
      <c r="T27" s="2534"/>
      <c r="U27" s="1656"/>
      <c r="V27" s="2535" t="str">
        <f>IF(TITLE_NAME_OR_PR_CHANGE="",IF(TITLE_NAME_OR_PR="","",TITLE_NAME_OR_PR),TITLE_NAME_OR_PR_CHANGE)</f>
        <v/>
      </c>
      <c r="W27" s="2535"/>
      <c r="X27" s="2535"/>
      <c r="Y27" s="2535"/>
      <c r="Z27" s="2535"/>
      <c r="AA27" s="2535"/>
      <c r="AB27" s="610"/>
      <c r="AC27" s="2535" t="str">
        <f>IF(TITLE_NAME_OR_PR_CHANGE="",IF(TITLE_NAME_OR_PR="","",TITLE_NAME_OR_PR),TITLE_NAME_OR_PR_CHANGE)</f>
        <v/>
      </c>
      <c r="AD27" s="2535"/>
      <c r="AE27" s="2535"/>
      <c r="AF27" s="2535"/>
      <c r="AG27" s="2535"/>
      <c r="AH27" s="2535"/>
      <c r="AI27" s="610"/>
      <c r="AJ27" s="610"/>
      <c r="AK27" s="564"/>
      <c r="AL27" s="652"/>
      <c r="AM27" s="652"/>
      <c r="AN27" s="652"/>
      <c r="AO27" s="652"/>
      <c r="AP27" s="652"/>
      <c r="AQ27" s="702">
        <v>0</v>
      </c>
    </row>
    <row s="14284" customFormat="1" customHeight="1" ht="18.75" hidden="1">
      <c r="A28" s="1652"/>
      <c r="B28" s="1652"/>
      <c r="C28" s="1652"/>
      <c r="D28" s="1652"/>
      <c r="E28" s="1652"/>
      <c r="F28" s="1652"/>
      <c r="G28" s="1652"/>
      <c r="H28" s="1652"/>
      <c r="I28" s="1652"/>
      <c r="J28" s="1652"/>
      <c r="K28" s="1652"/>
      <c r="L28" s="1653"/>
      <c r="M28" s="1652"/>
      <c r="N28" s="1652"/>
      <c r="O28" s="1652"/>
      <c r="S28" s="2534" t="s">
        <v>425</v>
      </c>
      <c r="T28" s="2534"/>
      <c r="U28" s="1656"/>
      <c r="V28" s="2548" t="str">
        <f>IF(TITLE_DATE_PR_CHANGE="",IF(TITLE_DATE_PR="","",TITLE_DATE_PR),TITLE_DATE_PR_CHANGE)</f>
        <v>45471</v>
      </c>
      <c r="W28" s="2548"/>
      <c r="X28" s="2548"/>
      <c r="Y28" s="2548"/>
      <c r="Z28" s="2548"/>
      <c r="AA28" s="2548"/>
      <c r="AB28" s="610"/>
      <c r="AC28" s="2548" t="str">
        <f>IF(TITLE_DATE_PR_CHANGE="",IF(TITLE_DATE_PR="","",TITLE_DATE_PR),TITLE_DATE_PR_CHANGE)</f>
        <v>45471</v>
      </c>
      <c r="AD28" s="2548"/>
      <c r="AE28" s="2548"/>
      <c r="AF28" s="2548"/>
      <c r="AG28" s="2548"/>
      <c r="AH28" s="2548"/>
      <c r="AI28" s="610"/>
      <c r="AJ28" s="610"/>
      <c r="AK28" s="564"/>
      <c r="AL28" s="652"/>
      <c r="AM28" s="652"/>
      <c r="AN28" s="652"/>
      <c r="AO28" s="652"/>
      <c r="AP28" s="652"/>
      <c r="AQ28" s="702">
        <v>0</v>
      </c>
    </row>
    <row s="14284" customFormat="1" customHeight="1" ht="18.75" hidden="1">
      <c r="A29" s="1652"/>
      <c r="B29" s="1652"/>
      <c r="C29" s="1652"/>
      <c r="D29" s="1652"/>
      <c r="E29" s="1652"/>
      <c r="F29" s="1652"/>
      <c r="G29" s="1652"/>
      <c r="H29" s="1652"/>
      <c r="I29" s="1652"/>
      <c r="J29" s="1652"/>
      <c r="K29" s="1652"/>
      <c r="L29" s="1653"/>
      <c r="M29" s="1652"/>
      <c r="N29" s="1652"/>
      <c r="O29" s="1652"/>
      <c r="S29" s="2534" t="s">
        <v>426</v>
      </c>
      <c r="T29" s="2534"/>
      <c r="U29" s="1656"/>
      <c r="V29" s="2535" t="str">
        <f>IF(TITLE_NUMBER_PR_CHANGE="",IF(TITLE_NUMBER_PR="","",TITLE_NUMBER_PR),TITLE_NUMBER_PR_CHANGE)</f>
        <v>50/18-01/261</v>
      </c>
      <c r="W29" s="2535"/>
      <c r="X29" s="2535"/>
      <c r="Y29" s="2535"/>
      <c r="Z29" s="2535"/>
      <c r="AA29" s="2535"/>
      <c r="AB29" s="610"/>
      <c r="AC29" s="2535" t="str">
        <f>IF(TITLE_NUMBER_PR_CHANGE="",IF(TITLE_NUMBER_PR="","",TITLE_NUMBER_PR),TITLE_NUMBER_PR_CHANGE)</f>
        <v>50/18-01/261</v>
      </c>
      <c r="AD29" s="2535"/>
      <c r="AE29" s="2535"/>
      <c r="AF29" s="2535"/>
      <c r="AG29" s="2535"/>
      <c r="AH29" s="2535"/>
      <c r="AI29" s="610"/>
      <c r="AJ29" s="610"/>
      <c r="AK29" s="564"/>
      <c r="AL29" s="652"/>
      <c r="AM29" s="652"/>
      <c r="AN29" s="652"/>
      <c r="AO29" s="652"/>
      <c r="AP29" s="652"/>
      <c r="AQ29" s="702">
        <v>0</v>
      </c>
    </row>
    <row s="14284" customFormat="1" customHeight="1" ht="18.75" hidden="1">
      <c r="A30" s="1652"/>
      <c r="B30" s="1652"/>
      <c r="C30" s="1652"/>
      <c r="D30" s="1652"/>
      <c r="E30" s="1652"/>
      <c r="F30" s="1652"/>
      <c r="G30" s="1652"/>
      <c r="H30" s="1652"/>
      <c r="I30" s="1652"/>
      <c r="J30" s="1652"/>
      <c r="K30" s="1652"/>
      <c r="L30" s="1653"/>
      <c r="M30" s="1652"/>
      <c r="N30" s="1652"/>
      <c r="O30" s="1652"/>
      <c r="S30" s="2534" t="s">
        <v>43</v>
      </c>
      <c r="T30" s="2534"/>
      <c r="U30" s="1656"/>
      <c r="V30" s="2535" t="str">
        <f>IF(TITLE_IST_PUB_CHANGE="",IF(TITLE_IST_PUB="","",TITLE_IST_PUB),TITLE_IST_PUB_CHANGE)</f>
        <v/>
      </c>
      <c r="W30" s="2535"/>
      <c r="X30" s="2535"/>
      <c r="Y30" s="2535"/>
      <c r="Z30" s="2535"/>
      <c r="AA30" s="2535"/>
      <c r="AB30" s="610"/>
      <c r="AC30" s="2535" t="str">
        <f>IF(TITLE_IST_PUB_CHANGE="",IF(TITLE_IST_PUB="","",TITLE_IST_PUB),TITLE_IST_PUB_CHANGE)</f>
        <v/>
      </c>
      <c r="AD30" s="2535"/>
      <c r="AE30" s="2535"/>
      <c r="AF30" s="2535"/>
      <c r="AG30" s="2535"/>
      <c r="AH30" s="2535"/>
      <c r="AI30" s="610"/>
      <c r="AJ30" s="610"/>
      <c r="AK30" s="564"/>
      <c r="AL30" s="652"/>
      <c r="AM30" s="652"/>
      <c r="AN30" s="652"/>
      <c r="AO30" s="652"/>
      <c r="AP30" s="652"/>
      <c r="AQ30" s="702">
        <v>0</v>
      </c>
    </row>
    <row customHeight="1" ht="14.25">
      <c r="Q31" s="660"/>
      <c r="R31" s="660"/>
      <c r="S31" s="1559"/>
      <c r="T31" s="647"/>
      <c r="U31" s="647"/>
      <c r="V31" s="606"/>
      <c r="W31" s="606"/>
      <c r="X31" s="606"/>
      <c r="Y31" s="606"/>
      <c r="Z31" s="606"/>
      <c r="AA31" s="606"/>
      <c r="AB31" s="606"/>
      <c r="AC31" s="606"/>
      <c r="AD31" s="606"/>
      <c r="AE31" s="606"/>
      <c r="AF31" s="606"/>
      <c r="AG31" s="606"/>
      <c r="AH31" s="606"/>
      <c r="AI31" s="606"/>
      <c r="AJ31" s="793"/>
      <c r="AQ31" s="1439">
        <v>0</v>
      </c>
    </row>
    <row s="14284" customFormat="1" customHeight="1" ht="18.75">
      <c r="A32" s="1652"/>
      <c r="B32" s="1652"/>
      <c r="C32" s="1652"/>
      <c r="D32" s="1652"/>
      <c r="E32" s="1652"/>
      <c r="F32" s="1652"/>
      <c r="G32" s="1652"/>
      <c r="H32" s="1652"/>
      <c r="I32" s="1652"/>
      <c r="J32" s="1652"/>
      <c r="K32" s="1652"/>
      <c r="L32" s="1653"/>
      <c r="M32" s="1652"/>
      <c r="N32" s="1652"/>
      <c r="O32" s="1652"/>
      <c r="S32" s="2534" t="s">
        <v>427</v>
      </c>
      <c r="T32" s="2534"/>
      <c r="U32" s="1656"/>
      <c r="V32" s="2548" t="str">
        <f>IF(TITLE_DATE_PR_CHANGE="",IF(TITLE_DATE_PR="","",TITLE_DATE_PR),TITLE_DATE_PR_CHANGE)</f>
        <v>45471</v>
      </c>
      <c r="W32" s="2548"/>
      <c r="X32" s="2548"/>
      <c r="Y32" s="2548"/>
      <c r="Z32" s="2548"/>
      <c r="AA32" s="2548"/>
      <c r="AB32" s="610"/>
      <c r="AC32" s="2548" t="str">
        <f>IF(TITLE_DATE_PR_CHANGE="",IF(TITLE_DATE_PR="","",TITLE_DATE_PR),TITLE_DATE_PR_CHANGE)</f>
        <v>45471</v>
      </c>
      <c r="AD32" s="2548"/>
      <c r="AE32" s="2548"/>
      <c r="AF32" s="2548"/>
      <c r="AG32" s="2548"/>
      <c r="AH32" s="2548"/>
      <c r="AI32" s="610"/>
      <c r="AJ32" s="610"/>
      <c r="AK32" s="564"/>
      <c r="AL32" s="652"/>
      <c r="AM32" s="652"/>
      <c r="AN32" s="652"/>
      <c r="AO32" s="652"/>
      <c r="AP32" s="652"/>
      <c r="AQ32" s="702">
        <v>0</v>
      </c>
    </row>
    <row s="14284" customFormat="1" customHeight="1" ht="18.75">
      <c r="A33" s="1652"/>
      <c r="B33" s="1652"/>
      <c r="C33" s="1652"/>
      <c r="D33" s="1652"/>
      <c r="E33" s="1652"/>
      <c r="F33" s="1652"/>
      <c r="G33" s="1652"/>
      <c r="H33" s="1652"/>
      <c r="I33" s="1652"/>
      <c r="J33" s="1652"/>
      <c r="K33" s="1652"/>
      <c r="L33" s="1653"/>
      <c r="M33" s="1652"/>
      <c r="N33" s="1652"/>
      <c r="O33" s="1652"/>
      <c r="S33" s="2534" t="s">
        <v>428</v>
      </c>
      <c r="T33" s="2534"/>
      <c r="U33" s="1656"/>
      <c r="V33" s="2535" t="str">
        <f>IF(TITLE_NUMBER_PR_CHANGE="",IF(TITLE_NUMBER_PR="","",TITLE_NUMBER_PR),TITLE_NUMBER_PR_CHANGE)</f>
        <v>50/18-01/261</v>
      </c>
      <c r="W33" s="2535"/>
      <c r="X33" s="2535"/>
      <c r="Y33" s="2535"/>
      <c r="Z33" s="2535"/>
      <c r="AA33" s="2535"/>
      <c r="AB33" s="610"/>
      <c r="AC33" s="2535" t="str">
        <f>IF(TITLE_NUMBER_PR_CHANGE="",IF(TITLE_NUMBER_PR="","",TITLE_NUMBER_PR),TITLE_NUMBER_PR_CHANGE)</f>
        <v>50/18-01/261</v>
      </c>
      <c r="AD33" s="2535"/>
      <c r="AE33" s="2535"/>
      <c r="AF33" s="2535"/>
      <c r="AG33" s="2535"/>
      <c r="AH33" s="2535"/>
      <c r="AI33" s="610"/>
      <c r="AJ33" s="610"/>
      <c r="AK33" s="564"/>
      <c r="AL33" s="652"/>
      <c r="AM33" s="652"/>
      <c r="AN33" s="652"/>
      <c r="AO33" s="652"/>
      <c r="AP33" s="652"/>
      <c r="AQ33" s="702">
        <v>0</v>
      </c>
    </row>
    <row s="14284" customFormat="1" customHeight="1" ht="1.05">
      <c r="A34" s="1652"/>
      <c r="B34" s="1652"/>
      <c r="C34" s="1652"/>
      <c r="D34" s="1652"/>
      <c r="E34" s="1652"/>
      <c r="F34" s="1652"/>
      <c r="G34" s="1652"/>
      <c r="H34" s="1652"/>
      <c r="I34" s="1652"/>
      <c r="J34" s="1652"/>
      <c r="K34" s="1652"/>
      <c r="L34" s="1653"/>
      <c r="M34" s="1652"/>
      <c r="N34" s="1652"/>
      <c r="O34" s="1652"/>
      <c r="S34" s="607"/>
      <c r="T34" s="607"/>
      <c r="U34" s="1738"/>
      <c r="V34" s="610"/>
      <c r="W34" s="610"/>
      <c r="X34" s="610"/>
      <c r="Y34" s="610"/>
      <c r="Z34" s="610"/>
      <c r="AA34" s="610"/>
      <c r="AB34" s="562" t="s">
        <v>429</v>
      </c>
      <c r="AC34" s="610"/>
      <c r="AD34" s="610"/>
      <c r="AE34" s="610"/>
      <c r="AF34" s="610"/>
      <c r="AG34" s="610"/>
      <c r="AH34" s="610"/>
      <c r="AI34" s="562" t="s">
        <v>429</v>
      </c>
      <c r="AL34" s="652"/>
      <c r="AM34" s="652"/>
      <c r="AN34" s="652"/>
      <c r="AO34" s="652"/>
      <c r="AP34" s="652"/>
      <c r="AQ34" s="702">
        <v>1</v>
      </c>
    </row>
    <row customHeight="1" ht="14.699999999999998">
      <c r="Q35" s="660"/>
      <c r="R35" s="660"/>
      <c r="S35" s="1559"/>
      <c r="T35" s="647"/>
      <c r="U35" s="1528"/>
      <c r="V35" s="2536"/>
      <c r="W35" s="2536"/>
      <c r="X35" s="2536"/>
      <c r="Y35" s="2536"/>
      <c r="Z35" s="2536"/>
      <c r="AA35" s="2536"/>
      <c r="AB35" s="2536"/>
      <c r="AC35" s="2536"/>
      <c r="AD35" s="2536"/>
      <c r="AE35" s="2536"/>
      <c r="AF35" s="2536"/>
      <c r="AG35" s="2536"/>
      <c r="AH35" s="2536"/>
      <c r="AI35" s="2536"/>
      <c r="AQ35" s="1439">
        <v>14</v>
      </c>
    </row>
    <row customHeight="1" ht="14.699999999999998">
      <c r="Q36" s="660"/>
      <c r="R36" s="660"/>
      <c r="S36" s="2411" t="s">
        <v>305</v>
      </c>
      <c r="T36" s="2411"/>
      <c r="U36" s="2411"/>
      <c r="V36" s="2411"/>
      <c r="W36" s="2411"/>
      <c r="X36" s="2411"/>
      <c r="Y36" s="2411"/>
      <c r="Z36" s="2411"/>
      <c r="AA36" s="2411"/>
      <c r="AB36" s="2411"/>
      <c r="AC36" s="2411"/>
      <c r="AD36" s="2411"/>
      <c r="AE36" s="2411"/>
      <c r="AF36" s="2411"/>
      <c r="AG36" s="2411"/>
      <c r="AH36" s="2411"/>
      <c r="AI36" s="2411"/>
      <c r="AJ36" s="2411"/>
      <c r="AK36" s="2411" t="s">
        <v>306</v>
      </c>
      <c r="AQ36" s="1439">
        <v>14</v>
      </c>
    </row>
    <row customHeight="1" ht="14.699999999999998">
      <c r="Q37" s="660"/>
      <c r="R37" s="660"/>
      <c r="S37" s="2557" t="s">
        <v>89</v>
      </c>
      <c r="T37" s="2493" t="s">
        <v>430</v>
      </c>
      <c r="U37" s="585"/>
      <c r="V37" s="2558" t="s">
        <v>431</v>
      </c>
      <c r="W37" s="2559"/>
      <c r="X37" s="2559"/>
      <c r="Y37" s="2559"/>
      <c r="Z37" s="2559"/>
      <c r="AA37" s="2560"/>
      <c r="AB37" s="2561" t="s">
        <v>432</v>
      </c>
      <c r="AC37" s="2558" t="s">
        <v>431</v>
      </c>
      <c r="AD37" s="2559"/>
      <c r="AE37" s="2559"/>
      <c r="AF37" s="2559"/>
      <c r="AG37" s="2559"/>
      <c r="AH37" s="2560"/>
      <c r="AI37" s="2561" t="s">
        <v>433</v>
      </c>
      <c r="AJ37" s="2564" t="s">
        <v>434</v>
      </c>
      <c r="AK37" s="2411"/>
      <c r="AQ37" s="1439">
        <v>14</v>
      </c>
    </row>
    <row customHeight="1" ht="35.699999999999996">
      <c r="Q38" s="660"/>
      <c r="R38" s="660"/>
      <c r="S38" s="2557"/>
      <c r="T38" s="2493"/>
      <c r="U38" s="1315"/>
      <c r="V38" s="1736" t="s">
        <v>497</v>
      </c>
      <c r="W38" s="2546" t="s">
        <v>437</v>
      </c>
      <c r="X38" s="2547"/>
      <c r="Y38" s="2546" t="s">
        <v>438</v>
      </c>
      <c r="Z38" s="2553"/>
      <c r="AA38" s="2547"/>
      <c r="AB38" s="2562"/>
      <c r="AC38" s="1736" t="s">
        <v>497</v>
      </c>
      <c r="AD38" s="2546" t="s">
        <v>437</v>
      </c>
      <c r="AE38" s="2547"/>
      <c r="AF38" s="2546" t="s">
        <v>438</v>
      </c>
      <c r="AG38" s="2553"/>
      <c r="AH38" s="2547"/>
      <c r="AI38" s="2562"/>
      <c r="AJ38" s="2565"/>
      <c r="AK38" s="2411"/>
      <c r="AQ38" s="1439">
        <v>34</v>
      </c>
    </row>
    <row customHeight="1" ht="35.699999999999996">
      <c r="A39" s="1654"/>
      <c r="B39" s="1654" t="s">
        <v>136</v>
      </c>
      <c r="C39" s="1654" t="s">
        <v>137</v>
      </c>
      <c r="D39" s="1654" t="s">
        <v>138</v>
      </c>
      <c r="E39" s="1648" t="s">
        <v>439</v>
      </c>
      <c r="F39" s="1648" t="s">
        <v>440</v>
      </c>
      <c r="G39" s="1648" t="s">
        <v>441</v>
      </c>
      <c r="H39" s="1648"/>
      <c r="I39" s="1648" t="s">
        <v>498</v>
      </c>
      <c r="J39" s="1648" t="s">
        <v>444</v>
      </c>
      <c r="K39" s="1648" t="s">
        <v>499</v>
      </c>
      <c r="L39" s="1648" t="s">
        <v>420</v>
      </c>
      <c r="Q39" s="660"/>
      <c r="R39" s="660"/>
      <c r="S39" s="2557"/>
      <c r="T39" s="2493"/>
      <c r="U39" s="586"/>
      <c r="V39" s="1736" t="s">
        <v>500</v>
      </c>
      <c r="W39" s="1506" t="s">
        <v>501</v>
      </c>
      <c r="X39" s="1506" t="s">
        <v>502</v>
      </c>
      <c r="Y39" s="1739" t="s">
        <v>448</v>
      </c>
      <c r="Z39" s="2554" t="s">
        <v>449</v>
      </c>
      <c r="AA39" s="2555"/>
      <c r="AB39" s="2563"/>
      <c r="AC39" s="1736" t="s">
        <v>500</v>
      </c>
      <c r="AD39" s="1506" t="s">
        <v>501</v>
      </c>
      <c r="AE39" s="1506" t="s">
        <v>502</v>
      </c>
      <c r="AF39" s="1739" t="s">
        <v>448</v>
      </c>
      <c r="AG39" s="2554" t="s">
        <v>449</v>
      </c>
      <c r="AH39" s="2555"/>
      <c r="AI39" s="2563"/>
      <c r="AJ39" s="2566"/>
      <c r="AK39" s="2411"/>
      <c r="AQ39" s="1439">
        <v>34</v>
      </c>
    </row>
    <row s="14730" customFormat="1" customHeight="1" ht="0">
      <c r="A40" s="1654"/>
      <c r="B40" s="1654"/>
      <c r="C40" s="1654"/>
      <c r="D40" s="1654"/>
      <c r="E40" s="1654"/>
      <c r="F40" s="1654"/>
      <c r="G40" s="1654"/>
      <c r="H40" s="1654"/>
      <c r="I40" s="1654"/>
      <c r="J40" s="1654"/>
      <c r="K40" s="1654"/>
      <c r="L40" s="1648"/>
      <c r="M40" s="1646"/>
      <c r="N40" s="1646"/>
      <c r="O40" s="1646"/>
      <c r="P40" s="1530"/>
      <c r="Q40" s="1531"/>
      <c r="R40" s="1538">
        <v>1</v>
      </c>
      <c r="S40" s="1561" t="s">
        <v>110</v>
      </c>
      <c r="T40" s="1539" t="s">
        <v>111</v>
      </c>
      <c r="U40" s="1529" t="str">
        <f>OFFSET(U40,0,-1)</f>
        <v>2</v>
      </c>
      <c r="V40" s="1735">
        <f>OFFSET(V40,0,-1)+1</f>
        <v>3</v>
      </c>
      <c r="W40" s="1735">
        <f>OFFSET(W40,0,-1)+1</f>
        <v>4</v>
      </c>
      <c r="X40" s="1735">
        <f>OFFSET(X40,0,-1)+1</f>
        <v>5</v>
      </c>
      <c r="Y40" s="1735">
        <f>OFFSET(Y40,0,-1)+1</f>
        <v>6</v>
      </c>
      <c r="Z40" s="2556">
        <f>OFFSET(Z40,0,-1)+1</f>
        <v>7</v>
      </c>
      <c r="AA40" s="2556"/>
      <c r="AB40" s="1735">
        <f>OFFSET(AB40,0,-2)+1</f>
        <v>8</v>
      </c>
      <c r="AC40" s="1735">
        <f>OFFSET(AC40,0,-1)+1</f>
        <v>9</v>
      </c>
      <c r="AD40" s="1735">
        <f>OFFSET(AD40,0,-1)+1</f>
        <v>10</v>
      </c>
      <c r="AE40" s="1735">
        <f>OFFSET(AE40,0,-1)+1</f>
        <v>11</v>
      </c>
      <c r="AF40" s="1735">
        <f>OFFSET(AF40,0,-1)+1</f>
        <v>12</v>
      </c>
      <c r="AG40" s="2556">
        <f>OFFSET(AG40,0,-1)+1</f>
        <v>13</v>
      </c>
      <c r="AH40" s="2556"/>
      <c r="AI40" s="1735">
        <f>OFFSET(AI40,0,-2)+1</f>
        <v>14</v>
      </c>
      <c r="AJ40" s="1529">
        <f>OFFSET(AJ40,0,-1)</f>
        <v>14</v>
      </c>
      <c r="AK40" s="1735">
        <f>OFFSET(AK40,0,-1)+1</f>
        <v>15</v>
      </c>
      <c r="AL40" s="795"/>
      <c r="AM40" s="795"/>
      <c r="AN40" s="795"/>
      <c r="AO40" s="795"/>
      <c r="AP40" s="795"/>
      <c r="AQ40" s="780">
        <v>0</v>
      </c>
    </row>
    <row customHeight="1" ht="24">
      <c r="A41" s="1647" t="s">
        <v>241</v>
      </c>
      <c r="B41" s="1647"/>
      <c r="C41" s="1647"/>
      <c r="D41" s="1647"/>
      <c r="E41" s="2542">
        <v>1</v>
      </c>
      <c r="F41" s="1647"/>
      <c r="G41" s="1647"/>
      <c r="H41" s="1647"/>
      <c r="I41" s="1647"/>
      <c r="J41" s="1647"/>
      <c r="K41" s="1647"/>
      <c r="L41" s="1648"/>
      <c r="M41" s="1649"/>
      <c r="N41" s="1649"/>
      <c r="O41" s="1649"/>
      <c r="P41" s="645"/>
      <c r="Q41" s="644"/>
      <c r="R41" s="639"/>
      <c r="S41" s="1741">
        <f>INDEX(PT_DIFFERENTIATION_NUM_NTAR,MATCH(A41,PT_DIFFERENTIATION_NTAR_ID,0))</f>
        <v>0</v>
      </c>
      <c r="T41" s="582" t="s">
        <v>124</v>
      </c>
      <c r="U41" s="584"/>
      <c r="V41" s="2526"/>
      <c r="W41" s="2527"/>
      <c r="X41" s="2527"/>
      <c r="Y41" s="2527"/>
      <c r="Z41" s="2527"/>
      <c r="AA41" s="2527"/>
      <c r="AB41" s="2528"/>
      <c r="AC41" s="2526" t="str">
        <f>INDEX(PT_DIFFERENTIATION_NTAR,MATCH(A41,PT_DIFFERENTIATION_NTAR_ID,0))</f>
        <v/>
      </c>
      <c r="AD41" s="2527"/>
      <c r="AE41" s="2527"/>
      <c r="AF41" s="2527"/>
      <c r="AG41" s="2527"/>
      <c r="AH41" s="2527"/>
      <c r="AI41" s="2527"/>
      <c r="AJ41" s="2528"/>
      <c r="AK41" s="154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784"/>
      <c r="AN41" s="784" t="str">
        <f>IF(T41="","",T41)</f>
        <v>Наименование тарифа</v>
      </c>
      <c r="AO41" s="784"/>
      <c r="AP41" s="784"/>
      <c r="AQ41" s="1439">
        <v>23</v>
      </c>
    </row>
    <row customHeight="1" ht="24">
      <c r="A42" s="1647" t="s">
        <v>241</v>
      </c>
      <c r="B42" s="1647" t="s">
        <v>242</v>
      </c>
      <c r="C42" s="1647"/>
      <c r="D42" s="1647"/>
      <c r="E42" s="2543"/>
      <c r="F42" s="2542">
        <v>1</v>
      </c>
      <c r="G42" s="1647"/>
      <c r="H42" s="1647"/>
      <c r="I42" s="1647"/>
      <c r="J42" s="1647"/>
      <c r="K42" s="1647"/>
      <c r="L42" s="1648"/>
      <c r="M42" s="1649"/>
      <c r="N42" s="1649"/>
      <c r="O42" s="1649"/>
      <c r="P42" s="1737"/>
      <c r="Q42" s="636"/>
      <c r="R42" s="637"/>
      <c r="S42" s="1741" t="str">
        <f>INDEX(PT_DIFFERENTIATION_NUM_TER,MATCH(B42,PT_DIFFERENTIATION_TER_ID,0))</f>
        <v>.</v>
      </c>
      <c r="T42" s="592" t="s">
        <v>402</v>
      </c>
      <c r="U42" s="584"/>
      <c r="V42" s="2526"/>
      <c r="W42" s="2527"/>
      <c r="X42" s="2527"/>
      <c r="Y42" s="2527"/>
      <c r="Z42" s="2527"/>
      <c r="AA42" s="2527"/>
      <c r="AB42" s="2528"/>
      <c r="AC42" s="2526" t="str">
        <f>INDEX(PT_DIFFERENTIATION_TER,MATCH(B42,PT_DIFFERENTIATION_TER_ID,0))</f>
        <v/>
      </c>
      <c r="AD42" s="2527"/>
      <c r="AE42" s="2527"/>
      <c r="AF42" s="2527"/>
      <c r="AG42" s="2527"/>
      <c r="AH42" s="2527"/>
      <c r="AI42" s="2527"/>
      <c r="AJ42" s="2528"/>
      <c r="AK42" s="1542" t="s">
        <v>403</v>
      </c>
      <c r="AM42" s="784"/>
      <c r="AN42" s="784" t="str">
        <f>IF(T42="","",T42)</f>
        <v>Территория действия тарифа</v>
      </c>
      <c r="AO42" s="784"/>
      <c r="AP42" s="784"/>
      <c r="AQ42" s="1439">
        <v>23</v>
      </c>
    </row>
    <row customHeight="1" ht="24">
      <c r="A43" s="1647" t="s">
        <v>241</v>
      </c>
      <c r="B43" s="1647" t="s">
        <v>242</v>
      </c>
      <c r="C43" s="1647" t="s">
        <v>243</v>
      </c>
      <c r="D43" s="1647"/>
      <c r="E43" s="2543"/>
      <c r="F43" s="2543"/>
      <c r="G43" s="2542">
        <v>1</v>
      </c>
      <c r="H43" s="1647"/>
      <c r="I43" s="1647"/>
      <c r="J43" s="1647"/>
      <c r="K43" s="1647"/>
      <c r="L43" s="1648"/>
      <c r="M43" s="1649"/>
      <c r="N43" s="1649"/>
      <c r="O43" s="1649"/>
      <c r="P43" s="638"/>
      <c r="Q43" s="636"/>
      <c r="R43" s="637"/>
      <c r="S43" s="1741" t="str">
        <f>INDEX(PT_DIFFERENTIATION_NUM_CS,MATCH(C43,PT_DIFFERENTIATION_CS_ID,0))</f>
        <v>..</v>
      </c>
      <c r="T43" s="593" t="s">
        <v>489</v>
      </c>
      <c r="U43" s="584"/>
      <c r="V43" s="2526"/>
      <c r="W43" s="2527"/>
      <c r="X43" s="2527"/>
      <c r="Y43" s="2527"/>
      <c r="Z43" s="2527"/>
      <c r="AA43" s="2527"/>
      <c r="AB43" s="2528"/>
      <c r="AC43" s="2526" t="str">
        <f>INDEX(PT_DIFFERENTIATION_CS,MATCH(C43,PT_DIFFERENTIATION_CS_ID,0))</f>
        <v/>
      </c>
      <c r="AD43" s="2527"/>
      <c r="AE43" s="2527"/>
      <c r="AF43" s="2527"/>
      <c r="AG43" s="2527"/>
      <c r="AH43" s="2527"/>
      <c r="AI43" s="2527"/>
      <c r="AJ43" s="2528"/>
      <c r="AK43" s="1542" t="s">
        <v>490</v>
      </c>
      <c r="AM43" s="784"/>
      <c r="AN43" s="784" t="str">
        <f>IF(T43="","",T43)</f>
        <v>Наименование централизованной системы холодного водоснабжения</v>
      </c>
      <c r="AO43" s="784"/>
      <c r="AP43" s="784"/>
      <c r="AQ43" s="1439">
        <v>23</v>
      </c>
    </row>
    <row customHeight="1" ht="24">
      <c r="A44" s="1647" t="s">
        <v>241</v>
      </c>
      <c r="B44" s="1647" t="s">
        <v>242</v>
      </c>
      <c r="C44" s="1647" t="s">
        <v>243</v>
      </c>
      <c r="D44" s="1647" t="s">
        <v>505</v>
      </c>
      <c r="E44" s="2543"/>
      <c r="F44" s="2543"/>
      <c r="G44" s="2543"/>
      <c r="H44" s="2543"/>
      <c r="I44" s="2540" t="str">
        <f>S43&amp;".1"</f>
        <v>...1</v>
      </c>
      <c r="J44" s="1647"/>
      <c r="K44" s="1647"/>
      <c r="L44" s="1648"/>
      <c r="P44" s="2541">
        <v>1</v>
      </c>
      <c r="Q44" s="1734"/>
      <c r="R44" s="640"/>
      <c r="S44" s="1741" t="str">
        <f>$I44</f>
        <v>...1</v>
      </c>
      <c r="T44" s="569" t="s">
        <v>491</v>
      </c>
      <c r="U44" s="584"/>
      <c r="V44" s="2634"/>
      <c r="W44" s="2635"/>
      <c r="X44" s="2635"/>
      <c r="Y44" s="2635"/>
      <c r="Z44" s="2635"/>
      <c r="AA44" s="2635"/>
      <c r="AB44" s="2636"/>
      <c r="AC44" s="2637"/>
      <c r="AD44" s="2638"/>
      <c r="AE44" s="2638"/>
      <c r="AF44" s="2638"/>
      <c r="AG44" s="2638"/>
      <c r="AH44" s="2638"/>
      <c r="AI44" s="2638"/>
      <c r="AJ44" s="2639"/>
      <c r="AK44" s="1542" t="s">
        <v>492</v>
      </c>
      <c r="AM44" s="784"/>
      <c r="AN44" s="784" t="str">
        <f>IF(T44="","",T44)</f>
        <v>Наименование признака дифференциации</v>
      </c>
      <c r="AO44" s="784"/>
      <c r="AP44" s="784"/>
      <c r="AQ44" s="1439">
        <v>23</v>
      </c>
    </row>
    <row customHeight="1" ht="24">
      <c r="A45" s="1647" t="s">
        <v>241</v>
      </c>
      <c r="B45" s="1647" t="s">
        <v>242</v>
      </c>
      <c r="C45" s="1647" t="s">
        <v>243</v>
      </c>
      <c r="D45" s="1647" t="s">
        <v>505</v>
      </c>
      <c r="E45" s="2543"/>
      <c r="F45" s="2543"/>
      <c r="G45" s="2543"/>
      <c r="H45" s="2543"/>
      <c r="I45" s="2570"/>
      <c r="J45" s="2540" t="str">
        <f>I44&amp;".1"</f>
        <v>...1.1</v>
      </c>
      <c r="K45" s="1647"/>
      <c r="L45" s="1648" t="s">
        <v>411</v>
      </c>
      <c r="P45" s="2541"/>
      <c r="Q45" s="2541">
        <v>1</v>
      </c>
      <c r="R45" s="641"/>
      <c r="S45" s="1741" t="str">
        <f>$J45</f>
        <v>...1.1</v>
      </c>
      <c r="T45" s="570" t="s">
        <v>412</v>
      </c>
      <c r="U45" s="584"/>
      <c r="V45" s="2529"/>
      <c r="W45" s="2530"/>
      <c r="X45" s="2530"/>
      <c r="Y45" s="2530"/>
      <c r="Z45" s="2530"/>
      <c r="AA45" s="2530"/>
      <c r="AB45" s="2531"/>
      <c r="AC45" s="2529"/>
      <c r="AD45" s="2530"/>
      <c r="AE45" s="2530"/>
      <c r="AF45" s="2530"/>
      <c r="AG45" s="2530"/>
      <c r="AH45" s="2530"/>
      <c r="AI45" s="2530"/>
      <c r="AJ45" s="2531"/>
      <c r="AK45" s="1591" t="s">
        <v>493</v>
      </c>
      <c r="AM45" s="784"/>
      <c r="AN45" s="784" t="str">
        <f>IF(T45="","",T45)</f>
        <v>Группа потребителей</v>
      </c>
      <c r="AO45" s="784"/>
      <c r="AP45" s="784"/>
      <c r="AQ45" s="1439">
        <v>23</v>
      </c>
    </row>
    <row customHeight="1" ht="24">
      <c r="A46" s="1647" t="s">
        <v>241</v>
      </c>
      <c r="B46" s="1647" t="s">
        <v>242</v>
      </c>
      <c r="C46" s="1647" t="s">
        <v>243</v>
      </c>
      <c r="D46" s="1647" t="s">
        <v>505</v>
      </c>
      <c r="E46" s="2543"/>
      <c r="F46" s="2543"/>
      <c r="G46" s="2543"/>
      <c r="H46" s="2543"/>
      <c r="I46" s="2570"/>
      <c r="J46" s="2570"/>
      <c r="K46" s="2540" t="str">
        <f>J45&amp;".1"</f>
        <v>...1.1.1</v>
      </c>
      <c r="L46" s="1648"/>
      <c r="P46" s="2541"/>
      <c r="Q46" s="2541"/>
      <c r="R46" s="641">
        <v>1</v>
      </c>
      <c r="S46" s="1741" t="str">
        <f>$K46</f>
        <v>...1.1.1</v>
      </c>
      <c r="T46" s="1721"/>
      <c r="U46" s="584"/>
      <c r="V46" s="1035"/>
      <c r="W46" s="1035"/>
      <c r="X46" s="1541"/>
      <c r="Y46" s="2549"/>
      <c r="Z46" s="2391" t="s">
        <v>67</v>
      </c>
      <c r="AA46" s="2549"/>
      <c r="AB46" s="2391" t="s">
        <v>67</v>
      </c>
      <c r="AC46" s="1035"/>
      <c r="AD46" s="1035"/>
      <c r="AE46" s="1541"/>
      <c r="AF46" s="2549"/>
      <c r="AG46" s="2391" t="s">
        <v>67</v>
      </c>
      <c r="AH46" s="2571"/>
      <c r="AI46" s="2391" t="s">
        <v>67</v>
      </c>
      <c r="AJ46" s="1722"/>
      <c r="AK46" s="263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795">
        <f>STRCHECKDATE(V47:AJ47)</f>
      </c>
      <c r="AM46" s="784"/>
      <c r="AN46" s="784" t="str">
        <f>IF(T46="","",T46)</f>
        <v/>
      </c>
      <c r="AO46" s="784"/>
      <c r="AP46" s="784"/>
      <c r="AQ46" s="1439">
        <v>23</v>
      </c>
    </row>
    <row customHeight="1" ht="0">
      <c r="A47" s="1647" t="s">
        <v>241</v>
      </c>
      <c r="B47" s="1647" t="s">
        <v>242</v>
      </c>
      <c r="C47" s="1647" t="s">
        <v>243</v>
      </c>
      <c r="D47" s="1647" t="s">
        <v>505</v>
      </c>
      <c r="E47" s="2543"/>
      <c r="F47" s="2543"/>
      <c r="G47" s="2543"/>
      <c r="H47" s="2543"/>
      <c r="I47" s="2570"/>
      <c r="J47" s="2570"/>
      <c r="K47" s="2540"/>
      <c r="L47" s="1648"/>
      <c r="P47" s="2541"/>
      <c r="Q47" s="2541"/>
      <c r="R47" s="641"/>
      <c r="S47" s="1740"/>
      <c r="T47" s="584"/>
      <c r="U47" s="584"/>
      <c r="V47" s="609"/>
      <c r="W47" s="609"/>
      <c r="X47" s="612" t="str">
        <f>Y46&amp;"-"&amp;AA46</f>
        <v>-</v>
      </c>
      <c r="Y47" s="2550"/>
      <c r="Z47" s="2391"/>
      <c r="AA47" s="2550"/>
      <c r="AB47" s="2391"/>
      <c r="AC47" s="609"/>
      <c r="AD47" s="609"/>
      <c r="AE47" s="612" t="str">
        <f>AF46&amp;"-"&amp;AH46</f>
        <v>-</v>
      </c>
      <c r="AF47" s="2550"/>
      <c r="AG47" s="2391"/>
      <c r="AH47" s="2572"/>
      <c r="AI47" s="2391"/>
      <c r="AJ47" s="1723"/>
      <c r="AK47" s="2633"/>
      <c r="AM47" s="784"/>
      <c r="AN47" s="784" t="str">
        <f>IF(T47="","",T47)</f>
        <v/>
      </c>
      <c r="AO47" s="784"/>
      <c r="AP47" s="784"/>
      <c r="AQ47" s="1439">
        <v>0</v>
      </c>
    </row>
    <row customHeight="1" ht="21">
      <c r="A48" s="1647" t="s">
        <v>241</v>
      </c>
      <c r="B48" s="1647" t="s">
        <v>242</v>
      </c>
      <c r="C48" s="1647" t="s">
        <v>243</v>
      </c>
      <c r="D48" s="1647" t="s">
        <v>505</v>
      </c>
      <c r="E48" s="2543"/>
      <c r="F48" s="2543"/>
      <c r="G48" s="2543"/>
      <c r="H48" s="2543"/>
      <c r="I48" s="2570"/>
      <c r="J48" s="2540"/>
      <c r="K48" s="1647"/>
      <c r="L48" s="1648"/>
      <c r="P48" s="2541"/>
      <c r="Q48" s="2541"/>
      <c r="R48" s="640"/>
      <c r="S48" s="1562"/>
      <c r="T48" s="571" t="s">
        <v>494</v>
      </c>
      <c r="U48" s="651"/>
      <c r="V48" s="651"/>
      <c r="W48" s="651"/>
      <c r="X48" s="651"/>
      <c r="Y48" s="651"/>
      <c r="Z48" s="651"/>
      <c r="AA48" s="651"/>
      <c r="AB48" s="651"/>
      <c r="AC48" s="651"/>
      <c r="AD48" s="651"/>
      <c r="AE48" s="651"/>
      <c r="AF48" s="651"/>
      <c r="AG48" s="651"/>
      <c r="AH48" s="651"/>
      <c r="AI48" s="651"/>
      <c r="AJ48" s="651"/>
      <c r="AK48" s="1542" t="s">
        <v>495</v>
      </c>
      <c r="AM48" s="784"/>
      <c r="AN48" s="784" t="str">
        <f>IF(T48="","",T48)</f>
        <v>Добавить значение признака дифференциации</v>
      </c>
      <c r="AO48" s="784"/>
      <c r="AP48" s="784"/>
      <c r="AQ48" s="1439">
        <v>20</v>
      </c>
    </row>
    <row customHeight="1" ht="22.049999999999997">
      <c r="A49" s="1647" t="s">
        <v>241</v>
      </c>
      <c r="B49" s="1647" t="s">
        <v>242</v>
      </c>
      <c r="C49" s="1647" t="s">
        <v>243</v>
      </c>
      <c r="D49" s="1647" t="s">
        <v>505</v>
      </c>
      <c r="E49" s="2543"/>
      <c r="F49" s="2543"/>
      <c r="G49" s="2543"/>
      <c r="H49" s="2543"/>
      <c r="I49" s="2540"/>
      <c r="J49" s="1647"/>
      <c r="K49" s="1647"/>
      <c r="L49" s="1648"/>
      <c r="P49" s="2541"/>
      <c r="Q49" s="1734"/>
      <c r="R49" s="640"/>
      <c r="S49" s="1562"/>
      <c r="T49" s="649" t="s">
        <v>417</v>
      </c>
      <c r="U49" s="651"/>
      <c r="V49" s="651"/>
      <c r="W49" s="651"/>
      <c r="X49" s="651"/>
      <c r="Y49" s="651"/>
      <c r="Z49" s="651"/>
      <c r="AA49" s="651"/>
      <c r="AB49" s="650"/>
      <c r="AC49" s="651"/>
      <c r="AD49" s="651"/>
      <c r="AE49" s="651"/>
      <c r="AF49" s="651"/>
      <c r="AG49" s="651"/>
      <c r="AH49" s="651"/>
      <c r="AI49" s="650"/>
      <c r="AJ49" s="651"/>
      <c r="AK49" s="1724"/>
      <c r="AM49" s="784"/>
      <c r="AN49" s="784" t="str">
        <f>IF(T49="","",T49)</f>
        <v>Добавить группу потребителей</v>
      </c>
      <c r="AO49" s="784"/>
      <c r="AP49" s="784"/>
      <c r="AQ49" s="1439">
        <v>21</v>
      </c>
    </row>
    <row customHeight="1" ht="22.049999999999997">
      <c r="A50" s="1647" t="s">
        <v>241</v>
      </c>
      <c r="B50" s="1647" t="s">
        <v>242</v>
      </c>
      <c r="C50" s="1647" t="s">
        <v>243</v>
      </c>
      <c r="D50" s="1647" t="s">
        <v>505</v>
      </c>
      <c r="E50" s="2543"/>
      <c r="F50" s="2543"/>
      <c r="G50" s="2543"/>
      <c r="H50" s="2542"/>
      <c r="I50" s="1647"/>
      <c r="J50" s="1647"/>
      <c r="K50" s="1647"/>
      <c r="L50" s="1648"/>
      <c r="M50" s="1649"/>
      <c r="N50" s="1649"/>
      <c r="O50" s="821"/>
      <c r="P50" s="644"/>
      <c r="Q50" s="659"/>
      <c r="R50" s="639"/>
      <c r="S50" s="1562"/>
      <c r="T50" s="656" t="s">
        <v>496</v>
      </c>
      <c r="U50" s="651"/>
      <c r="V50" s="651"/>
      <c r="W50" s="651"/>
      <c r="X50" s="651"/>
      <c r="Y50" s="651"/>
      <c r="Z50" s="651"/>
      <c r="AA50" s="651"/>
      <c r="AB50" s="650"/>
      <c r="AC50" s="651"/>
      <c r="AD50" s="651"/>
      <c r="AE50" s="651"/>
      <c r="AF50" s="651"/>
      <c r="AG50" s="651"/>
      <c r="AH50" s="651"/>
      <c r="AI50" s="650"/>
      <c r="AJ50" s="651"/>
      <c r="AK50" s="587"/>
      <c r="AM50" s="784"/>
      <c r="AN50" s="784" t="str">
        <f>IF(T50="","",T50)</f>
        <v>Добавить наименование признака дифференциации</v>
      </c>
      <c r="AO50" s="784"/>
      <c r="AP50" s="784"/>
      <c r="AQ50" s="1439">
        <v>21</v>
      </c>
    </row>
    <row s="14158" customFormat="1" customHeight="1" ht="0">
      <c r="A51" s="1627" t="s">
        <v>241</v>
      </c>
      <c r="B51" s="1627" t="s">
        <v>242</v>
      </c>
      <c r="C51" s="1598"/>
      <c r="D51" s="1598"/>
      <c r="E51" s="2543"/>
      <c r="F51" s="2542"/>
      <c r="G51" s="1598"/>
      <c r="H51" s="1598"/>
      <c r="I51" s="1598"/>
      <c r="J51" s="1598"/>
      <c r="K51" s="1598"/>
      <c r="L51" s="1742"/>
      <c r="M51" s="1605"/>
      <c r="N51" s="1605"/>
      <c r="P51" s="1600"/>
      <c r="Q51" s="1601"/>
      <c r="R51" s="1600"/>
      <c r="S51" s="1606"/>
      <c r="T51" s="1609" t="s">
        <v>170</v>
      </c>
      <c r="U51" s="1608"/>
      <c r="V51" s="1608"/>
      <c r="W51" s="1608"/>
      <c r="X51" s="1608"/>
      <c r="Y51" s="1608"/>
      <c r="Z51" s="1608"/>
      <c r="AA51" s="1608"/>
      <c r="AB51" s="1608"/>
      <c r="AC51" s="1608"/>
      <c r="AD51" s="1608"/>
      <c r="AE51" s="1608"/>
      <c r="AF51" s="1608"/>
      <c r="AG51" s="1608"/>
      <c r="AH51" s="1608"/>
      <c r="AI51" s="1608"/>
      <c r="AJ51" s="1608"/>
      <c r="AK51" s="1608"/>
      <c r="AM51" s="1073"/>
      <c r="AN51" s="1073" t="str">
        <f>IF(T51="","",T51)</f>
        <v>Добавить централизованную систему для дифференциации</v>
      </c>
      <c r="AO51" s="1073"/>
      <c r="AP51" s="1073"/>
      <c r="AQ51" s="802">
        <v>0</v>
      </c>
    </row>
    <row s="14158" customFormat="1" customHeight="1" ht="0">
      <c r="A52" s="1627" t="s">
        <v>241</v>
      </c>
      <c r="B52" s="1627"/>
      <c r="C52" s="1627"/>
      <c r="D52" s="1627"/>
      <c r="E52" s="2542"/>
      <c r="F52" s="1627"/>
      <c r="G52" s="1627"/>
      <c r="H52" s="1627"/>
      <c r="I52" s="1627"/>
      <c r="J52" s="1627"/>
      <c r="K52" s="1627"/>
      <c r="L52" s="1630"/>
      <c r="M52" s="1605"/>
      <c r="N52" s="1605"/>
      <c r="O52" s="802"/>
      <c r="P52" s="664"/>
      <c r="Q52" s="1628"/>
      <c r="R52" s="664"/>
      <c r="S52" s="1606"/>
      <c r="T52" s="1609" t="s">
        <v>171</v>
      </c>
      <c r="U52" s="1608"/>
      <c r="V52" s="1608"/>
      <c r="W52" s="1608"/>
      <c r="X52" s="1608"/>
      <c r="Y52" s="1608"/>
      <c r="Z52" s="1608"/>
      <c r="AA52" s="1608"/>
      <c r="AB52" s="1608"/>
      <c r="AC52" s="1608"/>
      <c r="AD52" s="1608"/>
      <c r="AE52" s="1608"/>
      <c r="AF52" s="1608"/>
      <c r="AG52" s="1608"/>
      <c r="AH52" s="1608"/>
      <c r="AI52" s="1608"/>
      <c r="AJ52" s="1608"/>
      <c r="AK52" s="1608"/>
      <c r="AM52" s="784"/>
      <c r="AN52" s="784" t="str">
        <f>IF(T52="","",T52)</f>
        <v>Добавить территорию для дифференциации</v>
      </c>
      <c r="AO52" s="784"/>
      <c r="AP52" s="784"/>
      <c r="AQ52" s="795">
        <v>0</v>
      </c>
    </row>
    <row s="14158" customFormat="1" customHeight="1" ht="0">
      <c r="A53" s="1598"/>
      <c r="B53" s="1598"/>
      <c r="C53" s="1598"/>
      <c r="D53" s="1598"/>
      <c r="E53" s="1627"/>
      <c r="F53" s="1598"/>
      <c r="G53" s="1598"/>
      <c r="H53" s="1598"/>
      <c r="I53" s="1598"/>
      <c r="J53" s="1598"/>
      <c r="K53" s="1598"/>
      <c r="L53" s="1742"/>
      <c r="M53" s="1605"/>
      <c r="N53" s="1605"/>
      <c r="P53" s="1600"/>
      <c r="Q53" s="1601"/>
      <c r="R53" s="1600"/>
      <c r="S53" s="1606"/>
      <c r="T53" s="1609" t="s">
        <v>172</v>
      </c>
      <c r="U53" s="1608"/>
      <c r="V53" s="1608"/>
      <c r="W53" s="1608"/>
      <c r="X53" s="1608"/>
      <c r="Y53" s="1608"/>
      <c r="Z53" s="1608"/>
      <c r="AA53" s="1608"/>
      <c r="AB53" s="1608"/>
      <c r="AC53" s="1608"/>
      <c r="AD53" s="1608"/>
      <c r="AE53" s="1608"/>
      <c r="AF53" s="1608"/>
      <c r="AG53" s="1608"/>
      <c r="AH53" s="1608"/>
      <c r="AI53" s="1608"/>
      <c r="AJ53" s="1608"/>
      <c r="AK53" s="1608"/>
      <c r="AM53" s="1073"/>
      <c r="AN53" s="1073" t="str">
        <f>IF(T53="","",T53)</f>
        <v>Добавить наименование тарифа</v>
      </c>
      <c r="AO53" s="1073"/>
      <c r="AP53" s="1073"/>
      <c r="AQ53" s="802">
        <v>0</v>
      </c>
    </row>
    <row customHeight="1" ht="11.549999999999999">
      <c r="M54" s="1444"/>
      <c r="N54" s="1444"/>
      <c r="O54" s="821"/>
      <c r="P54" s="1439"/>
      <c r="Q54" s="1439"/>
      <c r="R54" s="1439"/>
      <c r="S54" s="1439"/>
      <c r="AL54" s="1439"/>
      <c r="AM54" s="1439"/>
      <c r="AN54" s="1439"/>
      <c r="AO54" s="1439"/>
      <c r="AP54" s="1439"/>
      <c r="AQ54" s="1439">
        <v>11</v>
      </c>
    </row>
    <row customHeight="1" ht="14.699999999999998">
      <c r="O55" s="821"/>
      <c r="S55" s="1537"/>
      <c r="T55" s="2569"/>
      <c r="U55" s="2569"/>
      <c r="V55" s="2569"/>
      <c r="W55" s="2569"/>
      <c r="X55" s="2569"/>
      <c r="Y55" s="2569"/>
      <c r="Z55" s="2569"/>
      <c r="AA55" s="2569"/>
      <c r="AB55" s="2569"/>
      <c r="AC55" s="2569"/>
      <c r="AD55" s="2569"/>
      <c r="AE55" s="2569"/>
      <c r="AF55" s="2569"/>
      <c r="AG55" s="2569"/>
      <c r="AH55" s="2569"/>
      <c r="AI55" s="2569"/>
      <c r="AJ55" s="2569"/>
      <c r="AK55" s="2569"/>
      <c r="AQ55" s="1439">
        <v>14</v>
      </c>
    </row>
    <row customHeight="1" ht="14.699999999999998">
      <c r="O56" s="821"/>
      <c r="AQ56" s="1439">
        <v>14</v>
      </c>
    </row>
    <row customHeight="1" ht="14.699999999999998">
      <c r="O57" s="821"/>
      <c r="S57" s="1537"/>
      <c r="T57" s="2569"/>
      <c r="U57" s="2569"/>
      <c r="V57" s="2569"/>
      <c r="W57" s="2569"/>
      <c r="X57" s="2569"/>
      <c r="Y57" s="2569"/>
      <c r="Z57" s="2569"/>
      <c r="AA57" s="2569"/>
      <c r="AB57" s="2569"/>
      <c r="AC57" s="2569"/>
      <c r="AD57" s="2569"/>
      <c r="AE57" s="2569"/>
      <c r="AF57" s="2569"/>
      <c r="AG57" s="2569"/>
      <c r="AH57" s="2569"/>
      <c r="AI57" s="2569"/>
      <c r="AJ57" s="2569"/>
      <c r="AK57" s="2569"/>
      <c r="AQ57" s="1439">
        <v>14</v>
      </c>
    </row>
    <row customHeight="1" ht="22.5" hidden="1">
      <c r="A58" s="1444" t="s">
        <v>83</v>
      </c>
      <c r="B58" s="1444">
        <v>0</v>
      </c>
      <c r="C58" s="1444">
        <v>0</v>
      </c>
      <c r="D58" s="1444">
        <v>0</v>
      </c>
      <c r="E58" s="1444">
        <v>0</v>
      </c>
      <c r="F58" s="1444">
        <v>0</v>
      </c>
      <c r="G58" s="1444">
        <v>0</v>
      </c>
      <c r="H58" s="1444">
        <v>0</v>
      </c>
      <c r="I58" s="1444">
        <v>0</v>
      </c>
      <c r="J58" s="1444">
        <v>0</v>
      </c>
      <c r="K58" s="1444">
        <v>0</v>
      </c>
      <c r="L58" s="1731">
        <v>0</v>
      </c>
      <c r="M58" s="1646">
        <v>0</v>
      </c>
      <c r="N58" s="1646">
        <v>0</v>
      </c>
      <c r="O58" s="1646">
        <v>0</v>
      </c>
      <c r="P58" s="1730">
        <v>3</v>
      </c>
      <c r="Q58" s="628">
        <v>3</v>
      </c>
      <c r="R58" s="628">
        <v>3</v>
      </c>
      <c r="S58" s="865">
        <v>12</v>
      </c>
      <c r="T58" s="1439">
        <v>35</v>
      </c>
      <c r="U58" s="1439">
        <v>0</v>
      </c>
      <c r="V58" s="1439">
        <v>0</v>
      </c>
      <c r="W58" s="1439">
        <v>0</v>
      </c>
      <c r="X58" s="1439">
        <v>0</v>
      </c>
      <c r="Y58" s="1439">
        <v>0</v>
      </c>
      <c r="Z58" s="1439">
        <v>0</v>
      </c>
      <c r="AA58" s="1439">
        <v>0</v>
      </c>
      <c r="AB58" s="1439">
        <v>0</v>
      </c>
      <c r="AC58" s="1439">
        <v>24</v>
      </c>
      <c r="AD58" s="1439">
        <v>24</v>
      </c>
      <c r="AE58" s="1439">
        <v>24</v>
      </c>
      <c r="AF58" s="1439">
        <v>11</v>
      </c>
      <c r="AG58" s="1439">
        <v>3</v>
      </c>
      <c r="AH58" s="1439">
        <v>11</v>
      </c>
      <c r="AI58" s="1439">
        <v>0</v>
      </c>
      <c r="AJ58" s="1439">
        <v>4</v>
      </c>
      <c r="AK58" s="1439">
        <v>115</v>
      </c>
      <c r="AL58" s="795">
        <v>10</v>
      </c>
      <c r="AM58" s="795">
        <v>10</v>
      </c>
      <c r="AN58" s="795">
        <v>10</v>
      </c>
      <c r="AO58" s="795">
        <v>10</v>
      </c>
      <c r="AP58" s="795">
        <v>10</v>
      </c>
      <c r="AQ58" s="1439">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D9E650C-4178-702F-0378-A5E663848118}"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4157" width="10.57421875" hidden="1"/>
    <col min="2" max="2" style="14157" width="11.00390625" hidden="1" customWidth="1"/>
    <col min="3" max="3" style="14157" width="10.57421875" hidden="1"/>
    <col min="4" max="4" style="14157" width="11.8515625" hidden="1" customWidth="1"/>
    <col min="5" max="5" style="14157" width="10.00390625" hidden="1" customWidth="1"/>
    <col min="6" max="6" style="14157" width="8.7109375" hidden="1" customWidth="1"/>
    <col min="7" max="7" style="14157" width="7.57421875" hidden="1" customWidth="1"/>
    <col min="8" max="8" style="14157" width="11.421875" hidden="1" customWidth="1"/>
    <col min="9" max="9" style="14157" width="14.140625" hidden="1" customWidth="1"/>
    <col min="10" max="10" style="14157" width="9.8515625" hidden="1" customWidth="1"/>
    <col min="11" max="11" style="14157" width="14.7109375" hidden="1" customWidth="1"/>
    <col min="12" max="12" style="14974" width="19.140625" hidden="1" customWidth="1"/>
    <col min="13" max="14" style="14975" width="12.28125" hidden="1" customWidth="1"/>
    <col min="15" max="15" style="14975" width="23.421875" hidden="1" customWidth="1"/>
    <col min="16" max="16" style="14976" width="3.00390625" customWidth="1"/>
    <col min="17" max="18" style="14977" width="3.00390625" customWidth="1"/>
    <col min="19" max="19" style="14978" width="12.00390625" customWidth="1"/>
    <col min="20" max="20" style="14077" width="35.00390625" customWidth="1"/>
    <col min="21" max="21" style="14077" width="0.140625" customWidth="1"/>
    <col min="22" max="24" style="14077" width="24.7109375" hidden="1" customWidth="1"/>
    <col min="25" max="25" style="14077" width="11.7109375" hidden="1" customWidth="1"/>
    <col min="26" max="26" style="14077" width="3.7109375" hidden="1" customWidth="1"/>
    <col min="27" max="27" style="14077" width="11.7109375" hidden="1" customWidth="1"/>
    <col min="28" max="28" style="14077" width="8.57421875" hidden="1" customWidth="1"/>
    <col min="29" max="29" style="14077" width="24.7109375" customWidth="1"/>
    <col min="30" max="31" style="14077" width="24.00390625" customWidth="1"/>
    <col min="32" max="32" style="14077" width="11.00390625" customWidth="1"/>
    <col min="33" max="33" style="14077" width="3.7109375" customWidth="1"/>
    <col min="34" max="34" style="14077" width="11.00390625" customWidth="1"/>
    <col min="35" max="35" style="14077" width="8.57421875" hidden="1" customWidth="1"/>
    <col min="36" max="36" style="14077" width="4.00390625" customWidth="1"/>
    <col min="37" max="37" style="14077" width="115.00390625" customWidth="1"/>
    <col min="38" max="42" style="14158" width="10.00390625" customWidth="1"/>
    <col min="43" max="43" style="14077" width="10.57421875" hidden="1"/>
  </cols>
  <sheetData>
    <row customHeight="1" ht="22.5" hidden="1">
      <c r="X1" s="611"/>
      <c r="Y1" s="611"/>
      <c r="AE1" s="611"/>
      <c r="AF1" s="611"/>
      <c r="AQ1" s="1439" t="s">
        <v>14</v>
      </c>
    </row>
    <row customHeight="1" ht="23.25" hidden="1">
      <c r="A2" s="1647"/>
      <c r="B2" s="1647"/>
      <c r="C2" s="1647"/>
      <c r="D2" s="1647"/>
      <c r="E2" s="2542">
        <v>1</v>
      </c>
      <c r="F2" s="1647"/>
      <c r="G2" s="1647"/>
      <c r="H2" s="1647"/>
      <c r="I2" s="1647"/>
      <c r="J2" s="1647"/>
      <c r="K2" s="1647"/>
      <c r="L2" s="1648"/>
      <c r="M2" s="1649"/>
      <c r="N2" s="1649"/>
      <c r="O2" s="1649"/>
      <c r="P2" s="645"/>
      <c r="Q2" s="644"/>
      <c r="R2" s="639"/>
      <c r="S2" s="1741">
        <f>INDEX(PT_DIFFERENTIATION_NUM_NTAR,MATCH(A2,PT_DIFFERENTIATION_NTAR_ID,0))</f>
      </c>
      <c r="T2" s="582" t="s">
        <v>124</v>
      </c>
      <c r="U2" s="584"/>
      <c r="V2" s="2526"/>
      <c r="W2" s="2527"/>
      <c r="X2" s="2527"/>
      <c r="Y2" s="2527"/>
      <c r="Z2" s="2527"/>
      <c r="AA2" s="2527"/>
      <c r="AB2" s="2528"/>
      <c r="AC2" s="2526">
        <f>INDEX(PT_DIFFERENTIATION_NTAR,MATCH(A2,PT_DIFFERENTIATION_NTAR_ID,0))</f>
      </c>
      <c r="AD2" s="2527"/>
      <c r="AE2" s="2527"/>
      <c r="AF2" s="2527"/>
      <c r="AG2" s="2527"/>
      <c r="AH2" s="2527"/>
      <c r="AI2" s="2527"/>
      <c r="AJ2" s="2528"/>
      <c r="AK2" s="154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784"/>
      <c r="AN2" s="784" t="str">
        <f>IF(T2="","",T2)</f>
        <v>Наименование тарифа</v>
      </c>
      <c r="AO2" s="784"/>
      <c r="AP2" s="784"/>
      <c r="AQ2" s="1439">
        <v>0</v>
      </c>
    </row>
    <row customHeight="1" ht="23.25" hidden="1">
      <c r="A3" s="1647"/>
      <c r="B3" s="1647"/>
      <c r="C3" s="1647"/>
      <c r="D3" s="1647"/>
      <c r="E3" s="2543"/>
      <c r="F3" s="2542">
        <v>1</v>
      </c>
      <c r="G3" s="1647"/>
      <c r="H3" s="1647"/>
      <c r="I3" s="1647"/>
      <c r="J3" s="1647"/>
      <c r="K3" s="1647"/>
      <c r="L3" s="1648"/>
      <c r="M3" s="1649"/>
      <c r="N3" s="1649"/>
      <c r="O3" s="1649"/>
      <c r="P3" s="1737"/>
      <c r="Q3" s="636"/>
      <c r="R3" s="637"/>
      <c r="S3" s="1741">
        <f>INDEX(PT_DIFFERENTIATION_NUM_TER,MATCH(B3,PT_DIFFERENTIATION_TER_ID,0))</f>
      </c>
      <c r="T3" s="592" t="s">
        <v>402</v>
      </c>
      <c r="U3" s="584"/>
      <c r="V3" s="2526"/>
      <c r="W3" s="2527"/>
      <c r="X3" s="2527"/>
      <c r="Y3" s="2527"/>
      <c r="Z3" s="2527"/>
      <c r="AA3" s="2527"/>
      <c r="AB3" s="2528"/>
      <c r="AC3" s="2526">
        <f>INDEX(PT_DIFFERENTIATION_TER,MATCH(B3,PT_DIFFERENTIATION_TER_ID,0))</f>
      </c>
      <c r="AD3" s="2527"/>
      <c r="AE3" s="2527"/>
      <c r="AF3" s="2527"/>
      <c r="AG3" s="2527"/>
      <c r="AH3" s="2527"/>
      <c r="AI3" s="2527"/>
      <c r="AJ3" s="2528"/>
      <c r="AK3" s="1542" t="s">
        <v>403</v>
      </c>
      <c r="AM3" s="784"/>
      <c r="AN3" s="784" t="str">
        <f>IF(T3="","",T3)</f>
        <v>Территория действия тарифа</v>
      </c>
      <c r="AO3" s="784"/>
      <c r="AP3" s="784"/>
      <c r="AQ3" s="1439">
        <v>0</v>
      </c>
    </row>
    <row customHeight="1" ht="23.25" hidden="1">
      <c r="A4" s="1647"/>
      <c r="B4" s="1647"/>
      <c r="C4" s="1647"/>
      <c r="D4" s="1647"/>
      <c r="E4" s="2543"/>
      <c r="F4" s="2543"/>
      <c r="G4" s="2542">
        <v>1</v>
      </c>
      <c r="H4" s="1647"/>
      <c r="I4" s="1647"/>
      <c r="J4" s="1647"/>
      <c r="K4" s="1647"/>
      <c r="L4" s="1648"/>
      <c r="M4" s="1649"/>
      <c r="N4" s="1649"/>
      <c r="O4" s="1649"/>
      <c r="P4" s="638"/>
      <c r="Q4" s="636"/>
      <c r="R4" s="637"/>
      <c r="S4" s="1741">
        <f>INDEX(PT_DIFFERENTIATION_NUM_CS,MATCH(C4,PT_DIFFERENTIATION_CS_ID,0))</f>
      </c>
      <c r="T4" s="593" t="s">
        <v>489</v>
      </c>
      <c r="U4" s="584"/>
      <c r="V4" s="2526"/>
      <c r="W4" s="2527"/>
      <c r="X4" s="2527"/>
      <c r="Y4" s="2527"/>
      <c r="Z4" s="2527"/>
      <c r="AA4" s="2527"/>
      <c r="AB4" s="2528"/>
      <c r="AC4" s="2526">
        <f>INDEX(PT_DIFFERENTIATION_CS,MATCH(C4,PT_DIFFERENTIATION_CS_ID,0))</f>
      </c>
      <c r="AD4" s="2527"/>
      <c r="AE4" s="2527"/>
      <c r="AF4" s="2527"/>
      <c r="AG4" s="2527"/>
      <c r="AH4" s="2527"/>
      <c r="AI4" s="2527"/>
      <c r="AJ4" s="2528"/>
      <c r="AK4" s="1542" t="s">
        <v>490</v>
      </c>
      <c r="AM4" s="784"/>
      <c r="AN4" s="784" t="str">
        <f>IF(T4="","",T4)</f>
        <v>Наименование централизованной системы холодного водоснабжения</v>
      </c>
      <c r="AO4" s="784"/>
      <c r="AP4" s="784"/>
      <c r="AQ4" s="1439">
        <v>0</v>
      </c>
    </row>
    <row customHeight="1" ht="23.25" hidden="1">
      <c r="A5" s="1647"/>
      <c r="B5" s="1647"/>
      <c r="C5" s="1647"/>
      <c r="D5" s="1647"/>
      <c r="E5" s="2543"/>
      <c r="F5" s="2543"/>
      <c r="G5" s="2543"/>
      <c r="H5" s="2543"/>
      <c r="I5" s="2540">
        <f>S4&amp;".1"</f>
      </c>
      <c r="J5" s="1647"/>
      <c r="K5" s="1647"/>
      <c r="L5" s="1648"/>
      <c r="P5" s="2541">
        <v>1</v>
      </c>
      <c r="Q5" s="1734"/>
      <c r="R5" s="640"/>
      <c r="S5" s="1741">
        <f>$I5</f>
      </c>
      <c r="T5" s="569" t="s">
        <v>491</v>
      </c>
      <c r="U5" s="584"/>
      <c r="V5" s="2634"/>
      <c r="W5" s="2635"/>
      <c r="X5" s="2635"/>
      <c r="Y5" s="2635"/>
      <c r="Z5" s="2635"/>
      <c r="AA5" s="2635"/>
      <c r="AB5" s="2636"/>
      <c r="AC5" s="2637"/>
      <c r="AD5" s="2638"/>
      <c r="AE5" s="2638"/>
      <c r="AF5" s="2638"/>
      <c r="AG5" s="2638"/>
      <c r="AH5" s="2638"/>
      <c r="AI5" s="2638"/>
      <c r="AJ5" s="2639"/>
      <c r="AK5" s="1542" t="s">
        <v>492</v>
      </c>
      <c r="AM5" s="784"/>
      <c r="AN5" s="784" t="str">
        <f>IF(T5="","",T5)</f>
        <v>Наименование признака дифференциации</v>
      </c>
      <c r="AO5" s="784"/>
      <c r="AP5" s="784"/>
      <c r="AQ5" s="1439">
        <v>0</v>
      </c>
    </row>
    <row customHeight="1" ht="23.25" hidden="1">
      <c r="A6" s="1647"/>
      <c r="B6" s="1647"/>
      <c r="C6" s="1647"/>
      <c r="D6" s="1647"/>
      <c r="E6" s="2543"/>
      <c r="F6" s="2543"/>
      <c r="G6" s="2543"/>
      <c r="H6" s="2543"/>
      <c r="I6" s="2570"/>
      <c r="J6" s="2540">
        <f>I5&amp;".1"</f>
      </c>
      <c r="K6" s="1647"/>
      <c r="L6" s="1648" t="s">
        <v>411</v>
      </c>
      <c r="P6" s="2541"/>
      <c r="Q6" s="2541">
        <v>1</v>
      </c>
      <c r="R6" s="641"/>
      <c r="S6" s="1741">
        <f>$J6</f>
      </c>
      <c r="T6" s="570" t="s">
        <v>412</v>
      </c>
      <c r="U6" s="584"/>
      <c r="V6" s="2529"/>
      <c r="W6" s="2530"/>
      <c r="X6" s="2530"/>
      <c r="Y6" s="2530"/>
      <c r="Z6" s="2530"/>
      <c r="AA6" s="2530"/>
      <c r="AB6" s="2531"/>
      <c r="AC6" s="2529"/>
      <c r="AD6" s="2530"/>
      <c r="AE6" s="2530"/>
      <c r="AF6" s="2530"/>
      <c r="AG6" s="2530"/>
      <c r="AH6" s="2530"/>
      <c r="AI6" s="2530"/>
      <c r="AJ6" s="2531"/>
      <c r="AK6" s="1591" t="s">
        <v>493</v>
      </c>
      <c r="AM6" s="784"/>
      <c r="AN6" s="784" t="str">
        <f>IF(T6="","",T6)</f>
        <v>Группа потребителей</v>
      </c>
      <c r="AO6" s="784"/>
      <c r="AP6" s="784"/>
      <c r="AQ6" s="1439">
        <v>0</v>
      </c>
    </row>
    <row customHeight="1" ht="23.25" hidden="1">
      <c r="A7" s="1647"/>
      <c r="B7" s="1647"/>
      <c r="C7" s="1647"/>
      <c r="D7" s="1647"/>
      <c r="E7" s="2543"/>
      <c r="F7" s="2543"/>
      <c r="G7" s="2543"/>
      <c r="H7" s="2543"/>
      <c r="I7" s="2570"/>
      <c r="J7" s="2570"/>
      <c r="K7" s="2540">
        <f>J6&amp;".1"</f>
      </c>
      <c r="L7" s="1648"/>
      <c r="P7" s="2541"/>
      <c r="Q7" s="2541"/>
      <c r="R7" s="641">
        <v>1</v>
      </c>
      <c r="S7" s="1741">
        <f>$K7</f>
      </c>
      <c r="T7" s="1721"/>
      <c r="U7" s="584"/>
      <c r="V7" s="1035"/>
      <c r="W7" s="1035"/>
      <c r="X7" s="1541"/>
      <c r="Y7" s="2549"/>
      <c r="Z7" s="2391" t="s">
        <v>67</v>
      </c>
      <c r="AA7" s="2549"/>
      <c r="AB7" s="2391" t="s">
        <v>67</v>
      </c>
      <c r="AC7" s="1035"/>
      <c r="AD7" s="1035"/>
      <c r="AE7" s="1541"/>
      <c r="AF7" s="2549"/>
      <c r="AG7" s="2391" t="s">
        <v>67</v>
      </c>
      <c r="AH7" s="2571"/>
      <c r="AI7" s="2391" t="s">
        <v>67</v>
      </c>
      <c r="AJ7" s="1722"/>
      <c r="AK7" s="263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795">
        <f>STRCHECKDATE(V8:AJ8)</f>
      </c>
      <c r="AM7" s="784"/>
      <c r="AN7" s="784" t="str">
        <f>IF(T7="","",T7)</f>
        <v/>
      </c>
      <c r="AO7" s="784"/>
      <c r="AP7" s="784"/>
      <c r="AQ7" s="1439">
        <v>0</v>
      </c>
    </row>
    <row customHeight="1" ht="14.25" hidden="1">
      <c r="A8" s="1647"/>
      <c r="B8" s="1647"/>
      <c r="C8" s="1647"/>
      <c r="D8" s="1647"/>
      <c r="E8" s="2543"/>
      <c r="F8" s="2543"/>
      <c r="G8" s="2543"/>
      <c r="H8" s="2543"/>
      <c r="I8" s="2570"/>
      <c r="J8" s="2570"/>
      <c r="K8" s="2540"/>
      <c r="L8" s="1648"/>
      <c r="P8" s="2541"/>
      <c r="Q8" s="2541"/>
      <c r="R8" s="641"/>
      <c r="S8" s="1740"/>
      <c r="T8" s="584"/>
      <c r="U8" s="584"/>
      <c r="V8" s="609"/>
      <c r="W8" s="609"/>
      <c r="X8" s="612" t="str">
        <f>Y7&amp;"-"&amp;AA7</f>
        <v>-</v>
      </c>
      <c r="Y8" s="2550"/>
      <c r="Z8" s="2391"/>
      <c r="AA8" s="2550"/>
      <c r="AB8" s="2391"/>
      <c r="AC8" s="609"/>
      <c r="AD8" s="609"/>
      <c r="AE8" s="612" t="str">
        <f>AF7&amp;"-"&amp;AH7</f>
        <v>-</v>
      </c>
      <c r="AF8" s="2550"/>
      <c r="AG8" s="2391"/>
      <c r="AH8" s="2572"/>
      <c r="AI8" s="2391"/>
      <c r="AJ8" s="1723"/>
      <c r="AK8" s="2633"/>
      <c r="AM8" s="784"/>
      <c r="AN8" s="784" t="str">
        <f>IF(T8="","",T8)</f>
        <v/>
      </c>
      <c r="AO8" s="784"/>
      <c r="AP8" s="784"/>
      <c r="AQ8" s="1439">
        <v>0</v>
      </c>
    </row>
    <row customHeight="1" ht="21" hidden="1">
      <c r="A9" s="1647"/>
      <c r="B9" s="1647"/>
      <c r="C9" s="1647"/>
      <c r="D9" s="1647"/>
      <c r="E9" s="2543"/>
      <c r="F9" s="2543"/>
      <c r="G9" s="2543"/>
      <c r="H9" s="2543"/>
      <c r="I9" s="2570"/>
      <c r="J9" s="2540"/>
      <c r="K9" s="1647"/>
      <c r="L9" s="1648"/>
      <c r="P9" s="2541"/>
      <c r="Q9" s="2541"/>
      <c r="R9" s="640"/>
      <c r="S9" s="1562"/>
      <c r="T9" s="571" t="s">
        <v>494</v>
      </c>
      <c r="U9" s="651"/>
      <c r="V9" s="651"/>
      <c r="W9" s="651"/>
      <c r="X9" s="651"/>
      <c r="Y9" s="651"/>
      <c r="Z9" s="651"/>
      <c r="AA9" s="651"/>
      <c r="AB9" s="651"/>
      <c r="AC9" s="651"/>
      <c r="AD9" s="651"/>
      <c r="AE9" s="651"/>
      <c r="AF9" s="651"/>
      <c r="AG9" s="651"/>
      <c r="AH9" s="651"/>
      <c r="AI9" s="651"/>
      <c r="AJ9" s="651"/>
      <c r="AK9" s="1542" t="s">
        <v>495</v>
      </c>
      <c r="AM9" s="784"/>
      <c r="AN9" s="784" t="str">
        <f>IF(T9="","",T9)</f>
        <v>Добавить значение признака дифференциации</v>
      </c>
      <c r="AO9" s="784"/>
      <c r="AP9" s="784"/>
      <c r="AQ9" s="1439">
        <v>0</v>
      </c>
    </row>
    <row customHeight="1" ht="21" hidden="1">
      <c r="A10" s="1647"/>
      <c r="B10" s="1647"/>
      <c r="C10" s="1647"/>
      <c r="D10" s="1647"/>
      <c r="E10" s="2543"/>
      <c r="F10" s="2543"/>
      <c r="G10" s="2543"/>
      <c r="H10" s="2543"/>
      <c r="I10" s="2540"/>
      <c r="J10" s="1647"/>
      <c r="K10" s="1647"/>
      <c r="L10" s="1648"/>
      <c r="P10" s="2541"/>
      <c r="Q10" s="1734"/>
      <c r="R10" s="640"/>
      <c r="S10" s="1562"/>
      <c r="T10" s="649" t="s">
        <v>417</v>
      </c>
      <c r="U10" s="651"/>
      <c r="V10" s="651"/>
      <c r="W10" s="651"/>
      <c r="X10" s="651"/>
      <c r="Y10" s="651"/>
      <c r="Z10" s="651"/>
      <c r="AA10" s="651"/>
      <c r="AB10" s="650"/>
      <c r="AC10" s="651"/>
      <c r="AD10" s="651"/>
      <c r="AE10" s="651"/>
      <c r="AF10" s="651"/>
      <c r="AG10" s="651"/>
      <c r="AH10" s="651"/>
      <c r="AI10" s="650"/>
      <c r="AJ10" s="651"/>
      <c r="AK10" s="1724"/>
      <c r="AM10" s="784"/>
      <c r="AN10" s="784" t="str">
        <f>IF(T10="","",T10)</f>
        <v>Добавить группу потребителей</v>
      </c>
      <c r="AO10" s="784"/>
      <c r="AP10" s="784"/>
      <c r="AQ10" s="1439">
        <v>0</v>
      </c>
    </row>
    <row customHeight="1" ht="21" hidden="1">
      <c r="A11" s="1647"/>
      <c r="B11" s="1647"/>
      <c r="C11" s="1647"/>
      <c r="D11" s="1647"/>
      <c r="E11" s="2543"/>
      <c r="F11" s="2543"/>
      <c r="G11" s="2543"/>
      <c r="H11" s="2542"/>
      <c r="I11" s="1647"/>
      <c r="J11" s="1647"/>
      <c r="K11" s="1647"/>
      <c r="L11" s="1648"/>
      <c r="M11" s="1649"/>
      <c r="N11" s="1649"/>
      <c r="O11" s="821"/>
      <c r="P11" s="644"/>
      <c r="Q11" s="659"/>
      <c r="R11" s="639"/>
      <c r="S11" s="1562"/>
      <c r="T11" s="656" t="s">
        <v>496</v>
      </c>
      <c r="U11" s="651"/>
      <c r="V11" s="651"/>
      <c r="W11" s="651"/>
      <c r="X11" s="651"/>
      <c r="Y11" s="651"/>
      <c r="Z11" s="651"/>
      <c r="AA11" s="651"/>
      <c r="AB11" s="650"/>
      <c r="AC11" s="651"/>
      <c r="AD11" s="651"/>
      <c r="AE11" s="651"/>
      <c r="AF11" s="651"/>
      <c r="AG11" s="651"/>
      <c r="AH11" s="651"/>
      <c r="AI11" s="650"/>
      <c r="AJ11" s="651"/>
      <c r="AK11" s="587"/>
      <c r="AM11" s="784"/>
      <c r="AN11" s="784" t="str">
        <f>IF(T11="","",T11)</f>
        <v>Добавить наименование признака дифференциации</v>
      </c>
      <c r="AO11" s="784"/>
      <c r="AP11" s="784"/>
      <c r="AQ11" s="1439">
        <v>0</v>
      </c>
    </row>
    <row s="14158" customFormat="1" customHeight="1" ht="14.25" hidden="1">
      <c r="A12" s="1627"/>
      <c r="B12" s="1627"/>
      <c r="C12" s="1598"/>
      <c r="D12" s="1598"/>
      <c r="E12" s="2543"/>
      <c r="F12" s="2542"/>
      <c r="G12" s="1598"/>
      <c r="H12" s="1598"/>
      <c r="I12" s="1598"/>
      <c r="J12" s="1598"/>
      <c r="K12" s="1598"/>
      <c r="L12" s="1742"/>
      <c r="M12" s="1605"/>
      <c r="N12" s="1605"/>
      <c r="P12" s="1600"/>
      <c r="Q12" s="1601"/>
      <c r="R12" s="1600"/>
      <c r="S12" s="1606"/>
      <c r="T12" s="1609" t="s">
        <v>170</v>
      </c>
      <c r="U12" s="1608"/>
      <c r="V12" s="1608"/>
      <c r="W12" s="1608"/>
      <c r="X12" s="1608"/>
      <c r="Y12" s="1608"/>
      <c r="Z12" s="1608"/>
      <c r="AA12" s="1608"/>
      <c r="AB12" s="1608"/>
      <c r="AC12" s="1608"/>
      <c r="AD12" s="1608"/>
      <c r="AE12" s="1608"/>
      <c r="AF12" s="1608"/>
      <c r="AG12" s="1608"/>
      <c r="AH12" s="1608"/>
      <c r="AI12" s="1608"/>
      <c r="AJ12" s="1608"/>
      <c r="AK12" s="1608"/>
      <c r="AM12" s="1073"/>
      <c r="AN12" s="1073" t="str">
        <f>IF(T12="","",T12)</f>
        <v>Добавить централизованную систему для дифференциации</v>
      </c>
      <c r="AO12" s="1073"/>
      <c r="AP12" s="1073"/>
      <c r="AQ12" s="802">
        <v>0</v>
      </c>
    </row>
    <row s="14158" customFormat="1" customHeight="1" ht="14.25" hidden="1">
      <c r="A13" s="1627"/>
      <c r="B13" s="1627"/>
      <c r="C13" s="1627"/>
      <c r="D13" s="1627"/>
      <c r="E13" s="2542"/>
      <c r="F13" s="1627"/>
      <c r="G13" s="1627"/>
      <c r="H13" s="1627"/>
      <c r="I13" s="1627"/>
      <c r="J13" s="1627"/>
      <c r="K13" s="1627"/>
      <c r="L13" s="1630"/>
      <c r="M13" s="1605"/>
      <c r="N13" s="1605"/>
      <c r="O13" s="802"/>
      <c r="P13" s="664"/>
      <c r="Q13" s="1628"/>
      <c r="R13" s="664"/>
      <c r="S13" s="1606"/>
      <c r="T13" s="1609" t="s">
        <v>171</v>
      </c>
      <c r="U13" s="1608"/>
      <c r="V13" s="1608"/>
      <c r="W13" s="1608"/>
      <c r="X13" s="1608"/>
      <c r="Y13" s="1608"/>
      <c r="Z13" s="1608"/>
      <c r="AA13" s="1608"/>
      <c r="AB13" s="1608"/>
      <c r="AC13" s="1608"/>
      <c r="AD13" s="1608"/>
      <c r="AE13" s="1608"/>
      <c r="AF13" s="1608"/>
      <c r="AG13" s="1608"/>
      <c r="AH13" s="1608"/>
      <c r="AI13" s="1608"/>
      <c r="AJ13" s="1608"/>
      <c r="AK13" s="1608"/>
      <c r="AM13" s="784"/>
      <c r="AN13" s="784" t="str">
        <f>IF(T13="","",T13)</f>
        <v>Добавить территорию для дифференциации</v>
      </c>
      <c r="AO13" s="784"/>
      <c r="AP13" s="784"/>
      <c r="AQ13" s="795">
        <v>0</v>
      </c>
    </row>
    <row customHeight="1" ht="14.25" hidden="1">
      <c r="AB14" s="611"/>
      <c r="AI14" s="611"/>
      <c r="AQ14" s="1439">
        <v>0</v>
      </c>
    </row>
    <row customHeight="1" ht="14.25" hidden="1">
      <c r="AC15" s="1644"/>
      <c r="AD15" s="1644"/>
      <c r="AE15" s="1645"/>
      <c r="AF15" s="2551"/>
      <c r="AG15" s="2552" t="s">
        <v>67</v>
      </c>
      <c r="AH15" s="2551"/>
      <c r="AI15" s="2552" t="s">
        <v>67</v>
      </c>
      <c r="AQ15" s="1439">
        <v>0</v>
      </c>
    </row>
    <row customHeight="1" ht="14.25" hidden="1">
      <c r="AC16" s="1644"/>
      <c r="AD16" s="1644"/>
      <c r="AE16" s="612" t="str">
        <f>AF15&amp;"-"&amp;AH15</f>
        <v>-</v>
      </c>
      <c r="AF16" s="2552"/>
      <c r="AG16" s="2552"/>
      <c r="AH16" s="2552"/>
      <c r="AI16" s="2552"/>
      <c r="AQ16" s="1439">
        <v>0</v>
      </c>
    </row>
    <row customHeight="1" ht="14.25" hidden="1">
      <c r="AI17" s="611"/>
      <c r="AQ17" s="1439">
        <v>0</v>
      </c>
    </row>
    <row s="14157" customFormat="1" customHeight="1" ht="22.5" hidden="1">
      <c r="L18" s="1731"/>
      <c r="M18" s="1646"/>
      <c r="N18" s="1646"/>
      <c r="O18" s="1651" t="s">
        <v>419</v>
      </c>
      <c r="P18" s="1646"/>
      <c r="Q18" s="1655"/>
      <c r="R18" s="1655"/>
      <c r="S18" s="1013"/>
      <c r="Y18" s="1651"/>
      <c r="AA18" s="1651"/>
      <c r="AB18" s="1650"/>
      <c r="AF18" s="1651"/>
      <c r="AH18" s="1651"/>
      <c r="AI18" s="1650"/>
      <c r="AL18" s="795"/>
      <c r="AM18" s="795"/>
      <c r="AN18" s="795"/>
      <c r="AO18" s="795"/>
      <c r="AP18" s="795"/>
      <c r="AQ18" s="1444">
        <v>0</v>
      </c>
    </row>
    <row s="14157" customFormat="1" customHeight="1" ht="14.25" hidden="1">
      <c r="L19" s="1731"/>
      <c r="M19" s="1646"/>
      <c r="N19" s="1646"/>
      <c r="O19" s="1646"/>
      <c r="P19" s="1646"/>
      <c r="Q19" s="1655"/>
      <c r="R19" s="1655"/>
      <c r="S19" s="1013"/>
      <c r="AB19" s="1650"/>
      <c r="AI19" s="1650"/>
      <c r="AL19" s="795"/>
      <c r="AM19" s="795"/>
      <c r="AN19" s="795"/>
      <c r="AO19" s="795"/>
      <c r="AP19" s="795"/>
      <c r="AQ19" s="1444">
        <v>0</v>
      </c>
    </row>
    <row s="14157" customFormat="1" customHeight="1" ht="12" hidden="1">
      <c r="L20" s="1731"/>
      <c r="M20" s="1646"/>
      <c r="N20" s="1646"/>
      <c r="O20" s="1648" t="s">
        <v>420</v>
      </c>
      <c r="P20" s="1646"/>
      <c r="Q20" s="1726"/>
      <c r="R20" s="1726"/>
      <c r="S20" s="1013"/>
      <c r="T20" s="1444" t="s">
        <v>421</v>
      </c>
      <c r="Z20" s="470" t="s">
        <v>422</v>
      </c>
      <c r="AB20" s="470" t="s">
        <v>423</v>
      </c>
      <c r="AC20" s="1444" t="s">
        <v>421</v>
      </c>
      <c r="AG20" s="470" t="s">
        <v>424</v>
      </c>
      <c r="AI20" s="470" t="s">
        <v>423</v>
      </c>
      <c r="AQ20" s="1444">
        <v>0</v>
      </c>
    </row>
    <row customHeight="1" ht="14.25" hidden="1">
      <c r="O21" s="1648"/>
      <c r="AQ21" s="1439">
        <v>0</v>
      </c>
    </row>
    <row customHeight="1" ht="14.25" hidden="1">
      <c r="O22" s="1648"/>
      <c r="AQ22" s="1439">
        <v>0</v>
      </c>
    </row>
    <row customHeight="1" ht="14.699999999999998">
      <c r="Q23" s="660"/>
      <c r="R23" s="660"/>
      <c r="S23" s="1559"/>
      <c r="T23" s="647"/>
      <c r="U23" s="647"/>
      <c r="V23" s="793"/>
      <c r="W23" s="793"/>
      <c r="X23" s="793"/>
      <c r="Y23" s="793"/>
      <c r="Z23" s="793"/>
      <c r="AA23" s="793"/>
      <c r="AB23" s="793"/>
      <c r="AC23" s="793"/>
      <c r="AD23" s="793"/>
      <c r="AE23" s="793"/>
      <c r="AF23" s="793"/>
      <c r="AG23" s="793"/>
      <c r="AH23" s="793"/>
      <c r="AI23" s="793"/>
      <c r="AQ23" s="1439">
        <v>14</v>
      </c>
    </row>
    <row customHeight="1" ht="14.699999999999998">
      <c r="Q24" s="660"/>
      <c r="R24" s="660"/>
      <c r="S24" s="2532"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532"/>
      <c r="U24" s="2532"/>
      <c r="V24" s="2532"/>
      <c r="W24" s="2532"/>
      <c r="X24" s="2532"/>
      <c r="Y24" s="2532"/>
      <c r="Z24" s="2532"/>
      <c r="AA24" s="2532"/>
      <c r="AB24" s="2532"/>
      <c r="AC24" s="2532"/>
      <c r="AD24" s="2532"/>
      <c r="AE24" s="2532"/>
      <c r="AF24" s="2532"/>
      <c r="AG24" s="2532"/>
      <c r="AH24" s="2532"/>
      <c r="AI24" s="1527"/>
      <c r="AQ24" s="1439">
        <v>14</v>
      </c>
    </row>
    <row customHeight="1" ht="14.699999999999998">
      <c r="Q25" s="660"/>
      <c r="R25" s="660"/>
      <c r="S25" s="2533" t="str">
        <f>IF(org=0,"Не определено",org)</f>
        <v>МУП г. Азова "Теплоэнерго"</v>
      </c>
      <c r="T25" s="2533"/>
      <c r="U25" s="2533"/>
      <c r="V25" s="2533"/>
      <c r="W25" s="2533"/>
      <c r="X25" s="2533"/>
      <c r="Y25" s="2533"/>
      <c r="Z25" s="2533"/>
      <c r="AA25" s="2533"/>
      <c r="AB25" s="2533"/>
      <c r="AC25" s="2533"/>
      <c r="AD25" s="2533"/>
      <c r="AE25" s="2533"/>
      <c r="AF25" s="2533"/>
      <c r="AG25" s="2533"/>
      <c r="AH25" s="2533"/>
      <c r="AI25" s="1527"/>
      <c r="AQ25" s="1439">
        <v>14</v>
      </c>
    </row>
    <row customHeight="1" ht="14.25" hidden="1">
      <c r="Q26" s="660"/>
      <c r="R26" s="660"/>
      <c r="S26" s="1559"/>
      <c r="T26" s="647"/>
      <c r="U26" s="647"/>
      <c r="V26" s="606"/>
      <c r="W26" s="606"/>
      <c r="X26" s="606"/>
      <c r="Y26" s="606"/>
      <c r="Z26" s="606"/>
      <c r="AA26" s="606"/>
      <c r="AB26" s="606"/>
      <c r="AC26" s="606"/>
      <c r="AD26" s="606"/>
      <c r="AE26" s="606"/>
      <c r="AF26" s="606"/>
      <c r="AG26" s="606"/>
      <c r="AH26" s="606"/>
      <c r="AI26" s="606"/>
      <c r="AJ26" s="793"/>
      <c r="AQ26" s="1439">
        <v>0</v>
      </c>
    </row>
    <row s="14284" customFormat="1" customHeight="1" ht="25.5" hidden="1">
      <c r="A27" s="1652"/>
      <c r="B27" s="1652"/>
      <c r="C27" s="1652"/>
      <c r="D27" s="1652"/>
      <c r="E27" s="1652"/>
      <c r="F27" s="1652"/>
      <c r="G27" s="1652"/>
      <c r="H27" s="1652"/>
      <c r="I27" s="1652"/>
      <c r="J27" s="1652"/>
      <c r="K27" s="1652"/>
      <c r="L27" s="1653"/>
      <c r="M27" s="1652"/>
      <c r="N27" s="1652"/>
      <c r="O27" s="1652"/>
      <c r="S27" s="2534" t="s">
        <v>42</v>
      </c>
      <c r="T27" s="2534"/>
      <c r="U27" s="1656"/>
      <c r="V27" s="2535" t="str">
        <f>IF(TITLE_NAME_OR_PR_CHANGE="",IF(TITLE_NAME_OR_PR="","",TITLE_NAME_OR_PR),TITLE_NAME_OR_PR_CHANGE)</f>
        <v/>
      </c>
      <c r="W27" s="2535"/>
      <c r="X27" s="2535"/>
      <c r="Y27" s="2535"/>
      <c r="Z27" s="2535"/>
      <c r="AA27" s="2535"/>
      <c r="AB27" s="610"/>
      <c r="AC27" s="2535" t="str">
        <f>IF(TITLE_NAME_OR_PR_CHANGE="",IF(TITLE_NAME_OR_PR="","",TITLE_NAME_OR_PR),TITLE_NAME_OR_PR_CHANGE)</f>
        <v/>
      </c>
      <c r="AD27" s="2535"/>
      <c r="AE27" s="2535"/>
      <c r="AF27" s="2535"/>
      <c r="AG27" s="2535"/>
      <c r="AH27" s="2535"/>
      <c r="AI27" s="610"/>
      <c r="AJ27" s="610"/>
      <c r="AK27" s="564"/>
      <c r="AL27" s="652"/>
      <c r="AM27" s="652"/>
      <c r="AN27" s="652"/>
      <c r="AO27" s="652"/>
      <c r="AP27" s="652"/>
      <c r="AQ27" s="702">
        <v>0</v>
      </c>
    </row>
    <row s="14284" customFormat="1" customHeight="1" ht="18.75" hidden="1">
      <c r="A28" s="1652"/>
      <c r="B28" s="1652"/>
      <c r="C28" s="1652"/>
      <c r="D28" s="1652"/>
      <c r="E28" s="1652"/>
      <c r="F28" s="1652"/>
      <c r="G28" s="1652"/>
      <c r="H28" s="1652"/>
      <c r="I28" s="1652"/>
      <c r="J28" s="1652"/>
      <c r="K28" s="1652"/>
      <c r="L28" s="1653"/>
      <c r="M28" s="1652"/>
      <c r="N28" s="1652"/>
      <c r="O28" s="1652"/>
      <c r="S28" s="2534" t="s">
        <v>425</v>
      </c>
      <c r="T28" s="2534"/>
      <c r="U28" s="1656"/>
      <c r="V28" s="2548" t="str">
        <f>IF(TITLE_DATE_PR_CHANGE="",IF(TITLE_DATE_PR="","",TITLE_DATE_PR),TITLE_DATE_PR_CHANGE)</f>
        <v>45471</v>
      </c>
      <c r="W28" s="2548"/>
      <c r="X28" s="2548"/>
      <c r="Y28" s="2548"/>
      <c r="Z28" s="2548"/>
      <c r="AA28" s="2548"/>
      <c r="AB28" s="610"/>
      <c r="AC28" s="2548" t="str">
        <f>IF(TITLE_DATE_PR_CHANGE="",IF(TITLE_DATE_PR="","",TITLE_DATE_PR),TITLE_DATE_PR_CHANGE)</f>
        <v>45471</v>
      </c>
      <c r="AD28" s="2548"/>
      <c r="AE28" s="2548"/>
      <c r="AF28" s="2548"/>
      <c r="AG28" s="2548"/>
      <c r="AH28" s="2548"/>
      <c r="AI28" s="610"/>
      <c r="AJ28" s="610"/>
      <c r="AK28" s="564"/>
      <c r="AL28" s="652"/>
      <c r="AM28" s="652"/>
      <c r="AN28" s="652"/>
      <c r="AO28" s="652"/>
      <c r="AP28" s="652"/>
      <c r="AQ28" s="702">
        <v>0</v>
      </c>
    </row>
    <row s="14284" customFormat="1" customHeight="1" ht="18.75" hidden="1">
      <c r="A29" s="1652"/>
      <c r="B29" s="1652"/>
      <c r="C29" s="1652"/>
      <c r="D29" s="1652"/>
      <c r="E29" s="1652"/>
      <c r="F29" s="1652"/>
      <c r="G29" s="1652"/>
      <c r="H29" s="1652"/>
      <c r="I29" s="1652"/>
      <c r="J29" s="1652"/>
      <c r="K29" s="1652"/>
      <c r="L29" s="1653"/>
      <c r="M29" s="1652"/>
      <c r="N29" s="1652"/>
      <c r="O29" s="1652"/>
      <c r="S29" s="2534" t="s">
        <v>426</v>
      </c>
      <c r="T29" s="2534"/>
      <c r="U29" s="1656"/>
      <c r="V29" s="2535" t="str">
        <f>IF(TITLE_NUMBER_PR_CHANGE="",IF(TITLE_NUMBER_PR="","",TITLE_NUMBER_PR),TITLE_NUMBER_PR_CHANGE)</f>
        <v>50/18-01/261</v>
      </c>
      <c r="W29" s="2535"/>
      <c r="X29" s="2535"/>
      <c r="Y29" s="2535"/>
      <c r="Z29" s="2535"/>
      <c r="AA29" s="2535"/>
      <c r="AB29" s="610"/>
      <c r="AC29" s="2535" t="str">
        <f>IF(TITLE_NUMBER_PR_CHANGE="",IF(TITLE_NUMBER_PR="","",TITLE_NUMBER_PR),TITLE_NUMBER_PR_CHANGE)</f>
        <v>50/18-01/261</v>
      </c>
      <c r="AD29" s="2535"/>
      <c r="AE29" s="2535"/>
      <c r="AF29" s="2535"/>
      <c r="AG29" s="2535"/>
      <c r="AH29" s="2535"/>
      <c r="AI29" s="610"/>
      <c r="AJ29" s="610"/>
      <c r="AK29" s="564"/>
      <c r="AL29" s="652"/>
      <c r="AM29" s="652"/>
      <c r="AN29" s="652"/>
      <c r="AO29" s="652"/>
      <c r="AP29" s="652"/>
      <c r="AQ29" s="702">
        <v>0</v>
      </c>
    </row>
    <row s="14284" customFormat="1" customHeight="1" ht="18.75" hidden="1">
      <c r="A30" s="1652"/>
      <c r="B30" s="1652"/>
      <c r="C30" s="1652"/>
      <c r="D30" s="1652"/>
      <c r="E30" s="1652"/>
      <c r="F30" s="1652"/>
      <c r="G30" s="1652"/>
      <c r="H30" s="1652"/>
      <c r="I30" s="1652"/>
      <c r="J30" s="1652"/>
      <c r="K30" s="1652"/>
      <c r="L30" s="1653"/>
      <c r="M30" s="1652"/>
      <c r="N30" s="1652"/>
      <c r="O30" s="1652"/>
      <c r="S30" s="2534" t="s">
        <v>43</v>
      </c>
      <c r="T30" s="2534"/>
      <c r="U30" s="1656"/>
      <c r="V30" s="2535" t="str">
        <f>IF(TITLE_IST_PUB_CHANGE="",IF(TITLE_IST_PUB="","",TITLE_IST_PUB),TITLE_IST_PUB_CHANGE)</f>
        <v/>
      </c>
      <c r="W30" s="2535"/>
      <c r="X30" s="2535"/>
      <c r="Y30" s="2535"/>
      <c r="Z30" s="2535"/>
      <c r="AA30" s="2535"/>
      <c r="AB30" s="610"/>
      <c r="AC30" s="2535" t="str">
        <f>IF(TITLE_IST_PUB_CHANGE="",IF(TITLE_IST_PUB="","",TITLE_IST_PUB),TITLE_IST_PUB_CHANGE)</f>
        <v/>
      </c>
      <c r="AD30" s="2535"/>
      <c r="AE30" s="2535"/>
      <c r="AF30" s="2535"/>
      <c r="AG30" s="2535"/>
      <c r="AH30" s="2535"/>
      <c r="AI30" s="610"/>
      <c r="AJ30" s="610"/>
      <c r="AK30" s="564"/>
      <c r="AL30" s="652"/>
      <c r="AM30" s="652"/>
      <c r="AN30" s="652"/>
      <c r="AO30" s="652"/>
      <c r="AP30" s="652"/>
      <c r="AQ30" s="702">
        <v>0</v>
      </c>
    </row>
    <row customHeight="1" ht="14.25">
      <c r="Q31" s="660"/>
      <c r="R31" s="660"/>
      <c r="S31" s="1559"/>
      <c r="T31" s="647"/>
      <c r="U31" s="647"/>
      <c r="V31" s="606"/>
      <c r="W31" s="606"/>
      <c r="X31" s="606"/>
      <c r="Y31" s="606"/>
      <c r="Z31" s="606"/>
      <c r="AA31" s="606"/>
      <c r="AB31" s="606"/>
      <c r="AC31" s="606"/>
      <c r="AD31" s="606"/>
      <c r="AE31" s="606"/>
      <c r="AF31" s="606"/>
      <c r="AG31" s="606"/>
      <c r="AH31" s="606"/>
      <c r="AI31" s="606"/>
      <c r="AJ31" s="793"/>
      <c r="AQ31" s="1439">
        <v>0</v>
      </c>
    </row>
    <row s="14284" customFormat="1" customHeight="1" ht="18.75">
      <c r="A32" s="1652"/>
      <c r="B32" s="1652"/>
      <c r="C32" s="1652"/>
      <c r="D32" s="1652"/>
      <c r="E32" s="1652"/>
      <c r="F32" s="1652"/>
      <c r="G32" s="1652"/>
      <c r="H32" s="1652"/>
      <c r="I32" s="1652"/>
      <c r="J32" s="1652"/>
      <c r="K32" s="1652"/>
      <c r="L32" s="1653"/>
      <c r="M32" s="1652"/>
      <c r="N32" s="1652"/>
      <c r="O32" s="1652"/>
      <c r="S32" s="2534" t="s">
        <v>427</v>
      </c>
      <c r="T32" s="2534"/>
      <c r="U32" s="1656"/>
      <c r="V32" s="2548" t="str">
        <f>IF(TITLE_DATE_PR_CHANGE="",IF(TITLE_DATE_PR="","",TITLE_DATE_PR),TITLE_DATE_PR_CHANGE)</f>
        <v>45471</v>
      </c>
      <c r="W32" s="2548"/>
      <c r="X32" s="2548"/>
      <c r="Y32" s="2548"/>
      <c r="Z32" s="2548"/>
      <c r="AA32" s="2548"/>
      <c r="AB32" s="610"/>
      <c r="AC32" s="2548" t="str">
        <f>IF(TITLE_DATE_PR_CHANGE="",IF(TITLE_DATE_PR="","",TITLE_DATE_PR),TITLE_DATE_PR_CHANGE)</f>
        <v>45471</v>
      </c>
      <c r="AD32" s="2548"/>
      <c r="AE32" s="2548"/>
      <c r="AF32" s="2548"/>
      <c r="AG32" s="2548"/>
      <c r="AH32" s="2548"/>
      <c r="AI32" s="610"/>
      <c r="AJ32" s="610"/>
      <c r="AK32" s="564"/>
      <c r="AL32" s="652"/>
      <c r="AM32" s="652"/>
      <c r="AN32" s="652"/>
      <c r="AO32" s="652"/>
      <c r="AP32" s="652"/>
      <c r="AQ32" s="702">
        <v>0</v>
      </c>
    </row>
    <row s="14284" customFormat="1" customHeight="1" ht="18.75">
      <c r="A33" s="1652"/>
      <c r="B33" s="1652"/>
      <c r="C33" s="1652"/>
      <c r="D33" s="1652"/>
      <c r="E33" s="1652"/>
      <c r="F33" s="1652"/>
      <c r="G33" s="1652"/>
      <c r="H33" s="1652"/>
      <c r="I33" s="1652"/>
      <c r="J33" s="1652"/>
      <c r="K33" s="1652"/>
      <c r="L33" s="1653"/>
      <c r="M33" s="1652"/>
      <c r="N33" s="1652"/>
      <c r="O33" s="1652"/>
      <c r="S33" s="2534" t="s">
        <v>428</v>
      </c>
      <c r="T33" s="2534"/>
      <c r="U33" s="1656"/>
      <c r="V33" s="2535" t="str">
        <f>IF(TITLE_NUMBER_PR_CHANGE="",IF(TITLE_NUMBER_PR="","",TITLE_NUMBER_PR),TITLE_NUMBER_PR_CHANGE)</f>
        <v>50/18-01/261</v>
      </c>
      <c r="W33" s="2535"/>
      <c r="X33" s="2535"/>
      <c r="Y33" s="2535"/>
      <c r="Z33" s="2535"/>
      <c r="AA33" s="2535"/>
      <c r="AB33" s="610"/>
      <c r="AC33" s="2535" t="str">
        <f>IF(TITLE_NUMBER_PR_CHANGE="",IF(TITLE_NUMBER_PR="","",TITLE_NUMBER_PR),TITLE_NUMBER_PR_CHANGE)</f>
        <v>50/18-01/261</v>
      </c>
      <c r="AD33" s="2535"/>
      <c r="AE33" s="2535"/>
      <c r="AF33" s="2535"/>
      <c r="AG33" s="2535"/>
      <c r="AH33" s="2535"/>
      <c r="AI33" s="610"/>
      <c r="AJ33" s="610"/>
      <c r="AK33" s="564"/>
      <c r="AL33" s="652"/>
      <c r="AM33" s="652"/>
      <c r="AN33" s="652"/>
      <c r="AO33" s="652"/>
      <c r="AP33" s="652"/>
      <c r="AQ33" s="702">
        <v>0</v>
      </c>
    </row>
    <row s="14284" customFormat="1" customHeight="1" ht="1.05">
      <c r="A34" s="1652"/>
      <c r="B34" s="1652"/>
      <c r="C34" s="1652"/>
      <c r="D34" s="1652"/>
      <c r="E34" s="1652"/>
      <c r="F34" s="1652"/>
      <c r="G34" s="1652"/>
      <c r="H34" s="1652"/>
      <c r="I34" s="1652"/>
      <c r="J34" s="1652"/>
      <c r="K34" s="1652"/>
      <c r="L34" s="1653"/>
      <c r="M34" s="1652"/>
      <c r="N34" s="1652"/>
      <c r="O34" s="1652"/>
      <c r="S34" s="607"/>
      <c r="T34" s="607"/>
      <c r="U34" s="1738"/>
      <c r="V34" s="610"/>
      <c r="W34" s="610"/>
      <c r="X34" s="610"/>
      <c r="Y34" s="610"/>
      <c r="Z34" s="610"/>
      <c r="AA34" s="610"/>
      <c r="AB34" s="562" t="s">
        <v>429</v>
      </c>
      <c r="AC34" s="610"/>
      <c r="AD34" s="610"/>
      <c r="AE34" s="610"/>
      <c r="AF34" s="610"/>
      <c r="AG34" s="610"/>
      <c r="AH34" s="610"/>
      <c r="AI34" s="562" t="s">
        <v>429</v>
      </c>
      <c r="AL34" s="652"/>
      <c r="AM34" s="652"/>
      <c r="AN34" s="652"/>
      <c r="AO34" s="652"/>
      <c r="AP34" s="652"/>
      <c r="AQ34" s="702">
        <v>1</v>
      </c>
    </row>
    <row customHeight="1" ht="14.699999999999998">
      <c r="Q35" s="660"/>
      <c r="R35" s="660"/>
      <c r="S35" s="1559"/>
      <c r="T35" s="647"/>
      <c r="U35" s="1528"/>
      <c r="V35" s="2536"/>
      <c r="W35" s="2536"/>
      <c r="X35" s="2536"/>
      <c r="Y35" s="2536"/>
      <c r="Z35" s="2536"/>
      <c r="AA35" s="2536"/>
      <c r="AB35" s="2536"/>
      <c r="AC35" s="2536"/>
      <c r="AD35" s="2536"/>
      <c r="AE35" s="2536"/>
      <c r="AF35" s="2536"/>
      <c r="AG35" s="2536"/>
      <c r="AH35" s="2536"/>
      <c r="AI35" s="2536"/>
      <c r="AQ35" s="1439">
        <v>14</v>
      </c>
    </row>
    <row customHeight="1" ht="14.699999999999998">
      <c r="Q36" s="660"/>
      <c r="R36" s="660"/>
      <c r="S36" s="2411" t="s">
        <v>305</v>
      </c>
      <c r="T36" s="2411"/>
      <c r="U36" s="2411"/>
      <c r="V36" s="2411"/>
      <c r="W36" s="2411"/>
      <c r="X36" s="2411"/>
      <c r="Y36" s="2411"/>
      <c r="Z36" s="2411"/>
      <c r="AA36" s="2411"/>
      <c r="AB36" s="2411"/>
      <c r="AC36" s="2411"/>
      <c r="AD36" s="2411"/>
      <c r="AE36" s="2411"/>
      <c r="AF36" s="2411"/>
      <c r="AG36" s="2411"/>
      <c r="AH36" s="2411"/>
      <c r="AI36" s="2411"/>
      <c r="AJ36" s="2411"/>
      <c r="AK36" s="2411" t="s">
        <v>306</v>
      </c>
      <c r="AQ36" s="1439">
        <v>14</v>
      </c>
    </row>
    <row customHeight="1" ht="14.699999999999998">
      <c r="Q37" s="660"/>
      <c r="R37" s="660"/>
      <c r="S37" s="2557" t="s">
        <v>89</v>
      </c>
      <c r="T37" s="2493" t="s">
        <v>430</v>
      </c>
      <c r="U37" s="585"/>
      <c r="V37" s="2558" t="s">
        <v>431</v>
      </c>
      <c r="W37" s="2559"/>
      <c r="X37" s="2559"/>
      <c r="Y37" s="2559"/>
      <c r="Z37" s="2559"/>
      <c r="AA37" s="2560"/>
      <c r="AB37" s="2561" t="s">
        <v>432</v>
      </c>
      <c r="AC37" s="2558" t="s">
        <v>431</v>
      </c>
      <c r="AD37" s="2559"/>
      <c r="AE37" s="2559"/>
      <c r="AF37" s="2559"/>
      <c r="AG37" s="2559"/>
      <c r="AH37" s="2560"/>
      <c r="AI37" s="2561" t="s">
        <v>433</v>
      </c>
      <c r="AJ37" s="2564" t="s">
        <v>434</v>
      </c>
      <c r="AK37" s="2411"/>
      <c r="AQ37" s="1439">
        <v>14</v>
      </c>
    </row>
    <row customHeight="1" ht="35.699999999999996">
      <c r="Q38" s="660"/>
      <c r="R38" s="660"/>
      <c r="S38" s="2557"/>
      <c r="T38" s="2493"/>
      <c r="U38" s="1315"/>
      <c r="V38" s="1736" t="s">
        <v>497</v>
      </c>
      <c r="W38" s="2546" t="s">
        <v>437</v>
      </c>
      <c r="X38" s="2547"/>
      <c r="Y38" s="2546" t="s">
        <v>438</v>
      </c>
      <c r="Z38" s="2553"/>
      <c r="AA38" s="2547"/>
      <c r="AB38" s="2562"/>
      <c r="AC38" s="1736" t="s">
        <v>497</v>
      </c>
      <c r="AD38" s="2546" t="s">
        <v>437</v>
      </c>
      <c r="AE38" s="2547"/>
      <c r="AF38" s="2546" t="s">
        <v>438</v>
      </c>
      <c r="AG38" s="2553"/>
      <c r="AH38" s="2547"/>
      <c r="AI38" s="2562"/>
      <c r="AJ38" s="2565"/>
      <c r="AK38" s="2411"/>
      <c r="AQ38" s="1439">
        <v>34</v>
      </c>
    </row>
    <row customHeight="1" ht="35.699999999999996">
      <c r="A39" s="1654"/>
      <c r="B39" s="1654" t="s">
        <v>136</v>
      </c>
      <c r="C39" s="1654" t="s">
        <v>137</v>
      </c>
      <c r="D39" s="1654" t="s">
        <v>138</v>
      </c>
      <c r="E39" s="1648" t="s">
        <v>439</v>
      </c>
      <c r="F39" s="1648" t="s">
        <v>440</v>
      </c>
      <c r="G39" s="1648" t="s">
        <v>441</v>
      </c>
      <c r="H39" s="1648"/>
      <c r="I39" s="1648" t="s">
        <v>498</v>
      </c>
      <c r="J39" s="1648" t="s">
        <v>444</v>
      </c>
      <c r="K39" s="1648" t="s">
        <v>499</v>
      </c>
      <c r="L39" s="1648" t="s">
        <v>420</v>
      </c>
      <c r="Q39" s="660"/>
      <c r="R39" s="660"/>
      <c r="S39" s="2557"/>
      <c r="T39" s="2493"/>
      <c r="U39" s="586"/>
      <c r="V39" s="1736" t="s">
        <v>500</v>
      </c>
      <c r="W39" s="1506" t="s">
        <v>501</v>
      </c>
      <c r="X39" s="1506" t="s">
        <v>502</v>
      </c>
      <c r="Y39" s="1739" t="s">
        <v>448</v>
      </c>
      <c r="Z39" s="2554" t="s">
        <v>449</v>
      </c>
      <c r="AA39" s="2555"/>
      <c r="AB39" s="2563"/>
      <c r="AC39" s="1736" t="s">
        <v>500</v>
      </c>
      <c r="AD39" s="1506" t="s">
        <v>501</v>
      </c>
      <c r="AE39" s="1506" t="s">
        <v>502</v>
      </c>
      <c r="AF39" s="1739" t="s">
        <v>448</v>
      </c>
      <c r="AG39" s="2554" t="s">
        <v>449</v>
      </c>
      <c r="AH39" s="2555"/>
      <c r="AI39" s="2563"/>
      <c r="AJ39" s="2566"/>
      <c r="AK39" s="2411"/>
      <c r="AQ39" s="1439">
        <v>34</v>
      </c>
    </row>
    <row s="14730" customFormat="1" customHeight="1" ht="0">
      <c r="A40" s="1654"/>
      <c r="B40" s="1654"/>
      <c r="C40" s="1654"/>
      <c r="D40" s="1654"/>
      <c r="E40" s="1654"/>
      <c r="F40" s="1654"/>
      <c r="G40" s="1654"/>
      <c r="H40" s="1654"/>
      <c r="I40" s="1654"/>
      <c r="J40" s="1654"/>
      <c r="K40" s="1654"/>
      <c r="L40" s="1648"/>
      <c r="M40" s="1646"/>
      <c r="N40" s="1646"/>
      <c r="O40" s="1646"/>
      <c r="P40" s="1530"/>
      <c r="Q40" s="1531"/>
      <c r="R40" s="1538">
        <v>1</v>
      </c>
      <c r="S40" s="1561" t="s">
        <v>110</v>
      </c>
      <c r="T40" s="1539" t="s">
        <v>111</v>
      </c>
      <c r="U40" s="1529" t="str">
        <f>OFFSET(U40,0,-1)</f>
        <v>2</v>
      </c>
      <c r="V40" s="1735">
        <f>OFFSET(V40,0,-1)+1</f>
        <v>3</v>
      </c>
      <c r="W40" s="1735">
        <f>OFFSET(W40,0,-1)+1</f>
        <v>4</v>
      </c>
      <c r="X40" s="1735">
        <f>OFFSET(X40,0,-1)+1</f>
        <v>5</v>
      </c>
      <c r="Y40" s="1735">
        <f>OFFSET(Y40,0,-1)+1</f>
        <v>6</v>
      </c>
      <c r="Z40" s="2556">
        <f>OFFSET(Z40,0,-1)+1</f>
        <v>7</v>
      </c>
      <c r="AA40" s="2556"/>
      <c r="AB40" s="1735">
        <f>OFFSET(AB40,0,-2)+1</f>
        <v>8</v>
      </c>
      <c r="AC40" s="1735">
        <f>OFFSET(AC40,0,-1)+1</f>
        <v>9</v>
      </c>
      <c r="AD40" s="1735">
        <f>OFFSET(AD40,0,-1)+1</f>
        <v>10</v>
      </c>
      <c r="AE40" s="1735">
        <f>OFFSET(AE40,0,-1)+1</f>
        <v>11</v>
      </c>
      <c r="AF40" s="1735">
        <f>OFFSET(AF40,0,-1)+1</f>
        <v>12</v>
      </c>
      <c r="AG40" s="2556">
        <f>OFFSET(AG40,0,-1)+1</f>
        <v>13</v>
      </c>
      <c r="AH40" s="2556"/>
      <c r="AI40" s="1735">
        <f>OFFSET(AI40,0,-2)+1</f>
        <v>14</v>
      </c>
      <c r="AJ40" s="1529">
        <f>OFFSET(AJ40,0,-1)</f>
        <v>14</v>
      </c>
      <c r="AK40" s="1735">
        <f>OFFSET(AK40,0,-1)+1</f>
        <v>15</v>
      </c>
      <c r="AL40" s="795"/>
      <c r="AM40" s="795"/>
      <c r="AN40" s="795"/>
      <c r="AO40" s="795"/>
      <c r="AP40" s="795"/>
      <c r="AQ40" s="780">
        <v>0</v>
      </c>
    </row>
    <row customHeight="1" ht="24">
      <c r="A41" s="1647" t="s">
        <v>246</v>
      </c>
      <c r="B41" s="1647"/>
      <c r="C41" s="1647"/>
      <c r="D41" s="1647"/>
      <c r="E41" s="2542">
        <v>1</v>
      </c>
      <c r="F41" s="1647"/>
      <c r="G41" s="1647"/>
      <c r="H41" s="1647"/>
      <c r="I41" s="1647"/>
      <c r="J41" s="1647"/>
      <c r="K41" s="1647"/>
      <c r="L41" s="1648"/>
      <c r="M41" s="1649"/>
      <c r="N41" s="1649"/>
      <c r="O41" s="1649"/>
      <c r="P41" s="645"/>
      <c r="Q41" s="644"/>
      <c r="R41" s="639"/>
      <c r="S41" s="1741">
        <f>INDEX(PT_DIFFERENTIATION_NUM_NTAR,MATCH(A41,PT_DIFFERENTIATION_NTAR_ID,0))</f>
        <v>0</v>
      </c>
      <c r="T41" s="582" t="s">
        <v>124</v>
      </c>
      <c r="U41" s="584"/>
      <c r="V41" s="2526"/>
      <c r="W41" s="2527"/>
      <c r="X41" s="2527"/>
      <c r="Y41" s="2527"/>
      <c r="Z41" s="2527"/>
      <c r="AA41" s="2527"/>
      <c r="AB41" s="2528"/>
      <c r="AC41" s="2526" t="str">
        <f>INDEX(PT_DIFFERENTIATION_NTAR,MATCH(A41,PT_DIFFERENTIATION_NTAR_ID,0))</f>
        <v/>
      </c>
      <c r="AD41" s="2527"/>
      <c r="AE41" s="2527"/>
      <c r="AF41" s="2527"/>
      <c r="AG41" s="2527"/>
      <c r="AH41" s="2527"/>
      <c r="AI41" s="2527"/>
      <c r="AJ41" s="2528"/>
      <c r="AK41" s="154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784"/>
      <c r="AN41" s="784" t="str">
        <f>IF(T41="","",T41)</f>
        <v>Наименование тарифа</v>
      </c>
      <c r="AO41" s="784"/>
      <c r="AP41" s="784"/>
      <c r="AQ41" s="1439">
        <v>23</v>
      </c>
    </row>
    <row customHeight="1" ht="24">
      <c r="A42" s="1647" t="s">
        <v>246</v>
      </c>
      <c r="B42" s="1647" t="s">
        <v>247</v>
      </c>
      <c r="C42" s="1647"/>
      <c r="D42" s="1647"/>
      <c r="E42" s="2543"/>
      <c r="F42" s="2542">
        <v>1</v>
      </c>
      <c r="G42" s="1647"/>
      <c r="H42" s="1647"/>
      <c r="I42" s="1647"/>
      <c r="J42" s="1647"/>
      <c r="K42" s="1647"/>
      <c r="L42" s="1648"/>
      <c r="M42" s="1649"/>
      <c r="N42" s="1649"/>
      <c r="O42" s="1649"/>
      <c r="P42" s="1737"/>
      <c r="Q42" s="636"/>
      <c r="R42" s="637"/>
      <c r="S42" s="1741" t="str">
        <f>INDEX(PT_DIFFERENTIATION_NUM_TER,MATCH(B42,PT_DIFFERENTIATION_TER_ID,0))</f>
        <v>.</v>
      </c>
      <c r="T42" s="592" t="s">
        <v>402</v>
      </c>
      <c r="U42" s="584"/>
      <c r="V42" s="2526"/>
      <c r="W42" s="2527"/>
      <c r="X42" s="2527"/>
      <c r="Y42" s="2527"/>
      <c r="Z42" s="2527"/>
      <c r="AA42" s="2527"/>
      <c r="AB42" s="2528"/>
      <c r="AC42" s="2526" t="str">
        <f>INDEX(PT_DIFFERENTIATION_TER,MATCH(B42,PT_DIFFERENTIATION_TER_ID,0))</f>
        <v/>
      </c>
      <c r="AD42" s="2527"/>
      <c r="AE42" s="2527"/>
      <c r="AF42" s="2527"/>
      <c r="AG42" s="2527"/>
      <c r="AH42" s="2527"/>
      <c r="AI42" s="2527"/>
      <c r="AJ42" s="2528"/>
      <c r="AK42" s="1542" t="s">
        <v>403</v>
      </c>
      <c r="AM42" s="784"/>
      <c r="AN42" s="784" t="str">
        <f>IF(T42="","",T42)</f>
        <v>Территория действия тарифа</v>
      </c>
      <c r="AO42" s="784"/>
      <c r="AP42" s="784"/>
      <c r="AQ42" s="1439">
        <v>23</v>
      </c>
    </row>
    <row customHeight="1" ht="24">
      <c r="A43" s="1647" t="s">
        <v>246</v>
      </c>
      <c r="B43" s="1647" t="s">
        <v>247</v>
      </c>
      <c r="C43" s="1647" t="s">
        <v>248</v>
      </c>
      <c r="D43" s="1647"/>
      <c r="E43" s="2543"/>
      <c r="F43" s="2543"/>
      <c r="G43" s="2542">
        <v>1</v>
      </c>
      <c r="H43" s="1647"/>
      <c r="I43" s="1647"/>
      <c r="J43" s="1647"/>
      <c r="K43" s="1647"/>
      <c r="L43" s="1648"/>
      <c r="M43" s="1649"/>
      <c r="N43" s="1649"/>
      <c r="O43" s="1649"/>
      <c r="P43" s="638"/>
      <c r="Q43" s="636"/>
      <c r="R43" s="637"/>
      <c r="S43" s="1741" t="str">
        <f>INDEX(PT_DIFFERENTIATION_NUM_CS,MATCH(C43,PT_DIFFERENTIATION_CS_ID,0))</f>
        <v>..</v>
      </c>
      <c r="T43" s="593" t="s">
        <v>489</v>
      </c>
      <c r="U43" s="584"/>
      <c r="V43" s="2526"/>
      <c r="W43" s="2527"/>
      <c r="X43" s="2527"/>
      <c r="Y43" s="2527"/>
      <c r="Z43" s="2527"/>
      <c r="AA43" s="2527"/>
      <c r="AB43" s="2528"/>
      <c r="AC43" s="2526" t="str">
        <f>INDEX(PT_DIFFERENTIATION_CS,MATCH(C43,PT_DIFFERENTIATION_CS_ID,0))</f>
        <v/>
      </c>
      <c r="AD43" s="2527"/>
      <c r="AE43" s="2527"/>
      <c r="AF43" s="2527"/>
      <c r="AG43" s="2527"/>
      <c r="AH43" s="2527"/>
      <c r="AI43" s="2527"/>
      <c r="AJ43" s="2528"/>
      <c r="AK43" s="1542" t="s">
        <v>490</v>
      </c>
      <c r="AM43" s="784"/>
      <c r="AN43" s="784" t="str">
        <f>IF(T43="","",T43)</f>
        <v>Наименование централизованной системы холодного водоснабжения</v>
      </c>
      <c r="AO43" s="784"/>
      <c r="AP43" s="784"/>
      <c r="AQ43" s="1439">
        <v>23</v>
      </c>
    </row>
    <row customHeight="1" ht="24">
      <c r="A44" s="1647" t="s">
        <v>246</v>
      </c>
      <c r="B44" s="1647" t="s">
        <v>247</v>
      </c>
      <c r="C44" s="1647" t="s">
        <v>248</v>
      </c>
      <c r="D44" s="1647" t="s">
        <v>506</v>
      </c>
      <c r="E44" s="2543"/>
      <c r="F44" s="2543"/>
      <c r="G44" s="2543"/>
      <c r="H44" s="2543"/>
      <c r="I44" s="2540" t="str">
        <f>S43&amp;".1"</f>
        <v>...1</v>
      </c>
      <c r="J44" s="1647"/>
      <c r="K44" s="1647"/>
      <c r="L44" s="1648"/>
      <c r="P44" s="2541">
        <v>1</v>
      </c>
      <c r="Q44" s="1734"/>
      <c r="R44" s="640"/>
      <c r="S44" s="1741" t="str">
        <f>$I44</f>
        <v>...1</v>
      </c>
      <c r="T44" s="569" t="s">
        <v>491</v>
      </c>
      <c r="U44" s="584"/>
      <c r="V44" s="2634"/>
      <c r="W44" s="2635"/>
      <c r="X44" s="2635"/>
      <c r="Y44" s="2635"/>
      <c r="Z44" s="2635"/>
      <c r="AA44" s="2635"/>
      <c r="AB44" s="2636"/>
      <c r="AC44" s="2637"/>
      <c r="AD44" s="2638"/>
      <c r="AE44" s="2638"/>
      <c r="AF44" s="2638"/>
      <c r="AG44" s="2638"/>
      <c r="AH44" s="2638"/>
      <c r="AI44" s="2638"/>
      <c r="AJ44" s="2639"/>
      <c r="AK44" s="1542" t="s">
        <v>492</v>
      </c>
      <c r="AM44" s="784"/>
      <c r="AN44" s="784" t="str">
        <f>IF(T44="","",T44)</f>
        <v>Наименование признака дифференциации</v>
      </c>
      <c r="AO44" s="784"/>
      <c r="AP44" s="784"/>
      <c r="AQ44" s="1439">
        <v>23</v>
      </c>
    </row>
    <row customHeight="1" ht="24">
      <c r="A45" s="1647" t="s">
        <v>246</v>
      </c>
      <c r="B45" s="1647" t="s">
        <v>247</v>
      </c>
      <c r="C45" s="1647" t="s">
        <v>248</v>
      </c>
      <c r="D45" s="1647" t="s">
        <v>506</v>
      </c>
      <c r="E45" s="2543"/>
      <c r="F45" s="2543"/>
      <c r="G45" s="2543"/>
      <c r="H45" s="2543"/>
      <c r="I45" s="2570"/>
      <c r="J45" s="2540" t="str">
        <f>I44&amp;".1"</f>
        <v>...1.1</v>
      </c>
      <c r="K45" s="1647"/>
      <c r="L45" s="1648" t="s">
        <v>411</v>
      </c>
      <c r="P45" s="2541"/>
      <c r="Q45" s="2541">
        <v>1</v>
      </c>
      <c r="R45" s="641"/>
      <c r="S45" s="1741" t="str">
        <f>$J45</f>
        <v>...1.1</v>
      </c>
      <c r="T45" s="570" t="s">
        <v>412</v>
      </c>
      <c r="U45" s="584"/>
      <c r="V45" s="2529"/>
      <c r="W45" s="2530"/>
      <c r="X45" s="2530"/>
      <c r="Y45" s="2530"/>
      <c r="Z45" s="2530"/>
      <c r="AA45" s="2530"/>
      <c r="AB45" s="2531"/>
      <c r="AC45" s="2529"/>
      <c r="AD45" s="2530"/>
      <c r="AE45" s="2530"/>
      <c r="AF45" s="2530"/>
      <c r="AG45" s="2530"/>
      <c r="AH45" s="2530"/>
      <c r="AI45" s="2530"/>
      <c r="AJ45" s="2531"/>
      <c r="AK45" s="1591" t="s">
        <v>493</v>
      </c>
      <c r="AM45" s="784"/>
      <c r="AN45" s="784" t="str">
        <f>IF(T45="","",T45)</f>
        <v>Группа потребителей</v>
      </c>
      <c r="AO45" s="784"/>
      <c r="AP45" s="784"/>
      <c r="AQ45" s="1439">
        <v>23</v>
      </c>
    </row>
    <row customHeight="1" ht="24">
      <c r="A46" s="1647" t="s">
        <v>246</v>
      </c>
      <c r="B46" s="1647" t="s">
        <v>247</v>
      </c>
      <c r="C46" s="1647" t="s">
        <v>248</v>
      </c>
      <c r="D46" s="1647" t="s">
        <v>506</v>
      </c>
      <c r="E46" s="2543"/>
      <c r="F46" s="2543"/>
      <c r="G46" s="2543"/>
      <c r="H46" s="2543"/>
      <c r="I46" s="2570"/>
      <c r="J46" s="2570"/>
      <c r="K46" s="2540" t="str">
        <f>J45&amp;".1"</f>
        <v>...1.1.1</v>
      </c>
      <c r="L46" s="1648"/>
      <c r="P46" s="2541"/>
      <c r="Q46" s="2541"/>
      <c r="R46" s="641">
        <v>1</v>
      </c>
      <c r="S46" s="1741" t="str">
        <f>$K46</f>
        <v>...1.1.1</v>
      </c>
      <c r="T46" s="1721"/>
      <c r="U46" s="584"/>
      <c r="V46" s="1035"/>
      <c r="W46" s="1035"/>
      <c r="X46" s="1541"/>
      <c r="Y46" s="2549"/>
      <c r="Z46" s="2391" t="s">
        <v>67</v>
      </c>
      <c r="AA46" s="2549"/>
      <c r="AB46" s="2391" t="s">
        <v>67</v>
      </c>
      <c r="AC46" s="1035"/>
      <c r="AD46" s="1035"/>
      <c r="AE46" s="1541"/>
      <c r="AF46" s="2549"/>
      <c r="AG46" s="2391" t="s">
        <v>67</v>
      </c>
      <c r="AH46" s="2571"/>
      <c r="AI46" s="2391" t="s">
        <v>67</v>
      </c>
      <c r="AJ46" s="1722"/>
      <c r="AK46" s="263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795">
        <f>STRCHECKDATE(V47:AJ47)</f>
      </c>
      <c r="AM46" s="784"/>
      <c r="AN46" s="784" t="str">
        <f>IF(T46="","",T46)</f>
        <v/>
      </c>
      <c r="AO46" s="784"/>
      <c r="AP46" s="784"/>
      <c r="AQ46" s="1439">
        <v>23</v>
      </c>
    </row>
    <row customHeight="1" ht="0">
      <c r="A47" s="1647" t="s">
        <v>246</v>
      </c>
      <c r="B47" s="1647" t="s">
        <v>247</v>
      </c>
      <c r="C47" s="1647" t="s">
        <v>248</v>
      </c>
      <c r="D47" s="1647" t="s">
        <v>506</v>
      </c>
      <c r="E47" s="2543"/>
      <c r="F47" s="2543"/>
      <c r="G47" s="2543"/>
      <c r="H47" s="2543"/>
      <c r="I47" s="2570"/>
      <c r="J47" s="2570"/>
      <c r="K47" s="2540"/>
      <c r="L47" s="1648"/>
      <c r="P47" s="2541"/>
      <c r="Q47" s="2541"/>
      <c r="R47" s="641"/>
      <c r="S47" s="1740"/>
      <c r="T47" s="584"/>
      <c r="U47" s="584"/>
      <c r="V47" s="609"/>
      <c r="W47" s="609"/>
      <c r="X47" s="612" t="str">
        <f>Y46&amp;"-"&amp;AA46</f>
        <v>-</v>
      </c>
      <c r="Y47" s="2550"/>
      <c r="Z47" s="2391"/>
      <c r="AA47" s="2550"/>
      <c r="AB47" s="2391"/>
      <c r="AC47" s="609"/>
      <c r="AD47" s="609"/>
      <c r="AE47" s="612" t="str">
        <f>AF46&amp;"-"&amp;AH46</f>
        <v>-</v>
      </c>
      <c r="AF47" s="2550"/>
      <c r="AG47" s="2391"/>
      <c r="AH47" s="2572"/>
      <c r="AI47" s="2391"/>
      <c r="AJ47" s="1723"/>
      <c r="AK47" s="2633"/>
      <c r="AM47" s="784"/>
      <c r="AN47" s="784" t="str">
        <f>IF(T47="","",T47)</f>
        <v/>
      </c>
      <c r="AO47" s="784"/>
      <c r="AP47" s="784"/>
      <c r="AQ47" s="1439">
        <v>0</v>
      </c>
    </row>
    <row customHeight="1" ht="21">
      <c r="A48" s="1647" t="s">
        <v>246</v>
      </c>
      <c r="B48" s="1647" t="s">
        <v>247</v>
      </c>
      <c r="C48" s="1647" t="s">
        <v>248</v>
      </c>
      <c r="D48" s="1647" t="s">
        <v>506</v>
      </c>
      <c r="E48" s="2543"/>
      <c r="F48" s="2543"/>
      <c r="G48" s="2543"/>
      <c r="H48" s="2543"/>
      <c r="I48" s="2570"/>
      <c r="J48" s="2540"/>
      <c r="K48" s="1647"/>
      <c r="L48" s="1648"/>
      <c r="P48" s="2541"/>
      <c r="Q48" s="2541"/>
      <c r="R48" s="640"/>
      <c r="S48" s="1562"/>
      <c r="T48" s="571" t="s">
        <v>494</v>
      </c>
      <c r="U48" s="651"/>
      <c r="V48" s="651"/>
      <c r="W48" s="651"/>
      <c r="X48" s="651"/>
      <c r="Y48" s="651"/>
      <c r="Z48" s="651"/>
      <c r="AA48" s="651"/>
      <c r="AB48" s="651"/>
      <c r="AC48" s="651"/>
      <c r="AD48" s="651"/>
      <c r="AE48" s="651"/>
      <c r="AF48" s="651"/>
      <c r="AG48" s="651"/>
      <c r="AH48" s="651"/>
      <c r="AI48" s="651"/>
      <c r="AJ48" s="651"/>
      <c r="AK48" s="1542" t="s">
        <v>495</v>
      </c>
      <c r="AM48" s="784"/>
      <c r="AN48" s="784" t="str">
        <f>IF(T48="","",T48)</f>
        <v>Добавить значение признака дифференциации</v>
      </c>
      <c r="AO48" s="784"/>
      <c r="AP48" s="784"/>
      <c r="AQ48" s="1439">
        <v>20</v>
      </c>
    </row>
    <row customHeight="1" ht="22.049999999999997">
      <c r="A49" s="1647" t="s">
        <v>246</v>
      </c>
      <c r="B49" s="1647" t="s">
        <v>247</v>
      </c>
      <c r="C49" s="1647" t="s">
        <v>248</v>
      </c>
      <c r="D49" s="1647" t="s">
        <v>506</v>
      </c>
      <c r="E49" s="2543"/>
      <c r="F49" s="2543"/>
      <c r="G49" s="2543"/>
      <c r="H49" s="2543"/>
      <c r="I49" s="2540"/>
      <c r="J49" s="1647"/>
      <c r="K49" s="1647"/>
      <c r="L49" s="1648"/>
      <c r="P49" s="2541"/>
      <c r="Q49" s="1734"/>
      <c r="R49" s="640"/>
      <c r="S49" s="1562"/>
      <c r="T49" s="649" t="s">
        <v>417</v>
      </c>
      <c r="U49" s="651"/>
      <c r="V49" s="651"/>
      <c r="W49" s="651"/>
      <c r="X49" s="651"/>
      <c r="Y49" s="651"/>
      <c r="Z49" s="651"/>
      <c r="AA49" s="651"/>
      <c r="AB49" s="650"/>
      <c r="AC49" s="651"/>
      <c r="AD49" s="651"/>
      <c r="AE49" s="651"/>
      <c r="AF49" s="651"/>
      <c r="AG49" s="651"/>
      <c r="AH49" s="651"/>
      <c r="AI49" s="650"/>
      <c r="AJ49" s="651"/>
      <c r="AK49" s="1724"/>
      <c r="AM49" s="784"/>
      <c r="AN49" s="784" t="str">
        <f>IF(T49="","",T49)</f>
        <v>Добавить группу потребителей</v>
      </c>
      <c r="AO49" s="784"/>
      <c r="AP49" s="784"/>
      <c r="AQ49" s="1439">
        <v>21</v>
      </c>
    </row>
    <row customHeight="1" ht="22.049999999999997">
      <c r="A50" s="1647" t="s">
        <v>246</v>
      </c>
      <c r="B50" s="1647" t="s">
        <v>247</v>
      </c>
      <c r="C50" s="1647" t="s">
        <v>248</v>
      </c>
      <c r="D50" s="1647" t="s">
        <v>506</v>
      </c>
      <c r="E50" s="2543"/>
      <c r="F50" s="2543"/>
      <c r="G50" s="2543"/>
      <c r="H50" s="2542"/>
      <c r="I50" s="1647"/>
      <c r="J50" s="1647"/>
      <c r="K50" s="1647"/>
      <c r="L50" s="1648"/>
      <c r="M50" s="1649"/>
      <c r="N50" s="1649"/>
      <c r="O50" s="821"/>
      <c r="P50" s="644"/>
      <c r="Q50" s="659"/>
      <c r="R50" s="639"/>
      <c r="S50" s="1562"/>
      <c r="T50" s="656" t="s">
        <v>496</v>
      </c>
      <c r="U50" s="651"/>
      <c r="V50" s="651"/>
      <c r="W50" s="651"/>
      <c r="X50" s="651"/>
      <c r="Y50" s="651"/>
      <c r="Z50" s="651"/>
      <c r="AA50" s="651"/>
      <c r="AB50" s="650"/>
      <c r="AC50" s="651"/>
      <c r="AD50" s="651"/>
      <c r="AE50" s="651"/>
      <c r="AF50" s="651"/>
      <c r="AG50" s="651"/>
      <c r="AH50" s="651"/>
      <c r="AI50" s="650"/>
      <c r="AJ50" s="651"/>
      <c r="AK50" s="587"/>
      <c r="AM50" s="784"/>
      <c r="AN50" s="784" t="str">
        <f>IF(T50="","",T50)</f>
        <v>Добавить наименование признака дифференциации</v>
      </c>
      <c r="AO50" s="784"/>
      <c r="AP50" s="784"/>
      <c r="AQ50" s="1439">
        <v>21</v>
      </c>
    </row>
    <row s="14158" customFormat="1" customHeight="1" ht="0">
      <c r="A51" s="1627" t="s">
        <v>246</v>
      </c>
      <c r="B51" s="1627" t="s">
        <v>247</v>
      </c>
      <c r="C51" s="1598"/>
      <c r="D51" s="1598"/>
      <c r="E51" s="2543"/>
      <c r="F51" s="2542"/>
      <c r="G51" s="1598"/>
      <c r="H51" s="1598"/>
      <c r="I51" s="1598"/>
      <c r="J51" s="1598"/>
      <c r="K51" s="1598"/>
      <c r="L51" s="1742"/>
      <c r="M51" s="1605"/>
      <c r="N51" s="1605"/>
      <c r="P51" s="1600"/>
      <c r="Q51" s="1601"/>
      <c r="R51" s="1600"/>
      <c r="S51" s="1606"/>
      <c r="T51" s="1609" t="s">
        <v>170</v>
      </c>
      <c r="U51" s="1608"/>
      <c r="V51" s="1608"/>
      <c r="W51" s="1608"/>
      <c r="X51" s="1608"/>
      <c r="Y51" s="1608"/>
      <c r="Z51" s="1608"/>
      <c r="AA51" s="1608"/>
      <c r="AB51" s="1608"/>
      <c r="AC51" s="1608"/>
      <c r="AD51" s="1608"/>
      <c r="AE51" s="1608"/>
      <c r="AF51" s="1608"/>
      <c r="AG51" s="1608"/>
      <c r="AH51" s="1608"/>
      <c r="AI51" s="1608"/>
      <c r="AJ51" s="1608"/>
      <c r="AK51" s="1608"/>
      <c r="AM51" s="1073"/>
      <c r="AN51" s="1073" t="str">
        <f>IF(T51="","",T51)</f>
        <v>Добавить централизованную систему для дифференциации</v>
      </c>
      <c r="AO51" s="1073"/>
      <c r="AP51" s="1073"/>
      <c r="AQ51" s="802">
        <v>0</v>
      </c>
    </row>
    <row s="14158" customFormat="1" customHeight="1" ht="0">
      <c r="A52" s="1627" t="s">
        <v>246</v>
      </c>
      <c r="B52" s="1627"/>
      <c r="C52" s="1627"/>
      <c r="D52" s="1627"/>
      <c r="E52" s="2542"/>
      <c r="F52" s="1627"/>
      <c r="G52" s="1627"/>
      <c r="H52" s="1627"/>
      <c r="I52" s="1627"/>
      <c r="J52" s="1627"/>
      <c r="K52" s="1627"/>
      <c r="L52" s="1630"/>
      <c r="M52" s="1605"/>
      <c r="N52" s="1605"/>
      <c r="O52" s="802"/>
      <c r="P52" s="664"/>
      <c r="Q52" s="1628"/>
      <c r="R52" s="664"/>
      <c r="S52" s="1606"/>
      <c r="T52" s="1609" t="s">
        <v>171</v>
      </c>
      <c r="U52" s="1608"/>
      <c r="V52" s="1608"/>
      <c r="W52" s="1608"/>
      <c r="X52" s="1608"/>
      <c r="Y52" s="1608"/>
      <c r="Z52" s="1608"/>
      <c r="AA52" s="1608"/>
      <c r="AB52" s="1608"/>
      <c r="AC52" s="1608"/>
      <c r="AD52" s="1608"/>
      <c r="AE52" s="1608"/>
      <c r="AF52" s="1608"/>
      <c r="AG52" s="1608"/>
      <c r="AH52" s="1608"/>
      <c r="AI52" s="1608"/>
      <c r="AJ52" s="1608"/>
      <c r="AK52" s="1608"/>
      <c r="AM52" s="784"/>
      <c r="AN52" s="784" t="str">
        <f>IF(T52="","",T52)</f>
        <v>Добавить территорию для дифференциации</v>
      </c>
      <c r="AO52" s="784"/>
      <c r="AP52" s="784"/>
      <c r="AQ52" s="795">
        <v>0</v>
      </c>
    </row>
    <row s="14158" customFormat="1" customHeight="1" ht="0">
      <c r="A53" s="1598"/>
      <c r="B53" s="1598"/>
      <c r="C53" s="1598"/>
      <c r="D53" s="1598"/>
      <c r="E53" s="1627"/>
      <c r="F53" s="1598"/>
      <c r="G53" s="1598"/>
      <c r="H53" s="1598"/>
      <c r="I53" s="1598"/>
      <c r="J53" s="1598"/>
      <c r="K53" s="1598"/>
      <c r="L53" s="1742"/>
      <c r="M53" s="1605"/>
      <c r="N53" s="1605"/>
      <c r="P53" s="1600"/>
      <c r="Q53" s="1601"/>
      <c r="R53" s="1600"/>
      <c r="S53" s="1606"/>
      <c r="T53" s="1609" t="s">
        <v>172</v>
      </c>
      <c r="U53" s="1608"/>
      <c r="V53" s="1608"/>
      <c r="W53" s="1608"/>
      <c r="X53" s="1608"/>
      <c r="Y53" s="1608"/>
      <c r="Z53" s="1608"/>
      <c r="AA53" s="1608"/>
      <c r="AB53" s="1608"/>
      <c r="AC53" s="1608"/>
      <c r="AD53" s="1608"/>
      <c r="AE53" s="1608"/>
      <c r="AF53" s="1608"/>
      <c r="AG53" s="1608"/>
      <c r="AH53" s="1608"/>
      <c r="AI53" s="1608"/>
      <c r="AJ53" s="1608"/>
      <c r="AK53" s="1608"/>
      <c r="AM53" s="1073"/>
      <c r="AN53" s="1073" t="str">
        <f>IF(T53="","",T53)</f>
        <v>Добавить наименование тарифа</v>
      </c>
      <c r="AO53" s="1073"/>
      <c r="AP53" s="1073"/>
      <c r="AQ53" s="802">
        <v>0</v>
      </c>
    </row>
    <row customHeight="1" ht="11.549999999999999">
      <c r="M54" s="1444"/>
      <c r="N54" s="1444"/>
      <c r="O54" s="821"/>
      <c r="P54" s="1439"/>
      <c r="Q54" s="1439"/>
      <c r="R54" s="1439"/>
      <c r="S54" s="1439"/>
      <c r="AL54" s="1439"/>
      <c r="AM54" s="1439"/>
      <c r="AN54" s="1439"/>
      <c r="AO54" s="1439"/>
      <c r="AP54" s="1439"/>
      <c r="AQ54" s="1439">
        <v>11</v>
      </c>
    </row>
    <row customHeight="1" ht="14.699999999999998">
      <c r="O55" s="821"/>
      <c r="S55" s="1537"/>
      <c r="T55" s="2569"/>
      <c r="U55" s="2569"/>
      <c r="V55" s="2569"/>
      <c r="W55" s="2569"/>
      <c r="X55" s="2569"/>
      <c r="Y55" s="2569"/>
      <c r="Z55" s="2569"/>
      <c r="AA55" s="2569"/>
      <c r="AB55" s="2569"/>
      <c r="AC55" s="2569"/>
      <c r="AD55" s="2569"/>
      <c r="AE55" s="2569"/>
      <c r="AF55" s="2569"/>
      <c r="AG55" s="2569"/>
      <c r="AH55" s="2569"/>
      <c r="AI55" s="2569"/>
      <c r="AJ55" s="2569"/>
      <c r="AK55" s="2569"/>
      <c r="AQ55" s="1439">
        <v>14</v>
      </c>
    </row>
    <row customHeight="1" ht="14.699999999999998">
      <c r="O56" s="821"/>
      <c r="AQ56" s="1439">
        <v>14</v>
      </c>
    </row>
    <row customHeight="1" ht="14.699999999999998">
      <c r="O57" s="821"/>
      <c r="S57" s="1537"/>
      <c r="T57" s="2569"/>
      <c r="U57" s="2569"/>
      <c r="V57" s="2569"/>
      <c r="W57" s="2569"/>
      <c r="X57" s="2569"/>
      <c r="Y57" s="2569"/>
      <c r="Z57" s="2569"/>
      <c r="AA57" s="2569"/>
      <c r="AB57" s="2569"/>
      <c r="AC57" s="2569"/>
      <c r="AD57" s="2569"/>
      <c r="AE57" s="2569"/>
      <c r="AF57" s="2569"/>
      <c r="AG57" s="2569"/>
      <c r="AH57" s="2569"/>
      <c r="AI57" s="2569"/>
      <c r="AJ57" s="2569"/>
      <c r="AK57" s="2569"/>
      <c r="AQ57" s="1439">
        <v>14</v>
      </c>
    </row>
    <row customHeight="1" ht="22.5" hidden="1">
      <c r="A58" s="1444" t="s">
        <v>83</v>
      </c>
      <c r="B58" s="1444">
        <v>0</v>
      </c>
      <c r="C58" s="1444">
        <v>0</v>
      </c>
      <c r="D58" s="1444">
        <v>0</v>
      </c>
      <c r="E58" s="1444">
        <v>0</v>
      </c>
      <c r="F58" s="1444">
        <v>0</v>
      </c>
      <c r="G58" s="1444">
        <v>0</v>
      </c>
      <c r="H58" s="1444">
        <v>0</v>
      </c>
      <c r="I58" s="1444">
        <v>0</v>
      </c>
      <c r="J58" s="1444">
        <v>0</v>
      </c>
      <c r="K58" s="1444">
        <v>0</v>
      </c>
      <c r="L58" s="1731">
        <v>0</v>
      </c>
      <c r="M58" s="1646">
        <v>0</v>
      </c>
      <c r="N58" s="1646">
        <v>0</v>
      </c>
      <c r="O58" s="1646">
        <v>0</v>
      </c>
      <c r="P58" s="1730">
        <v>3</v>
      </c>
      <c r="Q58" s="628">
        <v>3</v>
      </c>
      <c r="R58" s="628">
        <v>3</v>
      </c>
      <c r="S58" s="865">
        <v>12</v>
      </c>
      <c r="T58" s="1439">
        <v>35</v>
      </c>
      <c r="U58" s="1439">
        <v>0</v>
      </c>
      <c r="V58" s="1439">
        <v>0</v>
      </c>
      <c r="W58" s="1439">
        <v>0</v>
      </c>
      <c r="X58" s="1439">
        <v>0</v>
      </c>
      <c r="Y58" s="1439">
        <v>0</v>
      </c>
      <c r="Z58" s="1439">
        <v>0</v>
      </c>
      <c r="AA58" s="1439">
        <v>0</v>
      </c>
      <c r="AB58" s="1439">
        <v>0</v>
      </c>
      <c r="AC58" s="1439">
        <v>24</v>
      </c>
      <c r="AD58" s="1439">
        <v>24</v>
      </c>
      <c r="AE58" s="1439">
        <v>24</v>
      </c>
      <c r="AF58" s="1439">
        <v>11</v>
      </c>
      <c r="AG58" s="1439">
        <v>3</v>
      </c>
      <c r="AH58" s="1439">
        <v>11</v>
      </c>
      <c r="AI58" s="1439">
        <v>0</v>
      </c>
      <c r="AJ58" s="1439">
        <v>4</v>
      </c>
      <c r="AK58" s="1439">
        <v>115</v>
      </c>
      <c r="AL58" s="795">
        <v>10</v>
      </c>
      <c r="AM58" s="795">
        <v>10</v>
      </c>
      <c r="AN58" s="795">
        <v>10</v>
      </c>
      <c r="AO58" s="795">
        <v>10</v>
      </c>
      <c r="AP58" s="795">
        <v>10</v>
      </c>
      <c r="AQ58" s="1439">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4163866-9ED8-16B8-6176-CD24D9816597}" mc:Ignorable="x14ac xr xr2 xr3">
  <sheetPr>
    <tabColor theme="6" tint="0.4"/>
  </sheetPr>
  <dimension ref="A1:AQ64"/>
  <sheetViews>
    <sheetView topLeftCell="A1" showGridLines="0" zoomScale="90" workbookViewId="0">
      <selection activeCell="A1" sqref="A1"/>
    </sheetView>
  </sheetViews>
  <sheetFormatPr defaultColWidth="10.57421875" customHeight="1" defaultRowHeight="14.25"/>
  <cols>
    <col min="1" max="3" style="14077" width="10.140625" hidden="1" customWidth="1"/>
    <col min="4" max="4" style="14077" width="11.8515625" hidden="1" customWidth="1"/>
    <col min="5" max="11" style="14077" width="10.140625" hidden="1" customWidth="1"/>
    <col min="12" max="12" style="14155" width="10.140625" hidden="1" customWidth="1"/>
    <col min="13" max="15" style="14976" width="10.140625" hidden="1" customWidth="1"/>
    <col min="16" max="16" style="14975" width="3.00390625" customWidth="1"/>
    <col min="17" max="17" style="15266" width="3.00390625" customWidth="1"/>
    <col min="18" max="18" style="14977" width="3.00390625" customWidth="1"/>
    <col min="19" max="19" style="14978" width="12.00390625" customWidth="1"/>
    <col min="20" max="20" style="14077" width="31.00390625" customWidth="1"/>
    <col min="21" max="21" style="14077" width="0.140625" customWidth="1"/>
    <col min="22" max="23" style="14077" width="21.7109375" hidden="1" customWidth="1"/>
    <col min="24" max="24" style="14077" width="11.7109375" hidden="1" customWidth="1"/>
    <col min="25" max="25" style="14077" width="3.7109375" hidden="1" customWidth="1"/>
    <col min="26" max="26" style="14077" width="11.7109375" hidden="1" customWidth="1"/>
    <col min="27" max="27" style="14077" width="8.57421875" hidden="1" customWidth="1"/>
    <col min="28" max="28" style="14077" width="27.00390625" customWidth="1"/>
    <col min="29" max="29" style="14077" width="24.57421875" customWidth="1"/>
    <col min="30" max="31" style="14077" width="21.00390625" customWidth="1"/>
    <col min="32" max="32" style="14077" width="11.00390625" customWidth="1"/>
    <col min="33" max="33" style="14077" width="3.7109375" customWidth="1"/>
    <col min="34" max="34" style="14077" width="11.00390625" customWidth="1"/>
    <col min="35" max="35" style="14077" width="8.57421875" hidden="1" customWidth="1"/>
    <col min="36" max="36" style="14077" width="4.00390625" customWidth="1"/>
    <col min="37" max="37" style="14077" width="115.00390625" customWidth="1"/>
    <col min="38" max="42" style="14158" width="10.00390625" customWidth="1"/>
    <col min="43" max="43" style="14077" width="10.57421875" hidden="1"/>
  </cols>
  <sheetData>
    <row customHeight="1" ht="0.75" hidden="1">
      <c r="AQ1" s="1915" t="s">
        <v>14</v>
      </c>
    </row>
    <row customHeight="1" ht="21" hidden="1">
      <c r="A2" s="1551"/>
      <c r="B2" s="1551"/>
      <c r="C2" s="1551"/>
      <c r="D2" s="1551"/>
      <c r="E2" s="2573">
        <v>1</v>
      </c>
      <c r="F2" s="1551"/>
      <c r="G2" s="1551"/>
      <c r="H2" s="1551"/>
      <c r="I2" s="1551"/>
      <c r="J2" s="1551"/>
      <c r="K2" s="1551"/>
      <c r="L2" s="1594"/>
      <c r="M2" s="1894"/>
      <c r="N2" s="1894"/>
      <c r="O2" s="1894"/>
      <c r="P2" s="1693"/>
      <c r="Q2" s="1157"/>
      <c r="R2" s="639"/>
      <c r="S2" s="2242">
        <f>INDEX(PT_DIFFERENTIATION_NUM_NTAR,MATCH(A2,PT_DIFFERENTIATION_NTAR_ID,0))</f>
      </c>
      <c r="T2" s="1809" t="s">
        <v>124</v>
      </c>
      <c r="U2" s="584"/>
      <c r="V2" s="2527"/>
      <c r="W2" s="2527"/>
      <c r="X2" s="2527"/>
      <c r="Y2" s="2527"/>
      <c r="Z2" s="2527"/>
      <c r="AA2" s="2528"/>
      <c r="AB2" s="2236"/>
      <c r="AC2" s="2527">
        <f>INDEX(PT_DIFFERENTIATION_NTAR,MATCH(A2,PT_DIFFERENTIATION_NTAR_ID,0))</f>
      </c>
      <c r="AD2" s="2527"/>
      <c r="AE2" s="2527"/>
      <c r="AF2" s="2527"/>
      <c r="AG2" s="2527"/>
      <c r="AH2" s="2527"/>
      <c r="AI2" s="2527"/>
      <c r="AJ2" s="2528"/>
      <c r="AK2" s="1542" t="s">
        <v>401</v>
      </c>
      <c r="AM2" s="1908"/>
      <c r="AN2" s="1908" t="str">
        <f>IF(T2="","",T2)</f>
        <v>Наименование тарифа</v>
      </c>
      <c r="AO2" s="1908"/>
      <c r="AP2" s="1908"/>
      <c r="AQ2" s="1915">
        <v>0</v>
      </c>
    </row>
    <row customHeight="1" ht="21" hidden="1">
      <c r="A3" s="1551"/>
      <c r="B3" s="1551"/>
      <c r="C3" s="1551"/>
      <c r="D3" s="1551"/>
      <c r="E3" s="2574"/>
      <c r="F3" s="2573">
        <v>1</v>
      </c>
      <c r="G3" s="1551"/>
      <c r="H3" s="1551"/>
      <c r="I3" s="1551"/>
      <c r="J3" s="1551"/>
      <c r="K3" s="1551"/>
      <c r="L3" s="1594"/>
      <c r="M3" s="1894"/>
      <c r="N3" s="1894"/>
      <c r="O3" s="1894"/>
      <c r="P3" s="2253"/>
      <c r="Q3" s="1695"/>
      <c r="R3" s="637"/>
      <c r="S3" s="2242">
        <f>INDEX(PT_DIFFERENTIATION_NUM_TER,MATCH(B3,PT_DIFFERENTIATION_TER_ID,0))</f>
      </c>
      <c r="T3" s="1806" t="s">
        <v>402</v>
      </c>
      <c r="U3" s="584"/>
      <c r="V3" s="2527"/>
      <c r="W3" s="2527"/>
      <c r="X3" s="2527"/>
      <c r="Y3" s="2527"/>
      <c r="Z3" s="2527"/>
      <c r="AA3" s="2528"/>
      <c r="AB3" s="2236"/>
      <c r="AC3" s="2527">
        <f>INDEX(PT_DIFFERENTIATION_TER,MATCH(B3,PT_DIFFERENTIATION_TER_ID,0))</f>
      </c>
      <c r="AD3" s="2527"/>
      <c r="AE3" s="2527"/>
      <c r="AF3" s="2527"/>
      <c r="AG3" s="2527"/>
      <c r="AH3" s="2527"/>
      <c r="AI3" s="2527"/>
      <c r="AJ3" s="2528"/>
      <c r="AK3" s="1542" t="s">
        <v>403</v>
      </c>
      <c r="AM3" s="1908"/>
      <c r="AN3" s="1908" t="str">
        <f>IF(T3="","",T3)</f>
        <v>Территория действия тарифа</v>
      </c>
      <c r="AO3" s="1908"/>
      <c r="AP3" s="1908"/>
      <c r="AQ3" s="1915">
        <v>0</v>
      </c>
    </row>
    <row customHeight="1" ht="22.5" hidden="1">
      <c r="A4" s="1551"/>
      <c r="B4" s="1551"/>
      <c r="C4" s="1551"/>
      <c r="D4" s="1551"/>
      <c r="E4" s="2574"/>
      <c r="F4" s="2574"/>
      <c r="G4" s="2573">
        <v>1</v>
      </c>
      <c r="H4" s="1551"/>
      <c r="I4" s="1551"/>
      <c r="J4" s="1551"/>
      <c r="K4" s="1551"/>
      <c r="L4" s="1594"/>
      <c r="M4" s="1894"/>
      <c r="N4" s="1894"/>
      <c r="O4" s="1894"/>
      <c r="P4" s="1696"/>
      <c r="Q4" s="1695"/>
      <c r="R4" s="637"/>
      <c r="S4" s="2242">
        <f>INDEX(PT_DIFFERENTIATION_NUM_CS,MATCH(C4,PT_DIFFERENTIATION_CS_ID,0))</f>
      </c>
      <c r="T4" s="593" t="s">
        <v>404</v>
      </c>
      <c r="U4" s="584"/>
      <c r="V4" s="2527"/>
      <c r="W4" s="2527"/>
      <c r="X4" s="2527"/>
      <c r="Y4" s="2527"/>
      <c r="Z4" s="2527"/>
      <c r="AA4" s="2528"/>
      <c r="AB4" s="2236"/>
      <c r="AC4" s="2527">
        <f>INDEX(PT_DIFFERENTIATION_CS,MATCH(C4,PT_DIFFERENTIATION_CS_ID,0))</f>
      </c>
      <c r="AD4" s="2527"/>
      <c r="AE4" s="2527"/>
      <c r="AF4" s="2527"/>
      <c r="AG4" s="2527"/>
      <c r="AH4" s="2527"/>
      <c r="AI4" s="2527"/>
      <c r="AJ4" s="2528"/>
      <c r="AK4" s="1542" t="s">
        <v>405</v>
      </c>
      <c r="AM4" s="1908"/>
      <c r="AN4" s="1908" t="str">
        <f>IF(T4="","",T4)</f>
        <v>Наименование системы теплоснабжения </v>
      </c>
      <c r="AO4" s="1908"/>
      <c r="AP4" s="1908"/>
      <c r="AQ4" s="1915">
        <v>0</v>
      </c>
    </row>
    <row customHeight="1" ht="21" hidden="1">
      <c r="A5" s="1551"/>
      <c r="B5" s="1551"/>
      <c r="C5" s="1551"/>
      <c r="D5" s="1551"/>
      <c r="E5" s="2574"/>
      <c r="F5" s="2574"/>
      <c r="G5" s="2574"/>
      <c r="H5" s="2573">
        <v>1</v>
      </c>
      <c r="I5" s="1551"/>
      <c r="J5" s="1551"/>
      <c r="K5" s="1551"/>
      <c r="L5" s="1594"/>
      <c r="M5" s="1894"/>
      <c r="N5" s="1894"/>
      <c r="O5" s="1894"/>
      <c r="P5" s="1696"/>
      <c r="Q5" s="1695"/>
      <c r="R5" s="637"/>
      <c r="S5" s="2242">
        <f>INDEX(PT_DIFFERENTIATION_NUM_IST_TE,MATCH(D5,PT_DIFFERENTIATION_IST_TE_ID,0))</f>
      </c>
      <c r="T5" s="594" t="s">
        <v>406</v>
      </c>
      <c r="U5" s="584"/>
      <c r="V5" s="2527"/>
      <c r="W5" s="2527"/>
      <c r="X5" s="2527"/>
      <c r="Y5" s="2527"/>
      <c r="Z5" s="2527"/>
      <c r="AA5" s="2528"/>
      <c r="AB5" s="2236"/>
      <c r="AC5" s="2527">
        <f>INDEX(PT_DIFFERENTIATION_IST_TE,MATCH(D5,PT_DIFFERENTIATION_IST_TE_ID,0))</f>
      </c>
      <c r="AD5" s="2527"/>
      <c r="AE5" s="2527"/>
      <c r="AF5" s="2527"/>
      <c r="AG5" s="2527"/>
      <c r="AH5" s="2527"/>
      <c r="AI5" s="2527"/>
      <c r="AJ5" s="2528"/>
      <c r="AK5" s="1542" t="s">
        <v>407</v>
      </c>
      <c r="AM5" s="1908"/>
      <c r="AN5" s="1908" t="str">
        <f>IF(T5="","",T5)</f>
        <v>Источник тепловой энергии  </v>
      </c>
      <c r="AO5" s="1908"/>
      <c r="AP5" s="1908"/>
      <c r="AQ5" s="1915">
        <v>0</v>
      </c>
    </row>
    <row s="14158" customFormat="1" customHeight="1" ht="0.75" hidden="1">
      <c r="A6" s="1659"/>
      <c r="B6" s="1659"/>
      <c r="C6" s="1659"/>
      <c r="D6" s="1659"/>
      <c r="E6" s="2574"/>
      <c r="F6" s="2574"/>
      <c r="G6" s="2574"/>
      <c r="H6" s="2574"/>
      <c r="I6" s="2411">
        <f>S5&amp;".1"</f>
      </c>
      <c r="J6" s="1659"/>
      <c r="K6" s="1659"/>
      <c r="L6" s="1665" t="s">
        <v>408</v>
      </c>
      <c r="M6" s="1530"/>
      <c r="N6" s="1530"/>
      <c r="O6" s="1530"/>
      <c r="P6" s="2541">
        <v>1</v>
      </c>
      <c r="Q6" s="2238"/>
      <c r="R6" s="640"/>
      <c r="S6" s="1326"/>
      <c r="T6" s="1667"/>
      <c r="U6" s="1668"/>
      <c r="V6" s="2581"/>
      <c r="W6" s="2581"/>
      <c r="X6" s="2581"/>
      <c r="Y6" s="2581"/>
      <c r="Z6" s="2581"/>
      <c r="AA6" s="2582"/>
      <c r="AB6" s="2244"/>
      <c r="AC6" s="2581"/>
      <c r="AD6" s="2581"/>
      <c r="AE6" s="2581"/>
      <c r="AF6" s="2581"/>
      <c r="AG6" s="2581"/>
      <c r="AH6" s="2581"/>
      <c r="AI6" s="2581"/>
      <c r="AJ6" s="2582"/>
      <c r="AK6" s="1669"/>
      <c r="AM6" s="1908"/>
      <c r="AN6" s="1908" t="str">
        <f>IF(T6="","",T6)</f>
        <v/>
      </c>
      <c r="AO6" s="1908"/>
      <c r="AP6" s="1908"/>
      <c r="AQ6" s="1920">
        <v>0</v>
      </c>
    </row>
    <row s="14158" customFormat="1" customHeight="1" ht="0.75" hidden="1">
      <c r="A7" s="1659"/>
      <c r="B7" s="1659"/>
      <c r="C7" s="1659"/>
      <c r="D7" s="1659"/>
      <c r="E7" s="2574"/>
      <c r="F7" s="2574"/>
      <c r="G7" s="2574"/>
      <c r="H7" s="2574"/>
      <c r="I7" s="2385"/>
      <c r="J7" s="2411">
        <f>S5&amp;".1"</f>
      </c>
      <c r="K7" s="1659"/>
      <c r="L7" s="1665"/>
      <c r="M7" s="1530"/>
      <c r="N7" s="1530"/>
      <c r="O7" s="1530"/>
      <c r="P7" s="2541"/>
      <c r="Q7" s="2541">
        <v>1</v>
      </c>
      <c r="R7" s="641"/>
      <c r="S7" s="1326"/>
      <c r="T7" s="1683"/>
      <c r="U7" s="1668"/>
      <c r="V7" s="2581"/>
      <c r="W7" s="2581"/>
      <c r="X7" s="2581"/>
      <c r="Y7" s="2581"/>
      <c r="Z7" s="2581"/>
      <c r="AA7" s="2582"/>
      <c r="AB7" s="2244"/>
      <c r="AC7" s="2581"/>
      <c r="AD7" s="2581"/>
      <c r="AE7" s="2581"/>
      <c r="AF7" s="2581"/>
      <c r="AG7" s="2581"/>
      <c r="AH7" s="2581"/>
      <c r="AI7" s="2581"/>
      <c r="AJ7" s="2582"/>
      <c r="AK7" s="1669"/>
      <c r="AM7" s="1908"/>
      <c r="AN7" s="1908" t="str">
        <f>IF(T7="","",T7)</f>
        <v/>
      </c>
      <c r="AO7" s="1908"/>
      <c r="AP7" s="1908"/>
      <c r="AQ7" s="1920">
        <v>0</v>
      </c>
    </row>
    <row customHeight="1" ht="21" hidden="1">
      <c r="A8" s="1551"/>
      <c r="B8" s="1551"/>
      <c r="C8" s="1551"/>
      <c r="D8" s="1551"/>
      <c r="E8" s="2574"/>
      <c r="F8" s="2574"/>
      <c r="G8" s="2574"/>
      <c r="H8" s="2574"/>
      <c r="I8" s="2385"/>
      <c r="J8" s="2385"/>
      <c r="K8" s="2275">
        <f>S5&amp;".1"</f>
      </c>
      <c r="L8" s="1594"/>
      <c r="P8" s="2541"/>
      <c r="Q8" s="2541"/>
      <c r="R8" s="2279">
        <v>1</v>
      </c>
      <c r="S8" s="2277">
        <f>$K8</f>
      </c>
      <c r="T8" s="2278"/>
      <c r="U8" s="584"/>
      <c r="V8" s="1035"/>
      <c r="W8" s="1541"/>
      <c r="X8" s="2276"/>
      <c r="Y8" s="2274" t="s">
        <v>67</v>
      </c>
      <c r="Z8" s="2276"/>
      <c r="AA8" s="2274" t="s">
        <v>67</v>
      </c>
      <c r="AB8" s="2280"/>
      <c r="AC8" s="2281" t="s">
        <v>28</v>
      </c>
      <c r="AD8" s="1035"/>
      <c r="AE8" s="1541"/>
      <c r="AF8" s="2239"/>
      <c r="AG8" s="2226" t="s">
        <v>67</v>
      </c>
      <c r="AH8" s="2239"/>
      <c r="AI8" s="2226" t="s">
        <v>67</v>
      </c>
      <c r="AJ8" s="1632"/>
      <c r="AK8" s="2537" t="s">
        <v>472</v>
      </c>
      <c r="AL8" s="1920">
        <f>STRCHECKDATE(#REF!)</f>
      </c>
      <c r="AM8" s="1908"/>
      <c r="AN8" s="1908" t="str">
        <f>IF(T8="","",T8)</f>
        <v/>
      </c>
      <c r="AO8" s="1908"/>
      <c r="AP8" s="1908"/>
      <c r="AQ8" s="1915">
        <v>0</v>
      </c>
    </row>
    <row customHeight="1" ht="11.25" hidden="1">
      <c r="A9" s="1551"/>
      <c r="B9" s="1551"/>
      <c r="C9" s="1551"/>
      <c r="D9" s="1551"/>
      <c r="E9" s="2574"/>
      <c r="F9" s="2574"/>
      <c r="G9" s="2574"/>
      <c r="H9" s="2574"/>
      <c r="I9" s="2385"/>
      <c r="J9" s="2411"/>
      <c r="K9" s="1551"/>
      <c r="L9" s="1594"/>
      <c r="P9" s="2541"/>
      <c r="Q9" s="2541"/>
      <c r="R9" s="640"/>
      <c r="S9" s="1562"/>
      <c r="T9" s="571" t="s">
        <v>476</v>
      </c>
      <c r="U9" s="884"/>
      <c r="V9" s="884"/>
      <c r="W9" s="884"/>
      <c r="X9" s="884"/>
      <c r="Y9" s="884"/>
      <c r="Z9" s="884"/>
      <c r="AA9" s="884"/>
      <c r="AB9" s="884"/>
      <c r="AC9" s="884"/>
      <c r="AD9" s="884"/>
      <c r="AE9" s="884"/>
      <c r="AF9" s="884"/>
      <c r="AG9" s="884"/>
      <c r="AH9" s="884"/>
      <c r="AI9" s="884"/>
      <c r="AJ9" s="608"/>
      <c r="AK9" s="2539"/>
      <c r="AM9" s="1908"/>
      <c r="AN9" s="1908" t="str">
        <f>IF(T9="","",T9)</f>
        <v>Добавить строку</v>
      </c>
      <c r="AO9" s="1908"/>
      <c r="AP9" s="1908"/>
      <c r="AQ9" s="1915">
        <v>0</v>
      </c>
    </row>
    <row s="14158" customFormat="1" customHeight="1" ht="0.75" hidden="1">
      <c r="A10" s="1659"/>
      <c r="B10" s="1659"/>
      <c r="C10" s="1659"/>
      <c r="D10" s="1659"/>
      <c r="E10" s="2574"/>
      <c r="F10" s="2574"/>
      <c r="G10" s="2574"/>
      <c r="H10" s="2574"/>
      <c r="I10" s="2411"/>
      <c r="J10" s="1659"/>
      <c r="K10" s="1659"/>
      <c r="L10" s="1665"/>
      <c r="M10" s="1530"/>
      <c r="N10" s="1530"/>
      <c r="O10" s="1530"/>
      <c r="P10" s="2541"/>
      <c r="Q10" s="2238"/>
      <c r="R10" s="640"/>
      <c r="S10" s="1670"/>
      <c r="T10" s="1671"/>
      <c r="U10" s="1672"/>
      <c r="V10" s="1672"/>
      <c r="W10" s="1672"/>
      <c r="X10" s="1672"/>
      <c r="Y10" s="1672"/>
      <c r="Z10" s="1672"/>
      <c r="AA10" s="1672"/>
      <c r="AB10" s="1672"/>
      <c r="AC10" s="1672"/>
      <c r="AD10" s="1672"/>
      <c r="AE10" s="1672"/>
      <c r="AF10" s="1672"/>
      <c r="AG10" s="1672"/>
      <c r="AH10" s="1672"/>
      <c r="AI10" s="1672"/>
      <c r="AJ10" s="1672"/>
      <c r="AK10" s="1673"/>
      <c r="AM10" s="1908"/>
      <c r="AN10" s="1908" t="str">
        <f>IF(T10="","",T10)</f>
        <v/>
      </c>
      <c r="AO10" s="1908"/>
      <c r="AP10" s="1908"/>
      <c r="AQ10" s="1920">
        <v>0</v>
      </c>
    </row>
    <row s="14158" customFormat="1" customHeight="1" ht="0.75" hidden="1">
      <c r="A11" s="1659"/>
      <c r="B11" s="1659"/>
      <c r="C11" s="1659"/>
      <c r="D11" s="1659"/>
      <c r="E11" s="2574"/>
      <c r="F11" s="2574"/>
      <c r="G11" s="2574"/>
      <c r="H11" s="2573"/>
      <c r="I11" s="1659"/>
      <c r="J11" s="1659"/>
      <c r="K11" s="1659"/>
      <c r="L11" s="1665"/>
      <c r="M11" s="1662"/>
      <c r="N11" s="1662"/>
      <c r="O11" s="635"/>
      <c r="P11" s="664"/>
      <c r="Q11" s="1628"/>
      <c r="R11" s="1685"/>
      <c r="S11" s="1670"/>
      <c r="T11" s="1671"/>
      <c r="U11" s="1672"/>
      <c r="V11" s="1672"/>
      <c r="W11" s="1672"/>
      <c r="X11" s="1672"/>
      <c r="Y11" s="1672"/>
      <c r="Z11" s="1672"/>
      <c r="AA11" s="1672"/>
      <c r="AB11" s="1672"/>
      <c r="AC11" s="1672"/>
      <c r="AD11" s="1672"/>
      <c r="AE11" s="1672"/>
      <c r="AF11" s="1672"/>
      <c r="AG11" s="1672"/>
      <c r="AH11" s="1672"/>
      <c r="AI11" s="1672"/>
      <c r="AJ11" s="1672"/>
      <c r="AK11" s="1673"/>
      <c r="AM11" s="1908"/>
      <c r="AN11" s="1908" t="str">
        <f>IF(T11="","",T11)</f>
        <v/>
      </c>
      <c r="AO11" s="1908"/>
      <c r="AP11" s="1908"/>
      <c r="AQ11" s="1920">
        <v>0</v>
      </c>
    </row>
    <row s="14158" customFormat="1" customHeight="1" ht="0.75" hidden="1">
      <c r="A12" s="1659"/>
      <c r="B12" s="1659"/>
      <c r="C12" s="1659"/>
      <c r="D12" s="1658"/>
      <c r="E12" s="2574"/>
      <c r="F12" s="2574"/>
      <c r="G12" s="2573"/>
      <c r="H12" s="1658"/>
      <c r="I12" s="1658"/>
      <c r="J12" s="1658"/>
      <c r="K12" s="1658"/>
      <c r="L12" s="1661"/>
      <c r="M12" s="1662"/>
      <c r="N12" s="1662"/>
      <c r="O12" s="635"/>
      <c r="P12" s="1600"/>
      <c r="Q12" s="1601"/>
      <c r="R12" s="1600"/>
      <c r="S12" s="1606"/>
      <c r="T12" s="1609" t="s">
        <v>169</v>
      </c>
      <c r="U12" s="1608"/>
      <c r="V12" s="1608"/>
      <c r="W12" s="1608"/>
      <c r="X12" s="1608"/>
      <c r="Y12" s="1608"/>
      <c r="Z12" s="1608"/>
      <c r="AA12" s="1608"/>
      <c r="AB12" s="1608"/>
      <c r="AC12" s="1608"/>
      <c r="AD12" s="1608"/>
      <c r="AE12" s="1608"/>
      <c r="AF12" s="1608"/>
      <c r="AG12" s="1608"/>
      <c r="AH12" s="1608"/>
      <c r="AI12" s="1608"/>
      <c r="AJ12" s="1608"/>
      <c r="AK12" s="1608"/>
      <c r="AM12" s="1535"/>
      <c r="AN12" s="1535" t="str">
        <f>IF(T12="","",T12)</f>
        <v>Добавить источник для дифференциации</v>
      </c>
      <c r="AO12" s="1535"/>
      <c r="AP12" s="1535"/>
      <c r="AQ12" s="1926">
        <v>0</v>
      </c>
    </row>
    <row s="14158" customFormat="1" customHeight="1" ht="0.75" hidden="1">
      <c r="A13" s="1659"/>
      <c r="B13" s="1659"/>
      <c r="C13" s="1658"/>
      <c r="D13" s="1658"/>
      <c r="E13" s="2574"/>
      <c r="F13" s="2573"/>
      <c r="G13" s="1658"/>
      <c r="H13" s="1658"/>
      <c r="I13" s="1658"/>
      <c r="J13" s="1658"/>
      <c r="K13" s="1658"/>
      <c r="L13" s="1661"/>
      <c r="M13" s="1663"/>
      <c r="N13" s="1663"/>
      <c r="O13" s="635"/>
      <c r="P13" s="1600"/>
      <c r="Q13" s="1601"/>
      <c r="R13" s="1600"/>
      <c r="S13" s="1606"/>
      <c r="T13" s="1609" t="s">
        <v>170</v>
      </c>
      <c r="U13" s="1608"/>
      <c r="V13" s="1608"/>
      <c r="W13" s="1608"/>
      <c r="X13" s="1608"/>
      <c r="Y13" s="1608"/>
      <c r="Z13" s="1608"/>
      <c r="AA13" s="1608"/>
      <c r="AB13" s="1608"/>
      <c r="AC13" s="1608"/>
      <c r="AD13" s="1608"/>
      <c r="AE13" s="1608"/>
      <c r="AF13" s="1608"/>
      <c r="AG13" s="1608"/>
      <c r="AH13" s="1608"/>
      <c r="AI13" s="1608"/>
      <c r="AJ13" s="1608"/>
      <c r="AK13" s="1608"/>
      <c r="AM13" s="1535"/>
      <c r="AN13" s="1535" t="str">
        <f>IF(T13="","",T13)</f>
        <v>Добавить централизованную систему для дифференциации</v>
      </c>
      <c r="AO13" s="1535"/>
      <c r="AP13" s="1535"/>
      <c r="AQ13" s="1926">
        <v>0</v>
      </c>
    </row>
    <row s="14158" customFormat="1" customHeight="1" ht="0.75" hidden="1">
      <c r="A14" s="1659"/>
      <c r="B14" s="1659"/>
      <c r="C14" s="1659"/>
      <c r="D14" s="1659"/>
      <c r="E14" s="2573"/>
      <c r="F14" s="1659"/>
      <c r="G14" s="1659"/>
      <c r="H14" s="1659"/>
      <c r="I14" s="1659"/>
      <c r="J14" s="1659"/>
      <c r="K14" s="1659"/>
      <c r="L14" s="1665"/>
      <c r="M14" s="1663"/>
      <c r="N14" s="1663"/>
      <c r="O14" s="635"/>
      <c r="P14" s="664"/>
      <c r="Q14" s="1628"/>
      <c r="R14" s="664"/>
      <c r="S14" s="1606"/>
      <c r="T14" s="1609" t="s">
        <v>171</v>
      </c>
      <c r="U14" s="1608"/>
      <c r="V14" s="1608"/>
      <c r="W14" s="1608"/>
      <c r="X14" s="1608"/>
      <c r="Y14" s="1608"/>
      <c r="Z14" s="1608"/>
      <c r="AA14" s="1608"/>
      <c r="AB14" s="1608"/>
      <c r="AC14" s="1608"/>
      <c r="AD14" s="1608"/>
      <c r="AE14" s="1608"/>
      <c r="AF14" s="1608"/>
      <c r="AG14" s="1608"/>
      <c r="AH14" s="1608"/>
      <c r="AI14" s="1608"/>
      <c r="AJ14" s="1608"/>
      <c r="AK14" s="1608"/>
      <c r="AM14" s="1908"/>
      <c r="AN14" s="1908" t="str">
        <f>IF(T14="","",T14)</f>
        <v>Добавить территорию для дифференциации</v>
      </c>
      <c r="AO14" s="1908"/>
      <c r="AP14" s="1908"/>
      <c r="AQ14" s="1920">
        <v>0</v>
      </c>
    </row>
    <row customHeight="1" ht="14.25" hidden="1">
      <c r="AQ15" s="1915">
        <v>0</v>
      </c>
    </row>
    <row customHeight="1" ht="14.25" hidden="1">
      <c r="AC16" s="1786"/>
      <c r="AD16" s="1687"/>
      <c r="AE16" s="1688"/>
      <c r="AF16" s="2020"/>
      <c r="AG16" s="2250" t="s">
        <v>67</v>
      </c>
      <c r="AH16" s="2020"/>
      <c r="AI16" s="2250" t="s">
        <v>67</v>
      </c>
      <c r="AQ16" s="1915">
        <v>0</v>
      </c>
    </row>
    <row customHeight="1" ht="14.25" hidden="1">
      <c r="AL17" s="1925"/>
      <c r="AM17" s="1925"/>
      <c r="AN17" s="1925"/>
      <c r="AO17" s="1925"/>
      <c r="AP17" s="1925"/>
      <c r="AQ17" s="1915">
        <v>0</v>
      </c>
    </row>
    <row customHeight="1" ht="14.25" hidden="1">
      <c r="O18" s="1629" t="s">
        <v>419</v>
      </c>
      <c r="X18" s="1629"/>
      <c r="Z18" s="1629"/>
      <c r="AF18" s="1629"/>
      <c r="AH18" s="1629"/>
      <c r="AL18" s="1925"/>
      <c r="AM18" s="1925"/>
      <c r="AN18" s="1925"/>
      <c r="AO18" s="1925"/>
      <c r="AP18" s="1925"/>
      <c r="AQ18" s="1915">
        <v>0</v>
      </c>
    </row>
    <row customHeight="1" ht="14.25" hidden="1">
      <c r="AL19" s="1925"/>
      <c r="AM19" s="1925"/>
      <c r="AN19" s="1925"/>
      <c r="AO19" s="1925"/>
      <c r="AP19" s="1925"/>
      <c r="AQ19" s="1915">
        <v>0</v>
      </c>
    </row>
    <row s="15237" customFormat="1" customHeight="1" ht="14.25" hidden="1">
      <c r="A20" s="2255"/>
      <c r="B20" s="2255"/>
      <c r="C20" s="2255"/>
      <c r="D20" s="2255"/>
      <c r="E20" s="2255"/>
      <c r="F20" s="2255"/>
      <c r="G20" s="2255"/>
      <c r="H20" s="2255"/>
      <c r="I20" s="2255"/>
      <c r="J20" s="2255"/>
      <c r="K20" s="2255"/>
      <c r="L20" s="2255"/>
      <c r="M20" s="2256"/>
      <c r="N20" s="2256"/>
      <c r="O20" s="2257" t="s">
        <v>420</v>
      </c>
      <c r="P20" s="1792"/>
      <c r="Q20" s="1794"/>
      <c r="R20" s="1794"/>
      <c r="Y20" s="1791" t="s">
        <v>422</v>
      </c>
      <c r="AA20" s="1791" t="s">
        <v>423</v>
      </c>
      <c r="AC20" s="1791" t="s">
        <v>478</v>
      </c>
      <c r="AG20" s="1791" t="s">
        <v>422</v>
      </c>
      <c r="AI20" s="1791" t="s">
        <v>423</v>
      </c>
      <c r="AL20" s="1795"/>
      <c r="AM20" s="1795"/>
      <c r="AN20" s="1795"/>
      <c r="AO20" s="1795"/>
      <c r="AP20" s="1795"/>
      <c r="AQ20" s="1791">
        <v>0</v>
      </c>
    </row>
    <row customHeight="1" ht="14.25" hidden="1">
      <c r="O21" s="1594"/>
      <c r="AL21" s="1925"/>
      <c r="AM21" s="1925"/>
      <c r="AN21" s="1925"/>
      <c r="AO21" s="1925"/>
      <c r="AP21" s="1925"/>
      <c r="AQ21" s="1915">
        <v>0</v>
      </c>
    </row>
    <row customHeight="1" ht="14.25" hidden="1">
      <c r="O22" s="1594"/>
      <c r="AL22" s="1925"/>
      <c r="AM22" s="1925"/>
      <c r="AN22" s="1925"/>
      <c r="AO22" s="1925"/>
      <c r="AP22" s="1925"/>
      <c r="AQ22" s="1915">
        <v>0</v>
      </c>
    </row>
    <row customHeight="1" ht="14.699999999999998">
      <c r="Q23" s="575"/>
      <c r="R23" s="660"/>
      <c r="S23" s="1559"/>
      <c r="T23" s="741"/>
      <c r="U23" s="741"/>
      <c r="V23" s="1919"/>
      <c r="W23" s="1919"/>
      <c r="X23" s="1919"/>
      <c r="Y23" s="1919"/>
      <c r="Z23" s="1919"/>
      <c r="AA23" s="1919"/>
      <c r="AB23" s="1919"/>
      <c r="AC23" s="1919"/>
      <c r="AD23" s="1919"/>
      <c r="AE23" s="1919"/>
      <c r="AF23" s="1919"/>
      <c r="AG23" s="1919"/>
      <c r="AH23" s="1919"/>
      <c r="AI23" s="1919"/>
      <c r="AQ23" s="1915">
        <v>14</v>
      </c>
    </row>
    <row customHeight="1" ht="39.75">
      <c r="Q24" s="575"/>
      <c r="R24" s="660"/>
      <c r="S24" s="2532"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532"/>
      <c r="U24" s="2532"/>
      <c r="V24" s="2532"/>
      <c r="W24" s="2532"/>
      <c r="X24" s="2532"/>
      <c r="Y24" s="2532"/>
      <c r="Z24" s="2532"/>
      <c r="AA24" s="2532"/>
      <c r="AB24" s="2532"/>
      <c r="AC24" s="2532"/>
      <c r="AD24" s="2532"/>
      <c r="AE24" s="2532"/>
      <c r="AF24" s="2532"/>
      <c r="AG24" s="2532"/>
      <c r="AH24" s="2532"/>
      <c r="AI24" s="1527"/>
      <c r="AQ24" s="1915">
        <v>38</v>
      </c>
    </row>
    <row customHeight="1" ht="14.699999999999998">
      <c r="Q25" s="575"/>
      <c r="R25" s="660"/>
      <c r="S25" s="2533" t="str">
        <f>IF(org=0,"Не определено",org)</f>
        <v>МУП г. Азова "Теплоэнерго"</v>
      </c>
      <c r="T25" s="2533"/>
      <c r="U25" s="2533"/>
      <c r="V25" s="2533"/>
      <c r="W25" s="2533"/>
      <c r="X25" s="2533"/>
      <c r="Y25" s="2533"/>
      <c r="Z25" s="2533"/>
      <c r="AA25" s="2533"/>
      <c r="AB25" s="2533"/>
      <c r="AC25" s="2533"/>
      <c r="AD25" s="2533"/>
      <c r="AE25" s="2533"/>
      <c r="AF25" s="2533"/>
      <c r="AG25" s="2533"/>
      <c r="AH25" s="2533"/>
      <c r="AI25" s="1527"/>
      <c r="AQ25" s="1915">
        <v>14</v>
      </c>
    </row>
    <row customHeight="1" ht="14.25" hidden="1">
      <c r="Q26" s="575"/>
      <c r="R26" s="660"/>
      <c r="S26" s="1559"/>
      <c r="T26" s="741"/>
      <c r="U26" s="741"/>
      <c r="V26" s="606"/>
      <c r="W26" s="606"/>
      <c r="X26" s="606"/>
      <c r="Y26" s="606"/>
      <c r="Z26" s="606"/>
      <c r="AA26" s="606"/>
      <c r="AB26" s="606"/>
      <c r="AC26" s="606"/>
      <c r="AD26" s="606"/>
      <c r="AE26" s="606"/>
      <c r="AF26" s="606"/>
      <c r="AG26" s="606"/>
      <c r="AH26" s="606"/>
      <c r="AI26" s="606"/>
      <c r="AJ26" s="1919"/>
      <c r="AQ26" s="1915">
        <v>0</v>
      </c>
    </row>
    <row s="14284" customFormat="1" customHeight="1" ht="25.5" hidden="1">
      <c r="A27" s="1532"/>
      <c r="B27" s="1532"/>
      <c r="C27" s="1532"/>
      <c r="D27" s="1532"/>
      <c r="E27" s="1532"/>
      <c r="F27" s="1532"/>
      <c r="G27" s="1532"/>
      <c r="H27" s="1532"/>
      <c r="I27" s="1532"/>
      <c r="J27" s="1532"/>
      <c r="K27" s="1532"/>
      <c r="L27" s="1664"/>
      <c r="M27" s="1532"/>
      <c r="N27" s="1532"/>
      <c r="O27" s="1532"/>
      <c r="P27" s="1652"/>
      <c r="Q27" s="1652"/>
      <c r="S27" s="2534" t="s">
        <v>42</v>
      </c>
      <c r="T27" s="2534"/>
      <c r="U27" s="1656"/>
      <c r="V27" s="2535" t="str">
        <f>IF(TITLE_NAME_OR_PR_CHANGE="",IF(TITLE_NAME_OR_PR="","",TITLE_NAME_OR_PR),TITLE_NAME_OR_PR_CHANGE)</f>
        <v/>
      </c>
      <c r="W27" s="2535"/>
      <c r="X27" s="2535"/>
      <c r="Y27" s="2535"/>
      <c r="Z27" s="2535"/>
      <c r="AA27" s="1919"/>
      <c r="AB27" s="1919"/>
      <c r="AC27" s="2535"/>
      <c r="AD27" s="2535"/>
      <c r="AE27" s="2535"/>
      <c r="AF27" s="2535"/>
      <c r="AG27" s="2535"/>
      <c r="AH27" s="2535"/>
      <c r="AI27" s="1919"/>
      <c r="AJ27" s="1919"/>
      <c r="AK27" s="564"/>
      <c r="AL27" s="652"/>
      <c r="AM27" s="652"/>
      <c r="AN27" s="652"/>
      <c r="AO27" s="652"/>
      <c r="AP27" s="652"/>
      <c r="AQ27" s="702">
        <v>0</v>
      </c>
    </row>
    <row s="14284" customFormat="1" customHeight="1" ht="18.75" hidden="1">
      <c r="A28" s="1532"/>
      <c r="B28" s="1532"/>
      <c r="C28" s="1532"/>
      <c r="D28" s="1532"/>
      <c r="E28" s="1532"/>
      <c r="F28" s="1532"/>
      <c r="G28" s="1532"/>
      <c r="H28" s="1532"/>
      <c r="I28" s="1532"/>
      <c r="J28" s="1532"/>
      <c r="K28" s="1532"/>
      <c r="L28" s="1664"/>
      <c r="M28" s="1532"/>
      <c r="N28" s="1532"/>
      <c r="O28" s="1532"/>
      <c r="P28" s="1652"/>
      <c r="Q28" s="1652"/>
      <c r="S28" s="2534" t="s">
        <v>425</v>
      </c>
      <c r="T28" s="2534"/>
      <c r="U28" s="1656"/>
      <c r="V28" s="2548" t="str">
        <f>IF(TITLE_DATE_PR_CHANGE="",IF(TITLE_DATE_PR="","",TITLE_DATE_PR),TITLE_DATE_PR_CHANGE)</f>
        <v>45471</v>
      </c>
      <c r="W28" s="2548"/>
      <c r="X28" s="2548"/>
      <c r="Y28" s="2548"/>
      <c r="Z28" s="2548"/>
      <c r="AA28" s="1919"/>
      <c r="AB28" s="1919"/>
      <c r="AC28" s="2548"/>
      <c r="AD28" s="2548"/>
      <c r="AE28" s="2548"/>
      <c r="AF28" s="2548"/>
      <c r="AG28" s="2548"/>
      <c r="AH28" s="2548"/>
      <c r="AI28" s="1919"/>
      <c r="AJ28" s="1919"/>
      <c r="AK28" s="564"/>
      <c r="AL28" s="652"/>
      <c r="AM28" s="652"/>
      <c r="AN28" s="652"/>
      <c r="AO28" s="652"/>
      <c r="AP28" s="652"/>
      <c r="AQ28" s="702">
        <v>0</v>
      </c>
    </row>
    <row s="14284" customFormat="1" customHeight="1" ht="18.75" hidden="1">
      <c r="A29" s="1532"/>
      <c r="B29" s="1532"/>
      <c r="C29" s="1532"/>
      <c r="D29" s="1532"/>
      <c r="E29" s="1532"/>
      <c r="F29" s="1532"/>
      <c r="G29" s="1532"/>
      <c r="H29" s="1532"/>
      <c r="I29" s="1532"/>
      <c r="J29" s="1532"/>
      <c r="K29" s="1532"/>
      <c r="L29" s="1664"/>
      <c r="M29" s="1532"/>
      <c r="N29" s="1532"/>
      <c r="O29" s="1532"/>
      <c r="P29" s="1652"/>
      <c r="Q29" s="1652"/>
      <c r="S29" s="2534" t="s">
        <v>426</v>
      </c>
      <c r="T29" s="2534"/>
      <c r="U29" s="1656"/>
      <c r="V29" s="2535" t="str">
        <f>IF(TITLE_NUMBER_PR_CHANGE="",IF(TITLE_NUMBER_PR="","",TITLE_NUMBER_PR),TITLE_NUMBER_PR_CHANGE)</f>
        <v>50/18-01/261</v>
      </c>
      <c r="W29" s="2535"/>
      <c r="X29" s="2535"/>
      <c r="Y29" s="2535"/>
      <c r="Z29" s="2535"/>
      <c r="AA29" s="1919"/>
      <c r="AB29" s="1919"/>
      <c r="AC29" s="2535"/>
      <c r="AD29" s="2535"/>
      <c r="AE29" s="2535"/>
      <c r="AF29" s="2535"/>
      <c r="AG29" s="2535"/>
      <c r="AH29" s="2535"/>
      <c r="AI29" s="1919"/>
      <c r="AJ29" s="1919"/>
      <c r="AK29" s="564"/>
      <c r="AL29" s="652"/>
      <c r="AM29" s="652"/>
      <c r="AN29" s="652"/>
      <c r="AO29" s="652"/>
      <c r="AP29" s="652"/>
      <c r="AQ29" s="702">
        <v>0</v>
      </c>
    </row>
    <row s="14284" customFormat="1" customHeight="1" ht="18.75" hidden="1">
      <c r="A30" s="1532"/>
      <c r="B30" s="1532"/>
      <c r="C30" s="1532"/>
      <c r="D30" s="1532"/>
      <c r="E30" s="1532"/>
      <c r="F30" s="1532"/>
      <c r="G30" s="1532"/>
      <c r="H30" s="1532"/>
      <c r="I30" s="1532"/>
      <c r="J30" s="1532"/>
      <c r="K30" s="1532"/>
      <c r="L30" s="1664"/>
      <c r="M30" s="1532"/>
      <c r="N30" s="1532"/>
      <c r="O30" s="1532"/>
      <c r="P30" s="1652"/>
      <c r="Q30" s="1652"/>
      <c r="S30" s="2534" t="s">
        <v>43</v>
      </c>
      <c r="T30" s="2534"/>
      <c r="U30" s="1656"/>
      <c r="V30" s="2535" t="str">
        <f>IF(TITLE_IST_PUB_CHANGE="",IF(TITLE_IST_PUB="","",TITLE_IST_PUB),TITLE_IST_PUB_CHANGE)</f>
        <v/>
      </c>
      <c r="W30" s="2535"/>
      <c r="X30" s="2535"/>
      <c r="Y30" s="2535"/>
      <c r="Z30" s="2535"/>
      <c r="AA30" s="1919"/>
      <c r="AB30" s="1919"/>
      <c r="AC30" s="2535"/>
      <c r="AD30" s="2535"/>
      <c r="AE30" s="2535"/>
      <c r="AF30" s="2535"/>
      <c r="AG30" s="2535"/>
      <c r="AH30" s="2535"/>
      <c r="AI30" s="1919"/>
      <c r="AJ30" s="1919"/>
      <c r="AK30" s="564"/>
      <c r="AL30" s="652"/>
      <c r="AM30" s="652"/>
      <c r="AN30" s="652"/>
      <c r="AO30" s="652"/>
      <c r="AP30" s="652"/>
      <c r="AQ30" s="702">
        <v>0</v>
      </c>
    </row>
    <row customHeight="1" ht="14.25" hidden="1">
      <c r="Q31" s="575"/>
      <c r="R31" s="660"/>
      <c r="S31" s="1559"/>
      <c r="T31" s="741"/>
      <c r="U31" s="741"/>
      <c r="V31" s="606"/>
      <c r="W31" s="606"/>
      <c r="X31" s="606"/>
      <c r="Y31" s="606"/>
      <c r="Z31" s="606"/>
      <c r="AA31" s="606"/>
      <c r="AB31" s="606"/>
      <c r="AC31" s="606"/>
      <c r="AD31" s="606"/>
      <c r="AE31" s="606"/>
      <c r="AF31" s="606"/>
      <c r="AG31" s="606"/>
      <c r="AH31" s="606"/>
      <c r="AI31" s="606"/>
      <c r="AJ31" s="1919"/>
      <c r="AQ31" s="1915">
        <v>0</v>
      </c>
    </row>
    <row s="14284" customFormat="1" customHeight="1" ht="18.75" hidden="1">
      <c r="A32" s="1532"/>
      <c r="B32" s="1532"/>
      <c r="C32" s="1532"/>
      <c r="D32" s="1532"/>
      <c r="E32" s="1532"/>
      <c r="F32" s="1532"/>
      <c r="G32" s="1532"/>
      <c r="H32" s="1532"/>
      <c r="I32" s="1532"/>
      <c r="J32" s="1532"/>
      <c r="K32" s="1532"/>
      <c r="L32" s="1664"/>
      <c r="M32" s="1532"/>
      <c r="N32" s="1532"/>
      <c r="O32" s="1532"/>
      <c r="P32" s="1652"/>
      <c r="Q32" s="1652"/>
      <c r="S32" s="2534" t="s">
        <v>425</v>
      </c>
      <c r="T32" s="2534"/>
      <c r="U32" s="1656"/>
      <c r="V32" s="2548" t="str">
        <f>IF(TITLE_DATE_PR_CHANGE="",IF(TITLE_DATE_PR="","",TITLE_DATE_PR),TITLE_DATE_PR_CHANGE)</f>
        <v>45471</v>
      </c>
      <c r="W32" s="2548"/>
      <c r="X32" s="2548"/>
      <c r="Y32" s="2548"/>
      <c r="Z32" s="2548"/>
      <c r="AA32" s="1919"/>
      <c r="AB32" s="1919"/>
      <c r="AC32" s="2548"/>
      <c r="AD32" s="2548"/>
      <c r="AE32" s="2548"/>
      <c r="AF32" s="2548"/>
      <c r="AG32" s="2548"/>
      <c r="AH32" s="2548"/>
      <c r="AI32" s="1919"/>
      <c r="AJ32" s="1919"/>
      <c r="AK32" s="564"/>
      <c r="AL32" s="652"/>
      <c r="AM32" s="652"/>
      <c r="AN32" s="652"/>
      <c r="AO32" s="652"/>
      <c r="AP32" s="652"/>
      <c r="AQ32" s="702">
        <v>0</v>
      </c>
    </row>
    <row s="14284" customFormat="1" customHeight="1" ht="18" hidden="1">
      <c r="A33" s="1532"/>
      <c r="B33" s="1532"/>
      <c r="C33" s="1532"/>
      <c r="D33" s="1532"/>
      <c r="E33" s="1532"/>
      <c r="F33" s="1532"/>
      <c r="G33" s="1532"/>
      <c r="H33" s="1532"/>
      <c r="I33" s="1532"/>
      <c r="J33" s="1532"/>
      <c r="K33" s="1532"/>
      <c r="L33" s="1664"/>
      <c r="M33" s="1532"/>
      <c r="N33" s="1532"/>
      <c r="O33" s="1532"/>
      <c r="P33" s="1652"/>
      <c r="Q33" s="1652"/>
      <c r="S33" s="2534" t="s">
        <v>426</v>
      </c>
      <c r="T33" s="2534"/>
      <c r="U33" s="1656"/>
      <c r="V33" s="2535" t="str">
        <f>IF(TITLE_NUMBER_PR_CHANGE="",IF(TITLE_NUMBER_PR="","",TITLE_NUMBER_PR),TITLE_NUMBER_PR_CHANGE)</f>
        <v>50/18-01/261</v>
      </c>
      <c r="W33" s="2535"/>
      <c r="X33" s="2535"/>
      <c r="Y33" s="2535"/>
      <c r="Z33" s="2535"/>
      <c r="AA33" s="1919"/>
      <c r="AB33" s="1919"/>
      <c r="AC33" s="2535"/>
      <c r="AD33" s="2535"/>
      <c r="AE33" s="2535"/>
      <c r="AF33" s="2535"/>
      <c r="AG33" s="2535"/>
      <c r="AH33" s="2535"/>
      <c r="AI33" s="1919"/>
      <c r="AJ33" s="1919"/>
      <c r="AK33" s="564"/>
      <c r="AL33" s="652"/>
      <c r="AM33" s="652"/>
      <c r="AN33" s="652"/>
      <c r="AO33" s="652"/>
      <c r="AP33" s="652"/>
      <c r="AQ33" s="702">
        <v>0</v>
      </c>
    </row>
    <row s="14284" customFormat="1" customHeight="1" ht="1.05">
      <c r="A34" s="1532"/>
      <c r="B34" s="1532"/>
      <c r="C34" s="1532"/>
      <c r="D34" s="1532"/>
      <c r="E34" s="1532"/>
      <c r="F34" s="1532"/>
      <c r="G34" s="1532"/>
      <c r="H34" s="1532"/>
      <c r="I34" s="1532"/>
      <c r="J34" s="1532"/>
      <c r="K34" s="1532"/>
      <c r="L34" s="1664"/>
      <c r="M34" s="1532"/>
      <c r="N34" s="1532"/>
      <c r="O34" s="1532"/>
      <c r="P34" s="1652"/>
      <c r="Q34" s="1652"/>
      <c r="S34" s="1919"/>
      <c r="T34" s="1919"/>
      <c r="U34" s="2254"/>
      <c r="V34" s="1919"/>
      <c r="W34" s="1919"/>
      <c r="X34" s="1919"/>
      <c r="Y34" s="1919"/>
      <c r="Z34" s="1919"/>
      <c r="AA34" s="1926" t="s">
        <v>429</v>
      </c>
      <c r="AB34" s="1926"/>
      <c r="AC34" s="1919"/>
      <c r="AD34" s="1919"/>
      <c r="AE34" s="1919"/>
      <c r="AF34" s="1919"/>
      <c r="AG34" s="1919"/>
      <c r="AH34" s="1919"/>
      <c r="AI34" s="1926" t="s">
        <v>429</v>
      </c>
      <c r="AL34" s="652"/>
      <c r="AM34" s="652"/>
      <c r="AN34" s="652"/>
      <c r="AO34" s="652"/>
      <c r="AP34" s="652"/>
      <c r="AQ34" s="702">
        <v>1</v>
      </c>
    </row>
    <row customHeight="1" ht="14.699999999999998">
      <c r="Q35" s="575"/>
      <c r="R35" s="660"/>
      <c r="S35" s="1559"/>
      <c r="T35" s="741"/>
      <c r="U35" s="1528"/>
      <c r="V35" s="2536"/>
      <c r="W35" s="2536"/>
      <c r="X35" s="2536"/>
      <c r="Y35" s="2536"/>
      <c r="Z35" s="2536"/>
      <c r="AA35" s="2536"/>
      <c r="AB35" s="2241"/>
      <c r="AC35" s="2536"/>
      <c r="AD35" s="2536"/>
      <c r="AE35" s="2536"/>
      <c r="AF35" s="2536"/>
      <c r="AG35" s="2536"/>
      <c r="AH35" s="2536"/>
      <c r="AI35" s="2536"/>
      <c r="AQ35" s="1915">
        <v>14</v>
      </c>
    </row>
    <row customHeight="1" ht="14.699999999999998">
      <c r="Q36" s="575"/>
      <c r="R36" s="660"/>
      <c r="S36" s="2411" t="s">
        <v>305</v>
      </c>
      <c r="T36" s="2411"/>
      <c r="U36" s="2411"/>
      <c r="V36" s="2411"/>
      <c r="W36" s="2411"/>
      <c r="X36" s="2411"/>
      <c r="Y36" s="2411"/>
      <c r="Z36" s="2411"/>
      <c r="AA36" s="2459"/>
      <c r="AB36" s="2459"/>
      <c r="AC36" s="2459"/>
      <c r="AD36" s="2411"/>
      <c r="AE36" s="2411"/>
      <c r="AF36" s="2411"/>
      <c r="AG36" s="2411"/>
      <c r="AH36" s="2411"/>
      <c r="AI36" s="2411"/>
      <c r="AJ36" s="2411"/>
      <c r="AK36" s="2411" t="s">
        <v>306</v>
      </c>
      <c r="AQ36" s="1915">
        <v>14</v>
      </c>
    </row>
    <row customHeight="1" ht="14.699999999999998">
      <c r="Q37" s="575"/>
      <c r="R37" s="660"/>
      <c r="S37" s="2557" t="s">
        <v>89</v>
      </c>
      <c r="T37" s="2493" t="s">
        <v>507</v>
      </c>
      <c r="U37" s="621"/>
      <c r="V37" s="2559"/>
      <c r="W37" s="2559"/>
      <c r="X37" s="2559"/>
      <c r="Y37" s="2559"/>
      <c r="Z37" s="2559"/>
      <c r="AA37" s="2493" t="s">
        <v>432</v>
      </c>
      <c r="AB37" s="2492" t="s">
        <v>508</v>
      </c>
      <c r="AC37" s="2492" t="s">
        <v>482</v>
      </c>
      <c r="AD37" s="2575" t="s">
        <v>431</v>
      </c>
      <c r="AE37" s="2575"/>
      <c r="AF37" s="2559"/>
      <c r="AG37" s="2559"/>
      <c r="AH37" s="2560"/>
      <c r="AI37" s="2561" t="s">
        <v>432</v>
      </c>
      <c r="AJ37" s="2564" t="s">
        <v>434</v>
      </c>
      <c r="AK37" s="2411"/>
      <c r="AQ37" s="1915">
        <v>14</v>
      </c>
    </row>
    <row customHeight="1" ht="35.699999999999996">
      <c r="Q38" s="575"/>
      <c r="R38" s="660"/>
      <c r="S38" s="2557"/>
      <c r="T38" s="2493"/>
      <c r="U38" s="1315"/>
      <c r="V38" s="2387" t="s">
        <v>485</v>
      </c>
      <c r="W38" s="2411"/>
      <c r="X38" s="2578" t="s">
        <v>438</v>
      </c>
      <c r="Y38" s="2597"/>
      <c r="Z38" s="2597"/>
      <c r="AA38" s="2493"/>
      <c r="AB38" s="2492"/>
      <c r="AC38" s="2492"/>
      <c r="AD38" s="2387" t="s">
        <v>485</v>
      </c>
      <c r="AE38" s="2411"/>
      <c r="AF38" s="2597" t="s">
        <v>438</v>
      </c>
      <c r="AG38" s="2597"/>
      <c r="AH38" s="2598"/>
      <c r="AI38" s="2562"/>
      <c r="AJ38" s="2565"/>
      <c r="AK38" s="2411"/>
      <c r="AQ38" s="1915">
        <v>34</v>
      </c>
    </row>
    <row customHeight="1" ht="14.699999999999998">
      <c r="Q39" s="575"/>
      <c r="R39" s="660"/>
      <c r="S39" s="2557"/>
      <c r="T39" s="2493"/>
      <c r="U39" s="1315"/>
      <c r="V39" s="2624" t="str">
        <f>IF($AD$39&lt;&gt;"",$AD$39,"")</f>
        <v/>
      </c>
      <c r="W39" s="2624"/>
      <c r="X39" s="2579"/>
      <c r="Y39" s="2599"/>
      <c r="Z39" s="2599"/>
      <c r="AA39" s="2493"/>
      <c r="AB39" s="2492"/>
      <c r="AC39" s="2492"/>
      <c r="AD39" s="2640"/>
      <c r="AE39" s="2623"/>
      <c r="AF39" s="2599"/>
      <c r="AG39" s="2599"/>
      <c r="AH39" s="2600"/>
      <c r="AI39" s="2562"/>
      <c r="AJ39" s="2565"/>
      <c r="AK39" s="2411"/>
      <c r="AQ39" s="1915">
        <v>14</v>
      </c>
    </row>
    <row customHeight="1" ht="14.699999999999998">
      <c r="A40" s="1550"/>
      <c r="B40" s="1550" t="s">
        <v>136</v>
      </c>
      <c r="C40" s="1550" t="s">
        <v>137</v>
      </c>
      <c r="D40" s="1550" t="s">
        <v>138</v>
      </c>
      <c r="E40" s="1594" t="s">
        <v>439</v>
      </c>
      <c r="F40" s="1594" t="s">
        <v>440</v>
      </c>
      <c r="G40" s="1594" t="s">
        <v>441</v>
      </c>
      <c r="H40" s="1594" t="s">
        <v>442</v>
      </c>
      <c r="I40" s="1594" t="s">
        <v>443</v>
      </c>
      <c r="J40" s="1594" t="s">
        <v>444</v>
      </c>
      <c r="K40" s="1594" t="s">
        <v>445</v>
      </c>
      <c r="L40" s="1594" t="s">
        <v>420</v>
      </c>
      <c r="Q40" s="575"/>
      <c r="R40" s="660"/>
      <c r="S40" s="2557"/>
      <c r="T40" s="2493"/>
      <c r="U40" s="586"/>
      <c r="V40" s="2234" t="s">
        <v>486</v>
      </c>
      <c r="W40" s="2234" t="s">
        <v>487</v>
      </c>
      <c r="X40" s="2222" t="s">
        <v>448</v>
      </c>
      <c r="Y40" s="2554" t="s">
        <v>449</v>
      </c>
      <c r="Z40" s="2604"/>
      <c r="AA40" s="2493"/>
      <c r="AB40" s="2492"/>
      <c r="AC40" s="2492"/>
      <c r="AD40" s="2252" t="s">
        <v>486</v>
      </c>
      <c r="AE40" s="2243" t="s">
        <v>487</v>
      </c>
      <c r="AF40" s="2222" t="s">
        <v>448</v>
      </c>
      <c r="AG40" s="2554" t="s">
        <v>449</v>
      </c>
      <c r="AH40" s="2555"/>
      <c r="AI40" s="2563"/>
      <c r="AJ40" s="2566"/>
      <c r="AK40" s="2411"/>
      <c r="AQ40" s="1915">
        <v>14</v>
      </c>
    </row>
    <row s="14730" customFormat="1" customHeight="1" ht="11.25" hidden="1">
      <c r="A41" s="1550"/>
      <c r="B41" s="1550"/>
      <c r="C41" s="1550"/>
      <c r="D41" s="1550"/>
      <c r="E41" s="1550"/>
      <c r="F41" s="1550"/>
      <c r="G41" s="1550"/>
      <c r="H41" s="1550"/>
      <c r="I41" s="1550"/>
      <c r="J41" s="1550"/>
      <c r="K41" s="1550"/>
      <c r="L41" s="1594"/>
      <c r="M41" s="2249"/>
      <c r="N41" s="2249"/>
      <c r="O41" s="2249"/>
      <c r="P41" s="794"/>
      <c r="Q41" s="1538"/>
      <c r="R41" s="1538">
        <v>1</v>
      </c>
      <c r="S41" s="1561" t="s">
        <v>110</v>
      </c>
      <c r="T41" s="1539" t="s">
        <v>111</v>
      </c>
      <c r="U41" s="1529" t="str">
        <f>OFFSET(U41,0,-1)</f>
        <v>2</v>
      </c>
      <c r="V41" s="2240">
        <f>OFFSET(V41,0,-1)+1</f>
        <v>3</v>
      </c>
      <c r="W41" s="2240">
        <f>OFFSET(W41,0,-1)+1</f>
        <v>4</v>
      </c>
      <c r="X41" s="2240">
        <f>OFFSET(X41,0,-1)+1</f>
        <v>5</v>
      </c>
      <c r="Y41" s="2556">
        <f>OFFSET(Y41,0,-1)+1</f>
        <v>6</v>
      </c>
      <c r="Z41" s="2556"/>
      <c r="AA41" s="1625">
        <f>OFFSET(AA41,0,-2)+1</f>
        <v>7</v>
      </c>
      <c r="AB41" s="1625"/>
      <c r="AC41" s="1625"/>
      <c r="AD41" s="2240">
        <f>OFFSET(AD41,0,-1)+1</f>
        <v>1</v>
      </c>
      <c r="AE41" s="2240">
        <f>OFFSET(AE41,0,-1)+1</f>
        <v>2</v>
      </c>
      <c r="AF41" s="2240">
        <f>OFFSET(AF41,0,-1)+1</f>
        <v>3</v>
      </c>
      <c r="AG41" s="2556">
        <f>OFFSET(AG41,0,-1)+1</f>
        <v>4</v>
      </c>
      <c r="AH41" s="2556"/>
      <c r="AI41" s="2240">
        <f>OFFSET(AI41,0,-2)+1</f>
        <v>5</v>
      </c>
      <c r="AJ41" s="1529">
        <f>OFFSET(AJ41,0,-1)</f>
        <v>5</v>
      </c>
      <c r="AK41" s="2240">
        <f>OFFSET(AK41,0,-1)+1</f>
        <v>6</v>
      </c>
      <c r="AL41" s="1920"/>
      <c r="AM41" s="1920"/>
      <c r="AN41" s="1920"/>
      <c r="AO41" s="1920"/>
      <c r="AP41" s="1920"/>
      <c r="AQ41" s="1925">
        <v>0</v>
      </c>
    </row>
    <row customHeight="1" ht="107.25">
      <c r="A42" s="1551" t="s">
        <v>211</v>
      </c>
      <c r="B42" s="1551"/>
      <c r="C42" s="1551"/>
      <c r="D42" s="1551"/>
      <c r="E42" s="2573">
        <v>1</v>
      </c>
      <c r="F42" s="1551"/>
      <c r="G42" s="1551"/>
      <c r="H42" s="1551"/>
      <c r="I42" s="1551"/>
      <c r="J42" s="1551"/>
      <c r="K42" s="1551"/>
      <c r="L42" s="1594"/>
      <c r="M42" s="1894"/>
      <c r="N42" s="1894"/>
      <c r="O42" s="1894"/>
      <c r="P42" s="1693"/>
      <c r="Q42" s="1157"/>
      <c r="R42" s="639"/>
      <c r="S42" s="2242">
        <f>INDEX(PT_DIFFERENTIATION_NUM_NTAR,MATCH(A42,PT_DIFFERENTIATION_NTAR_ID,0))</f>
        <v>0</v>
      </c>
      <c r="T42" s="1809" t="s">
        <v>124</v>
      </c>
      <c r="U42" s="584"/>
      <c r="V42" s="2527"/>
      <c r="W42" s="2527"/>
      <c r="X42" s="2527"/>
      <c r="Y42" s="2527"/>
      <c r="Z42" s="2527"/>
      <c r="AA42" s="2528"/>
      <c r="AB42" s="2236"/>
      <c r="AC42" s="2527" t="str">
        <f>INDEX(PT_DIFFERENTIATION_NTAR,MATCH(A42,PT_DIFFERENTIATION_NTAR_ID,0))</f>
        <v/>
      </c>
      <c r="AD42" s="2527"/>
      <c r="AE42" s="2527"/>
      <c r="AF42" s="2527"/>
      <c r="AG42" s="2527"/>
      <c r="AH42" s="2527"/>
      <c r="AI42" s="2527"/>
      <c r="AJ42" s="2528"/>
      <c r="AK42" s="1542"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M42" s="1908"/>
      <c r="AN42" s="1908" t="str">
        <f>IF(T42="","",T42)</f>
        <v>Наименование тарифа</v>
      </c>
      <c r="AO42" s="1908"/>
      <c r="AP42" s="1908"/>
      <c r="AQ42" s="1915">
        <v>102</v>
      </c>
    </row>
    <row customHeight="1" ht="22.049999999999997">
      <c r="A43" s="1551" t="s">
        <v>211</v>
      </c>
      <c r="B43" s="1551" t="s">
        <v>212</v>
      </c>
      <c r="C43" s="1551"/>
      <c r="D43" s="1551"/>
      <c r="E43" s="2574"/>
      <c r="F43" s="2573">
        <v>1</v>
      </c>
      <c r="G43" s="1551"/>
      <c r="H43" s="1551"/>
      <c r="I43" s="1551"/>
      <c r="J43" s="1551"/>
      <c r="K43" s="1551"/>
      <c r="L43" s="1594"/>
      <c r="M43" s="1894"/>
      <c r="N43" s="1894"/>
      <c r="O43" s="1894"/>
      <c r="P43" s="2253"/>
      <c r="Q43" s="1695"/>
      <c r="R43" s="637"/>
      <c r="S43" s="2242" t="str">
        <f>INDEX(PT_DIFFERENTIATION_NUM_TER,MATCH(B43,PT_DIFFERENTIATION_TER_ID,0))</f>
        <v>.</v>
      </c>
      <c r="T43" s="1806" t="s">
        <v>402</v>
      </c>
      <c r="U43" s="584"/>
      <c r="V43" s="2527"/>
      <c r="W43" s="2527"/>
      <c r="X43" s="2527"/>
      <c r="Y43" s="2527"/>
      <c r="Z43" s="2527"/>
      <c r="AA43" s="2528"/>
      <c r="AB43" s="2236"/>
      <c r="AC43" s="2527" t="str">
        <f>INDEX(PT_DIFFERENTIATION_TER,MATCH(B43,PT_DIFFERENTIATION_TER_ID,0))</f>
        <v/>
      </c>
      <c r="AD43" s="2527"/>
      <c r="AE43" s="2527"/>
      <c r="AF43" s="2527"/>
      <c r="AG43" s="2527"/>
      <c r="AH43" s="2527"/>
      <c r="AI43" s="2527"/>
      <c r="AJ43" s="2528"/>
      <c r="AK43" s="1542" t="s">
        <v>403</v>
      </c>
      <c r="AM43" s="1908"/>
      <c r="AN43" s="1908" t="str">
        <f>IF(T43="","",T43)</f>
        <v>Территория действия тарифа</v>
      </c>
      <c r="AO43" s="1908"/>
      <c r="AP43" s="1908"/>
      <c r="AQ43" s="1915">
        <v>21</v>
      </c>
    </row>
    <row customHeight="1" ht="24">
      <c r="A44" s="1551" t="s">
        <v>211</v>
      </c>
      <c r="B44" s="1551" t="s">
        <v>212</v>
      </c>
      <c r="C44" s="1551" t="s">
        <v>213</v>
      </c>
      <c r="D44" s="1551"/>
      <c r="E44" s="2574"/>
      <c r="F44" s="2574"/>
      <c r="G44" s="2573">
        <v>1</v>
      </c>
      <c r="H44" s="1551"/>
      <c r="I44" s="1551"/>
      <c r="J44" s="1551"/>
      <c r="K44" s="1551"/>
      <c r="L44" s="1594"/>
      <c r="M44" s="1894"/>
      <c r="N44" s="1894"/>
      <c r="O44" s="1894"/>
      <c r="P44" s="1696"/>
      <c r="Q44" s="1695"/>
      <c r="R44" s="637"/>
      <c r="S44" s="2242" t="str">
        <f>INDEX(PT_DIFFERENTIATION_NUM_CS,MATCH(C44,PT_DIFFERENTIATION_CS_ID,0))</f>
        <v>..</v>
      </c>
      <c r="T44" s="593" t="s">
        <v>404</v>
      </c>
      <c r="U44" s="584"/>
      <c r="V44" s="2527"/>
      <c r="W44" s="2527"/>
      <c r="X44" s="2527"/>
      <c r="Y44" s="2527"/>
      <c r="Z44" s="2527"/>
      <c r="AA44" s="2528"/>
      <c r="AB44" s="2236"/>
      <c r="AC44" s="2527" t="str">
        <f>INDEX(PT_DIFFERENTIATION_CS,MATCH(C44,PT_DIFFERENTIATION_CS_ID,0))</f>
        <v/>
      </c>
      <c r="AD44" s="2527"/>
      <c r="AE44" s="2527"/>
      <c r="AF44" s="2527"/>
      <c r="AG44" s="2527"/>
      <c r="AH44" s="2527"/>
      <c r="AI44" s="2527"/>
      <c r="AJ44" s="2528"/>
      <c r="AK44" s="1542" t="s">
        <v>405</v>
      </c>
      <c r="AM44" s="1908"/>
      <c r="AN44" s="1908" t="str">
        <f>IF(T44="","",T44)</f>
        <v>Наименование системы теплоснабжения </v>
      </c>
      <c r="AO44" s="1908"/>
      <c r="AP44" s="1908"/>
      <c r="AQ44" s="1915">
        <v>23</v>
      </c>
    </row>
    <row customHeight="1" ht="22.049999999999997">
      <c r="A45" s="1551" t="s">
        <v>211</v>
      </c>
      <c r="B45" s="1551" t="s">
        <v>212</v>
      </c>
      <c r="C45" s="1551" t="s">
        <v>213</v>
      </c>
      <c r="D45" s="1551" t="s">
        <v>214</v>
      </c>
      <c r="E45" s="2574"/>
      <c r="F45" s="2574"/>
      <c r="G45" s="2574"/>
      <c r="H45" s="2573">
        <v>1</v>
      </c>
      <c r="I45" s="1551"/>
      <c r="J45" s="1551"/>
      <c r="K45" s="1551"/>
      <c r="L45" s="1594"/>
      <c r="M45" s="1894"/>
      <c r="N45" s="1894"/>
      <c r="O45" s="1894"/>
      <c r="P45" s="1696"/>
      <c r="Q45" s="1695"/>
      <c r="R45" s="637"/>
      <c r="S45" s="2242" t="str">
        <f>INDEX(PT_DIFFERENTIATION_NUM_IST_TE,MATCH(D45,PT_DIFFERENTIATION_IST_TE_ID,0))</f>
        <v>...</v>
      </c>
      <c r="T45" s="594" t="s">
        <v>406</v>
      </c>
      <c r="U45" s="584"/>
      <c r="V45" s="2527"/>
      <c r="W45" s="2527"/>
      <c r="X45" s="2527"/>
      <c r="Y45" s="2527"/>
      <c r="Z45" s="2527"/>
      <c r="AA45" s="2528"/>
      <c r="AB45" s="2236"/>
      <c r="AC45" s="2527" t="str">
        <f>INDEX(PT_DIFFERENTIATION_IST_TE,MATCH(D45,PT_DIFFERENTIATION_IST_TE_ID,0))</f>
        <v/>
      </c>
      <c r="AD45" s="2527"/>
      <c r="AE45" s="2527"/>
      <c r="AF45" s="2527"/>
      <c r="AG45" s="2527"/>
      <c r="AH45" s="2527"/>
      <c r="AI45" s="2527"/>
      <c r="AJ45" s="2528"/>
      <c r="AK45" s="1542" t="s">
        <v>407</v>
      </c>
      <c r="AM45" s="1908"/>
      <c r="AN45" s="1908" t="str">
        <f>IF(T45="","",T45)</f>
        <v>Источник тепловой энергии  </v>
      </c>
      <c r="AO45" s="1908"/>
      <c r="AP45" s="1908"/>
      <c r="AQ45" s="1915">
        <v>21</v>
      </c>
    </row>
    <row s="14158" customFormat="1" customHeight="1" ht="0">
      <c r="A46" s="1659" t="s">
        <v>211</v>
      </c>
      <c r="B46" s="1659" t="s">
        <v>212</v>
      </c>
      <c r="C46" s="1659" t="s">
        <v>213</v>
      </c>
      <c r="D46" s="1659" t="s">
        <v>214</v>
      </c>
      <c r="E46" s="2574"/>
      <c r="F46" s="2574"/>
      <c r="G46" s="2574"/>
      <c r="H46" s="2574"/>
      <c r="I46" s="2411" t="str">
        <f>S45&amp;".1"</f>
        <v>....1</v>
      </c>
      <c r="J46" s="1659"/>
      <c r="K46" s="1659"/>
      <c r="L46" s="1665" t="s">
        <v>408</v>
      </c>
      <c r="M46" s="1530"/>
      <c r="N46" s="1530"/>
      <c r="O46" s="1530"/>
      <c r="P46" s="2541">
        <v>1</v>
      </c>
      <c r="Q46" s="2238"/>
      <c r="R46" s="640"/>
      <c r="S46" s="1326"/>
      <c r="T46" s="1667"/>
      <c r="U46" s="1668"/>
      <c r="V46" s="2581"/>
      <c r="W46" s="2581"/>
      <c r="X46" s="2581"/>
      <c r="Y46" s="2581"/>
      <c r="Z46" s="2581"/>
      <c r="AA46" s="2582"/>
      <c r="AB46" s="2244"/>
      <c r="AC46" s="2581"/>
      <c r="AD46" s="2581"/>
      <c r="AE46" s="2581"/>
      <c r="AF46" s="2581"/>
      <c r="AG46" s="2581"/>
      <c r="AH46" s="2581"/>
      <c r="AI46" s="2581"/>
      <c r="AJ46" s="2582"/>
      <c r="AK46" s="1669"/>
      <c r="AM46" s="1908"/>
      <c r="AN46" s="1908" t="str">
        <f>IF(T46="","",T46)</f>
        <v/>
      </c>
      <c r="AO46" s="1908"/>
      <c r="AP46" s="1908"/>
      <c r="AQ46" s="1920">
        <v>0</v>
      </c>
    </row>
    <row s="14158" customFormat="1" customHeight="1" ht="0">
      <c r="A47" s="1659" t="s">
        <v>211</v>
      </c>
      <c r="B47" s="1659" t="s">
        <v>212</v>
      </c>
      <c r="C47" s="1659" t="s">
        <v>213</v>
      </c>
      <c r="D47" s="1659" t="s">
        <v>214</v>
      </c>
      <c r="E47" s="2574"/>
      <c r="F47" s="2574"/>
      <c r="G47" s="2574"/>
      <c r="H47" s="2574"/>
      <c r="I47" s="2385"/>
      <c r="J47" s="2411" t="str">
        <f>S45&amp;".1"</f>
        <v>....1</v>
      </c>
      <c r="K47" s="1659"/>
      <c r="L47" s="1665"/>
      <c r="M47" s="1530"/>
      <c r="N47" s="1530"/>
      <c r="O47" s="1530"/>
      <c r="P47" s="2541"/>
      <c r="Q47" s="2541">
        <v>1</v>
      </c>
      <c r="R47" s="641"/>
      <c r="S47" s="1326"/>
      <c r="T47" s="1683"/>
      <c r="U47" s="1668"/>
      <c r="V47" s="2581"/>
      <c r="W47" s="2581"/>
      <c r="X47" s="2581"/>
      <c r="Y47" s="2581"/>
      <c r="Z47" s="2581"/>
      <c r="AA47" s="2582"/>
      <c r="AB47" s="2244"/>
      <c r="AC47" s="2581"/>
      <c r="AD47" s="2581"/>
      <c r="AE47" s="2581"/>
      <c r="AF47" s="2581"/>
      <c r="AG47" s="2581"/>
      <c r="AH47" s="2581"/>
      <c r="AI47" s="2581"/>
      <c r="AJ47" s="2582"/>
      <c r="AK47" s="1669"/>
      <c r="AM47" s="1908"/>
      <c r="AN47" s="1908" t="str">
        <f>IF(T47="","",T47)</f>
        <v/>
      </c>
      <c r="AO47" s="1908"/>
      <c r="AP47" s="1908"/>
      <c r="AQ47" s="1920">
        <v>0</v>
      </c>
    </row>
    <row customHeight="1" ht="22.049999999999997">
      <c r="A48" s="1551" t="s">
        <v>211</v>
      </c>
      <c r="B48" s="1551" t="s">
        <v>212</v>
      </c>
      <c r="C48" s="1551" t="s">
        <v>213</v>
      </c>
      <c r="D48" s="1551" t="s">
        <v>214</v>
      </c>
      <c r="E48" s="2574"/>
      <c r="F48" s="2574"/>
      <c r="G48" s="2574"/>
      <c r="H48" s="2574"/>
      <c r="I48" s="2385"/>
      <c r="J48" s="2385"/>
      <c r="K48" s="2225" t="str">
        <f>S45&amp;".1"</f>
        <v>....1</v>
      </c>
      <c r="L48" s="1594"/>
      <c r="P48" s="2541"/>
      <c r="Q48" s="2541"/>
      <c r="R48" s="641">
        <v>1</v>
      </c>
      <c r="S48" s="2246" t="str">
        <f>$K48</f>
        <v>....1</v>
      </c>
      <c r="T48" s="2245"/>
      <c r="U48" s="584"/>
      <c r="V48" s="1035"/>
      <c r="W48" s="1541"/>
      <c r="X48" s="2239"/>
      <c r="Y48" s="2226" t="s">
        <v>67</v>
      </c>
      <c r="Z48" s="2239"/>
      <c r="AA48" s="2226" t="s">
        <v>67</v>
      </c>
      <c r="AB48" s="2248"/>
      <c r="AC48" s="2247" t="s">
        <v>28</v>
      </c>
      <c r="AD48" s="1035"/>
      <c r="AE48" s="1541"/>
      <c r="AF48" s="2239"/>
      <c r="AG48" s="2226" t="s">
        <v>67</v>
      </c>
      <c r="AH48" s="2239"/>
      <c r="AI48" s="2226" t="s">
        <v>67</v>
      </c>
      <c r="AJ48" s="1632"/>
      <c r="AK48" s="2537" t="s">
        <v>488</v>
      </c>
      <c r="AL48" s="1920">
        <f>STRCHECKDATE(#REF!)</f>
      </c>
      <c r="AM48" s="1908"/>
      <c r="AN48" s="1908" t="str">
        <f>IF(T48="","",T48)</f>
        <v/>
      </c>
      <c r="AO48" s="1908"/>
      <c r="AP48" s="1908"/>
      <c r="AQ48" s="1915">
        <v>21</v>
      </c>
    </row>
    <row customHeight="1" ht="11.549999999999999">
      <c r="A49" s="1551" t="s">
        <v>211</v>
      </c>
      <c r="B49" s="1551" t="s">
        <v>212</v>
      </c>
      <c r="C49" s="1551" t="s">
        <v>213</v>
      </c>
      <c r="D49" s="1551" t="s">
        <v>214</v>
      </c>
      <c r="E49" s="2574"/>
      <c r="F49" s="2574"/>
      <c r="G49" s="2574"/>
      <c r="H49" s="2574"/>
      <c r="I49" s="2385"/>
      <c r="J49" s="2411"/>
      <c r="K49" s="1551"/>
      <c r="L49" s="1594"/>
      <c r="P49" s="2541"/>
      <c r="Q49" s="2541"/>
      <c r="R49" s="640"/>
      <c r="S49" s="1562"/>
      <c r="T49" s="571" t="s">
        <v>476</v>
      </c>
      <c r="U49" s="884"/>
      <c r="V49" s="884"/>
      <c r="W49" s="884"/>
      <c r="X49" s="884"/>
      <c r="Y49" s="884"/>
      <c r="Z49" s="884"/>
      <c r="AA49" s="608"/>
      <c r="AB49" s="884"/>
      <c r="AC49" s="884"/>
      <c r="AD49" s="884"/>
      <c r="AE49" s="884"/>
      <c r="AF49" s="884"/>
      <c r="AG49" s="884"/>
      <c r="AH49" s="884"/>
      <c r="AI49" s="884"/>
      <c r="AJ49" s="608"/>
      <c r="AK49" s="2539"/>
      <c r="AM49" s="1908"/>
      <c r="AN49" s="1908" t="str">
        <f>IF(T49="","",T49)</f>
        <v>Добавить строку</v>
      </c>
      <c r="AO49" s="1908"/>
      <c r="AP49" s="1908"/>
      <c r="AQ49" s="1915">
        <v>11</v>
      </c>
    </row>
    <row s="14158" customFormat="1" customHeight="1" ht="1.05">
      <c r="A50" s="1659" t="s">
        <v>211</v>
      </c>
      <c r="B50" s="1659" t="s">
        <v>212</v>
      </c>
      <c r="C50" s="1659" t="s">
        <v>213</v>
      </c>
      <c r="D50" s="1659" t="s">
        <v>214</v>
      </c>
      <c r="E50" s="2574"/>
      <c r="F50" s="2574"/>
      <c r="G50" s="2574"/>
      <c r="H50" s="2574"/>
      <c r="I50" s="2411"/>
      <c r="J50" s="1659"/>
      <c r="K50" s="1659"/>
      <c r="L50" s="1665"/>
      <c r="M50" s="1530"/>
      <c r="N50" s="1530"/>
      <c r="O50" s="1530"/>
      <c r="P50" s="2541"/>
      <c r="Q50" s="2238"/>
      <c r="R50" s="640"/>
      <c r="S50" s="1670"/>
      <c r="T50" s="1671" t="s">
        <v>417</v>
      </c>
      <c r="U50" s="1672"/>
      <c r="V50" s="1672"/>
      <c r="W50" s="1672"/>
      <c r="X50" s="1672"/>
      <c r="Y50" s="1672"/>
      <c r="Z50" s="1672"/>
      <c r="AA50" s="1672"/>
      <c r="AB50" s="1672"/>
      <c r="AC50" s="1672"/>
      <c r="AD50" s="1672"/>
      <c r="AE50" s="1672"/>
      <c r="AF50" s="1672"/>
      <c r="AG50" s="1672"/>
      <c r="AH50" s="1672"/>
      <c r="AI50" s="1672"/>
      <c r="AJ50" s="1672"/>
      <c r="AK50" s="1673"/>
      <c r="AM50" s="1908"/>
      <c r="AN50" s="1908" t="str">
        <f>IF(T50="","",T50)</f>
        <v>Добавить группу потребителей</v>
      </c>
      <c r="AO50" s="1908"/>
      <c r="AP50" s="1908"/>
      <c r="AQ50" s="1920">
        <v>1</v>
      </c>
    </row>
    <row s="14730" customFormat="1" customHeight="1" ht="1.05">
      <c r="A51" s="1659" t="s">
        <v>211</v>
      </c>
      <c r="B51" s="1659" t="s">
        <v>212</v>
      </c>
      <c r="C51" s="1659" t="s">
        <v>213</v>
      </c>
      <c r="D51" s="1659" t="s">
        <v>214</v>
      </c>
      <c r="E51" s="2574"/>
      <c r="F51" s="2574"/>
      <c r="G51" s="2574"/>
      <c r="H51" s="2573"/>
      <c r="I51" s="1659"/>
      <c r="J51" s="1659"/>
      <c r="K51" s="1659"/>
      <c r="L51" s="1665"/>
      <c r="M51" s="1662"/>
      <c r="N51" s="1662"/>
      <c r="O51" s="635"/>
      <c r="P51" s="664"/>
      <c r="Q51" s="1628"/>
      <c r="R51" s="1684"/>
      <c r="S51" s="1670"/>
      <c r="T51" s="1671"/>
      <c r="U51" s="1672"/>
      <c r="V51" s="1672"/>
      <c r="W51" s="1672"/>
      <c r="X51" s="1672"/>
      <c r="Y51" s="1672"/>
      <c r="Z51" s="1672"/>
      <c r="AA51" s="1672"/>
      <c r="AB51" s="1672"/>
      <c r="AC51" s="1672"/>
      <c r="AD51" s="1672"/>
      <c r="AE51" s="1672"/>
      <c r="AF51" s="1672"/>
      <c r="AG51" s="1672"/>
      <c r="AH51" s="1672"/>
      <c r="AI51" s="1672"/>
      <c r="AJ51" s="1672"/>
      <c r="AK51" s="1673"/>
      <c r="AL51" s="1920"/>
      <c r="AM51" s="1908"/>
      <c r="AN51" s="1908" t="str">
        <f>IF(T51="","",T51)</f>
        <v/>
      </c>
      <c r="AO51" s="1908"/>
      <c r="AP51" s="1908"/>
      <c r="AQ51" s="1925">
        <v>1</v>
      </c>
    </row>
    <row s="14158" customFormat="1" customHeight="1" ht="1.05">
      <c r="A52" s="1659" t="s">
        <v>211</v>
      </c>
      <c r="B52" s="1659" t="s">
        <v>212</v>
      </c>
      <c r="C52" s="1659" t="s">
        <v>213</v>
      </c>
      <c r="D52" s="1658"/>
      <c r="E52" s="2574"/>
      <c r="F52" s="2574"/>
      <c r="G52" s="2573"/>
      <c r="H52" s="1658"/>
      <c r="I52" s="1658"/>
      <c r="J52" s="1658"/>
      <c r="K52" s="1658"/>
      <c r="L52" s="1661"/>
      <c r="M52" s="1662"/>
      <c r="N52" s="1662"/>
      <c r="O52" s="635"/>
      <c r="P52" s="1600"/>
      <c r="Q52" s="1601"/>
      <c r="R52" s="1600"/>
      <c r="S52" s="1606"/>
      <c r="T52" s="1609" t="s">
        <v>169</v>
      </c>
      <c r="U52" s="1608"/>
      <c r="V52" s="1608"/>
      <c r="W52" s="1608"/>
      <c r="X52" s="1608"/>
      <c r="Y52" s="1608"/>
      <c r="Z52" s="1608"/>
      <c r="AA52" s="1608"/>
      <c r="AB52" s="1608"/>
      <c r="AC52" s="1608"/>
      <c r="AD52" s="1608"/>
      <c r="AE52" s="1608"/>
      <c r="AF52" s="1608"/>
      <c r="AG52" s="1608"/>
      <c r="AH52" s="1608"/>
      <c r="AI52" s="1608"/>
      <c r="AJ52" s="1608"/>
      <c r="AK52" s="1608"/>
      <c r="AM52" s="1535"/>
      <c r="AN52" s="1535" t="str">
        <f>IF(T52="","",T52)</f>
        <v>Добавить источник для дифференциации</v>
      </c>
      <c r="AO52" s="1535"/>
      <c r="AP52" s="1535"/>
      <c r="AQ52" s="1926">
        <v>1</v>
      </c>
    </row>
    <row s="14158" customFormat="1" customHeight="1" ht="1.05">
      <c r="A53" s="1659" t="s">
        <v>211</v>
      </c>
      <c r="B53" s="1659" t="s">
        <v>212</v>
      </c>
      <c r="C53" s="1658"/>
      <c r="D53" s="1658"/>
      <c r="E53" s="2574"/>
      <c r="F53" s="2573"/>
      <c r="G53" s="1658"/>
      <c r="H53" s="1658"/>
      <c r="I53" s="1658"/>
      <c r="J53" s="1658"/>
      <c r="K53" s="1658"/>
      <c r="L53" s="1661"/>
      <c r="M53" s="1663"/>
      <c r="N53" s="1663"/>
      <c r="O53" s="635"/>
      <c r="P53" s="1600"/>
      <c r="Q53" s="1601"/>
      <c r="R53" s="1600"/>
      <c r="S53" s="1606"/>
      <c r="T53" s="1609" t="s">
        <v>170</v>
      </c>
      <c r="U53" s="1608"/>
      <c r="V53" s="1608"/>
      <c r="W53" s="1608"/>
      <c r="X53" s="1608"/>
      <c r="Y53" s="1608"/>
      <c r="Z53" s="1608"/>
      <c r="AA53" s="1608"/>
      <c r="AB53" s="1608"/>
      <c r="AC53" s="1608"/>
      <c r="AD53" s="1608"/>
      <c r="AE53" s="1608"/>
      <c r="AF53" s="1608"/>
      <c r="AG53" s="1608"/>
      <c r="AH53" s="1608"/>
      <c r="AI53" s="1608"/>
      <c r="AJ53" s="1608"/>
      <c r="AK53" s="1608"/>
      <c r="AM53" s="1535"/>
      <c r="AN53" s="1535" t="str">
        <f>IF(T53="","",T53)</f>
        <v>Добавить централизованную систему для дифференциации</v>
      </c>
      <c r="AO53" s="1535"/>
      <c r="AP53" s="1535"/>
      <c r="AQ53" s="1926">
        <v>1</v>
      </c>
    </row>
    <row s="14158" customFormat="1" customHeight="1" ht="1.05">
      <c r="A54" s="1659" t="s">
        <v>211</v>
      </c>
      <c r="B54" s="1659"/>
      <c r="C54" s="1659"/>
      <c r="D54" s="1659"/>
      <c r="E54" s="2574"/>
      <c r="F54" s="1659"/>
      <c r="G54" s="1659"/>
      <c r="H54" s="1659"/>
      <c r="I54" s="1659"/>
      <c r="J54" s="1659"/>
      <c r="K54" s="1659"/>
      <c r="L54" s="1665"/>
      <c r="M54" s="1663"/>
      <c r="N54" s="1663"/>
      <c r="O54" s="635"/>
      <c r="P54" s="664"/>
      <c r="Q54" s="1628"/>
      <c r="R54" s="664"/>
      <c r="S54" s="1606"/>
      <c r="T54" s="1609" t="s">
        <v>171</v>
      </c>
      <c r="U54" s="1608"/>
      <c r="V54" s="1608"/>
      <c r="W54" s="1608"/>
      <c r="X54" s="1608"/>
      <c r="Y54" s="1608"/>
      <c r="Z54" s="1608"/>
      <c r="AA54" s="1608"/>
      <c r="AB54" s="1608"/>
      <c r="AC54" s="1608"/>
      <c r="AD54" s="1608"/>
      <c r="AE54" s="1608"/>
      <c r="AF54" s="1608"/>
      <c r="AG54" s="1608"/>
      <c r="AH54" s="1608"/>
      <c r="AI54" s="1608"/>
      <c r="AJ54" s="1608"/>
      <c r="AK54" s="1608"/>
      <c r="AM54" s="1908"/>
      <c r="AN54" s="1908" t="str">
        <f>IF(T54="","",T54)</f>
        <v>Добавить территорию для дифференциации</v>
      </c>
      <c r="AO54" s="1908"/>
      <c r="AP54" s="1908"/>
      <c r="AQ54" s="1920">
        <v>1</v>
      </c>
    </row>
    <row s="14158" customFormat="1" customHeight="1" ht="1.05">
      <c r="A55" s="1659" t="s">
        <v>211</v>
      </c>
      <c r="B55" s="1659"/>
      <c r="C55" s="1659"/>
      <c r="D55" s="1659"/>
      <c r="E55" s="2573"/>
      <c r="F55" s="1659"/>
      <c r="G55" s="1659"/>
      <c r="H55" s="1659"/>
      <c r="I55" s="1659"/>
      <c r="J55" s="1659"/>
      <c r="K55" s="1659"/>
      <c r="L55" s="1665"/>
      <c r="M55" s="1663"/>
      <c r="N55" s="1663"/>
      <c r="O55" s="635"/>
      <c r="P55" s="664"/>
      <c r="Q55" s="1628"/>
      <c r="R55" s="664"/>
      <c r="S55" s="1606"/>
      <c r="T55" s="1609" t="s">
        <v>171</v>
      </c>
      <c r="U55" s="1608"/>
      <c r="V55" s="1608"/>
      <c r="W55" s="1608"/>
      <c r="X55" s="1608"/>
      <c r="Y55" s="1608"/>
      <c r="Z55" s="1608"/>
      <c r="AA55" s="1608"/>
      <c r="AB55" s="1608"/>
      <c r="AC55" s="1608"/>
      <c r="AD55" s="1608"/>
      <c r="AE55" s="1608"/>
      <c r="AF55" s="1608"/>
      <c r="AG55" s="1608"/>
      <c r="AH55" s="1608"/>
      <c r="AI55" s="1608"/>
      <c r="AJ55" s="1608"/>
      <c r="AK55" s="1608"/>
      <c r="AM55" s="1908"/>
      <c r="AN55" s="1908" t="str">
        <f>IF(T55="","",T55)</f>
        <v>Добавить территорию для дифференциации</v>
      </c>
      <c r="AO55" s="1908"/>
      <c r="AP55" s="1908"/>
      <c r="AQ55" s="1920">
        <v>1</v>
      </c>
    </row>
    <row s="14158" customFormat="1" customHeight="1" ht="1.05">
      <c r="A56" s="1658"/>
      <c r="B56" s="1658"/>
      <c r="C56" s="1658"/>
      <c r="D56" s="1658"/>
      <c r="E56" s="1659"/>
      <c r="F56" s="1658"/>
      <c r="G56" s="1658"/>
      <c r="H56" s="1658"/>
      <c r="I56" s="1658"/>
      <c r="J56" s="1658"/>
      <c r="K56" s="1658"/>
      <c r="L56" s="1661"/>
      <c r="M56" s="1663"/>
      <c r="N56" s="1663"/>
      <c r="O56" s="635"/>
      <c r="P56" s="1600"/>
      <c r="Q56" s="1601"/>
      <c r="R56" s="1600"/>
      <c r="S56" s="1606"/>
      <c r="T56" s="1609" t="s">
        <v>172</v>
      </c>
      <c r="U56" s="1608"/>
      <c r="V56" s="1608"/>
      <c r="W56" s="1608"/>
      <c r="X56" s="1608"/>
      <c r="Y56" s="1608"/>
      <c r="Z56" s="1608"/>
      <c r="AA56" s="1608"/>
      <c r="AB56" s="1608"/>
      <c r="AC56" s="1608"/>
      <c r="AD56" s="1608"/>
      <c r="AE56" s="1608"/>
      <c r="AF56" s="1608"/>
      <c r="AG56" s="1608"/>
      <c r="AH56" s="1608"/>
      <c r="AI56" s="1608"/>
      <c r="AJ56" s="1608"/>
      <c r="AK56" s="1608"/>
      <c r="AM56" s="1535"/>
      <c r="AN56" s="1535" t="str">
        <f>IF(T56="","",T56)</f>
        <v>Добавить наименование тарифа</v>
      </c>
      <c r="AO56" s="1535"/>
      <c r="AP56" s="1535"/>
      <c r="AQ56" s="1926">
        <v>1</v>
      </c>
    </row>
    <row customHeight="1" ht="11.549999999999999">
      <c r="M57" s="1915"/>
      <c r="N57" s="1915"/>
      <c r="O57" s="1919"/>
      <c r="P57" s="1650"/>
      <c r="Q57" s="1650"/>
      <c r="R57" s="1915"/>
      <c r="S57" s="1915"/>
      <c r="AL57" s="1915"/>
      <c r="AM57" s="1915"/>
      <c r="AN57" s="1915"/>
      <c r="AO57" s="1915"/>
      <c r="AP57" s="1915"/>
      <c r="AQ57" s="1915">
        <v>11</v>
      </c>
    </row>
    <row customHeight="1" ht="19.95">
      <c r="O58" s="1919"/>
      <c r="S58" s="1537"/>
      <c r="T58" s="2569"/>
      <c r="U58" s="2569"/>
      <c r="V58" s="2569"/>
      <c r="W58" s="2569"/>
      <c r="X58" s="2569"/>
      <c r="Y58" s="2569"/>
      <c r="Z58" s="2569"/>
      <c r="AA58" s="2569"/>
      <c r="AB58" s="2569"/>
      <c r="AC58" s="2569"/>
      <c r="AD58" s="2569"/>
      <c r="AE58" s="2569"/>
      <c r="AF58" s="2569"/>
      <c r="AG58" s="2569"/>
      <c r="AH58" s="2569"/>
      <c r="AI58" s="2569"/>
      <c r="AJ58" s="2569"/>
      <c r="AK58" s="2569"/>
      <c r="AQ58" s="1915">
        <v>19</v>
      </c>
    </row>
    <row customHeight="1" ht="21">
      <c r="O59" s="1919"/>
      <c r="T59" s="2569"/>
      <c r="U59" s="2569"/>
      <c r="V59" s="2569"/>
      <c r="W59" s="2569"/>
      <c r="X59" s="2569"/>
      <c r="Y59" s="2569"/>
      <c r="Z59" s="2569"/>
      <c r="AA59" s="2569"/>
      <c r="AB59" s="2569"/>
      <c r="AC59" s="2569"/>
      <c r="AD59" s="2569"/>
      <c r="AE59" s="2569"/>
      <c r="AF59" s="2569"/>
      <c r="AG59" s="2569"/>
      <c r="AH59" s="2569"/>
      <c r="AI59" s="2569"/>
      <c r="AJ59" s="2569"/>
      <c r="AK59" s="2569"/>
      <c r="AQ59" s="1915">
        <v>20</v>
      </c>
    </row>
    <row customHeight="1" ht="14.699999999999998">
      <c r="O60" s="1919"/>
      <c r="T60" s="2237"/>
      <c r="U60" s="2237"/>
      <c r="V60" s="2237"/>
      <c r="W60" s="2237"/>
      <c r="X60" s="2237"/>
      <c r="Y60" s="2237"/>
      <c r="Z60" s="2237"/>
      <c r="AA60" s="2237"/>
      <c r="AB60" s="2237"/>
      <c r="AC60" s="2237"/>
      <c r="AD60" s="2237"/>
      <c r="AE60" s="2237"/>
      <c r="AF60" s="2237"/>
      <c r="AG60" s="2237"/>
      <c r="AH60" s="2237"/>
      <c r="AI60" s="2237"/>
      <c r="AJ60" s="2237"/>
      <c r="AK60" s="2237"/>
      <c r="AQ60" s="1915">
        <v>14</v>
      </c>
    </row>
    <row customHeight="1" ht="19.95">
      <c r="O61" s="1919"/>
      <c r="T61" s="2569"/>
      <c r="U61" s="2569"/>
      <c r="V61" s="2569"/>
      <c r="W61" s="2569"/>
      <c r="X61" s="2569"/>
      <c r="Y61" s="2569"/>
      <c r="Z61" s="2569"/>
      <c r="AA61" s="2569"/>
      <c r="AB61" s="2569"/>
      <c r="AC61" s="2569"/>
      <c r="AD61" s="2569"/>
      <c r="AE61" s="2569"/>
      <c r="AF61" s="2569"/>
      <c r="AG61" s="2569"/>
      <c r="AH61" s="2569"/>
      <c r="AI61" s="2569"/>
      <c r="AJ61" s="2569"/>
      <c r="AK61" s="2569"/>
      <c r="AQ61" s="1915">
        <v>19</v>
      </c>
    </row>
    <row customHeight="1" ht="16.8">
      <c r="O62" s="1919"/>
      <c r="T62" s="2569"/>
      <c r="U62" s="2569"/>
      <c r="V62" s="2569"/>
      <c r="W62" s="2569"/>
      <c r="X62" s="2569"/>
      <c r="Y62" s="2569"/>
      <c r="Z62" s="2569"/>
      <c r="AA62" s="2569"/>
      <c r="AB62" s="2569"/>
      <c r="AC62" s="2569"/>
      <c r="AD62" s="2569"/>
      <c r="AE62" s="2569"/>
      <c r="AF62" s="2569"/>
      <c r="AG62" s="2569"/>
      <c r="AH62" s="2569"/>
      <c r="AI62" s="2569"/>
      <c r="AJ62" s="2569"/>
      <c r="AK62" s="2569"/>
      <c r="AQ62" s="1915">
        <v>16</v>
      </c>
    </row>
    <row customHeight="1" ht="14.699999999999998">
      <c r="O63" s="1919"/>
      <c r="AQ63" s="1915">
        <v>14</v>
      </c>
    </row>
    <row customHeight="1" ht="22.5" hidden="1">
      <c r="A64" s="1915" t="s">
        <v>83</v>
      </c>
      <c r="B64" s="1915">
        <v>0</v>
      </c>
      <c r="C64" s="1915">
        <v>0</v>
      </c>
      <c r="D64" s="1915">
        <v>0</v>
      </c>
      <c r="E64" s="1915">
        <v>0</v>
      </c>
      <c r="F64" s="1915">
        <v>0</v>
      </c>
      <c r="G64" s="1915">
        <v>0</v>
      </c>
      <c r="H64" s="1915">
        <v>0</v>
      </c>
      <c r="I64" s="1915">
        <v>0</v>
      </c>
      <c r="J64" s="1915">
        <v>0</v>
      </c>
      <c r="K64" s="1915">
        <v>0</v>
      </c>
      <c r="L64" s="2223">
        <v>0</v>
      </c>
      <c r="M64" s="2249">
        <v>0</v>
      </c>
      <c r="N64" s="2249">
        <v>0</v>
      </c>
      <c r="O64" s="2249">
        <v>0</v>
      </c>
      <c r="P64" s="1646">
        <v>3</v>
      </c>
      <c r="Q64" s="1655">
        <v>3</v>
      </c>
      <c r="R64" s="628">
        <v>3</v>
      </c>
      <c r="S64" s="865">
        <v>12</v>
      </c>
      <c r="T64" s="1915">
        <v>31</v>
      </c>
      <c r="U64" s="1915">
        <v>0</v>
      </c>
      <c r="V64" s="1915">
        <v>0</v>
      </c>
      <c r="W64" s="1915">
        <v>0</v>
      </c>
      <c r="X64" s="1915">
        <v>0</v>
      </c>
      <c r="Y64" s="1915">
        <v>0</v>
      </c>
      <c r="Z64" s="1915">
        <v>0</v>
      </c>
      <c r="AA64" s="1915">
        <v>0</v>
      </c>
      <c r="AB64" s="1915">
        <v>27</v>
      </c>
      <c r="AC64" s="1915">
        <v>24</v>
      </c>
      <c r="AD64" s="1915">
        <v>21</v>
      </c>
      <c r="AE64" s="1915">
        <v>21</v>
      </c>
      <c r="AF64" s="1915">
        <v>11</v>
      </c>
      <c r="AG64" s="1915">
        <v>3</v>
      </c>
      <c r="AH64" s="1915">
        <v>11</v>
      </c>
      <c r="AI64" s="1915">
        <v>8</v>
      </c>
      <c r="AJ64" s="1915">
        <v>4</v>
      </c>
      <c r="AK64" s="1915">
        <v>115</v>
      </c>
      <c r="AL64" s="1920">
        <v>10</v>
      </c>
      <c r="AM64" s="1920">
        <v>10</v>
      </c>
      <c r="AN64" s="1920">
        <v>10</v>
      </c>
      <c r="AO64" s="1920">
        <v>10</v>
      </c>
      <c r="AP64" s="1920">
        <v>10</v>
      </c>
      <c r="AQ64" s="1915">
        <v>23</v>
      </c>
    </row>
  </sheetData>
  <sheetProtection sort="0" autoFilter="0" insertRows="0" insertColumns="1" deleteRows="0" deleteColumns="0"/>
  <mergeCells count="89">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 ref="V6:AA6"/>
    <mergeCell ref="AC6:AJ6"/>
    <mergeCell ref="J7:J9"/>
    <mergeCell ref="Q7:Q9"/>
    <mergeCell ref="V7:AA7"/>
    <mergeCell ref="AC7:AJ7"/>
    <mergeCell ref="AK8:AK9"/>
    <mergeCell ref="S24:AH24"/>
    <mergeCell ref="S27:T27"/>
    <mergeCell ref="V27:Z27"/>
    <mergeCell ref="AC27:AH27"/>
    <mergeCell ref="S25:AH25"/>
    <mergeCell ref="S28:T28"/>
    <mergeCell ref="V28:Z28"/>
    <mergeCell ref="AC28:AH28"/>
    <mergeCell ref="S29:T29"/>
    <mergeCell ref="V29:Z29"/>
    <mergeCell ref="AC29:AH29"/>
    <mergeCell ref="S30:T30"/>
    <mergeCell ref="V30:Z30"/>
    <mergeCell ref="AC30:AH30"/>
    <mergeCell ref="S32:T32"/>
    <mergeCell ref="V32:Z32"/>
    <mergeCell ref="AC32:AH32"/>
    <mergeCell ref="S33:T33"/>
    <mergeCell ref="V33:Z33"/>
    <mergeCell ref="AC33:AH33"/>
    <mergeCell ref="V35:AA35"/>
    <mergeCell ref="AC35:AI35"/>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P46:P50"/>
    <mergeCell ref="V46:AA46"/>
    <mergeCell ref="AC46:AJ46"/>
    <mergeCell ref="J47:J49"/>
    <mergeCell ref="Q47:Q49"/>
    <mergeCell ref="T62:AK62"/>
    <mergeCell ref="V47:AA47"/>
    <mergeCell ref="AC47:AJ47"/>
    <mergeCell ref="AK48:AK49"/>
    <mergeCell ref="T58:AK58"/>
    <mergeCell ref="T59:AK59"/>
    <mergeCell ref="T61:AK61"/>
  </mergeCells>
  <dataValidations count="11">
    <dataValidation type="decimal" allowBlank="1" showErrorMessage="1" errorTitle="Ошибка" error="Допускается ввод только действительных чисел!" sqref="AC48 AC8">
      <formula1>-9.99999999999999E+23</formula1>
      <formula2>9.99999999999999E+23</formula2>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formula1>kind_of_cons</formula1>
    </dataValidation>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formula1>kind_of_scheme_in</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formula1>900</formula1>
    </dataValidation>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dataValidation type="list" allowBlank="1" showInputMessage="1" showErrorMessage="1" errorTitle="Ошибка" error="Выберите значение из списка" sqref="T65584 T131120 T196656 T262192 T327728 T393264 T458800 T524336 T589872 T655408 T720944 T786480 T852016 T917552 T983088">
      <formula1>kind_of_heat_transfer</formula1>
    </dataValidation>
    <dataValidation type="list" allowBlank="1" showInputMessage="1" showErrorMessage="1" errorTitle="Ошибка" error="Выберите значение из списка" prompt="Выберите значение из списка" sqref="AD39:AE39">
      <formula1>UNIT_CONNECT_LIST</formula1>
    </dataValidation>
    <dataValidation allowBlank="1" errorTitle="Ошибка" error="Выберите значение из списка" sqref="V39:W3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4B666DA-50F8-B909-5F58-2FA9F2536888}"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14157" width="11.57421875" hidden="1" customWidth="1"/>
    <col min="2" max="2" style="14157" width="11.00390625" hidden="1" customWidth="1"/>
    <col min="3" max="3" style="14157" width="10.57421875" hidden="1"/>
    <col min="4" max="4" style="14157" width="12.8515625" hidden="1" customWidth="1"/>
    <col min="5" max="5" style="14157" width="10.00390625" hidden="1" customWidth="1"/>
    <col min="6" max="6" style="14157" width="8.7109375" hidden="1" customWidth="1"/>
    <col min="7" max="7" style="14157" width="7.57421875" hidden="1" customWidth="1"/>
    <col min="8" max="8" style="14157" width="11.421875" hidden="1" customWidth="1"/>
    <col min="9" max="9" style="14157" width="12.00390625" hidden="1" customWidth="1"/>
    <col min="10" max="10" style="14157" width="9.8515625" hidden="1" customWidth="1"/>
    <col min="11" max="11" style="14157" width="11.421875" hidden="1" customWidth="1"/>
    <col min="12" max="12" style="14974" width="19.140625" hidden="1" customWidth="1"/>
    <col min="13" max="14" style="14975" width="12.28125" hidden="1" customWidth="1"/>
    <col min="15" max="15" style="14975" width="23.421875" hidden="1" customWidth="1"/>
    <col min="16" max="16" style="14975" width="3.7109375" hidden="1" customWidth="1"/>
    <col min="17" max="17" style="15266" width="3.7109375" hidden="1" customWidth="1"/>
    <col min="18" max="18" style="14977" width="3.00390625" customWidth="1"/>
    <col min="19" max="19" style="14978" width="12.00390625" customWidth="1"/>
    <col min="20" max="20" style="14077" width="31.00390625" customWidth="1"/>
    <col min="21" max="21" style="14077" width="0.140625" customWidth="1"/>
    <col min="22" max="25" style="14077" width="21.7109375" hidden="1" customWidth="1"/>
    <col min="26" max="26" style="14077" width="11.7109375" hidden="1" customWidth="1"/>
    <col min="27" max="27" style="14077" width="3.7109375" hidden="1" customWidth="1"/>
    <col min="28" max="28" style="14077" width="11.7109375" hidden="1" customWidth="1"/>
    <col min="29" max="29" style="14077" width="8.57421875" hidden="1" customWidth="1"/>
    <col min="30" max="30" style="14077" width="3.7109375" customWidth="1"/>
    <col min="31" max="32" style="14077" width="3.00390625" customWidth="1"/>
    <col min="33" max="33" style="14077" width="24.00390625" customWidth="1"/>
    <col min="34" max="34" style="14077" width="3.7109375" customWidth="1"/>
    <col min="35" max="36" style="14077" width="3.00390625" customWidth="1"/>
    <col min="37" max="37" style="14077" width="24.00390625" customWidth="1"/>
    <col min="38" max="38" style="14077" width="3.7109375" customWidth="1"/>
    <col min="39" max="40" style="14077" width="3.00390625" customWidth="1"/>
    <col min="41" max="41" style="14077" width="18.00390625" customWidth="1"/>
    <col min="42" max="42" style="14077" width="3.7109375" customWidth="1"/>
    <col min="43" max="44" style="14077" width="3.00390625" customWidth="1"/>
    <col min="45" max="45" style="14077" width="18.00390625" customWidth="1"/>
    <col min="46" max="49" style="14077" width="21.00390625" customWidth="1"/>
    <col min="50" max="50" style="14077" width="11.00390625" customWidth="1"/>
    <col min="51" max="51" style="14077" width="3.7109375" customWidth="1"/>
    <col min="52" max="52" style="14077" width="11.00390625" customWidth="1"/>
    <col min="53" max="53" style="14077" width="8.57421875" hidden="1" customWidth="1"/>
    <col min="54" max="54" style="14077" width="4.00390625" customWidth="1"/>
    <col min="55" max="55" style="14077" width="115.00390625" customWidth="1"/>
    <col min="56" max="60" style="14158" width="10.00390625" customWidth="1"/>
    <col min="61" max="61" style="14077" width="10.57421875" hidden="1"/>
  </cols>
  <sheetData>
    <row customHeight="1" ht="22.5" hidden="1">
      <c r="W1" s="611"/>
      <c r="Y1" s="611"/>
      <c r="Z1" s="611"/>
      <c r="AW1" s="611"/>
      <c r="AX1" s="611"/>
      <c r="BI1" s="1439" t="s">
        <v>14</v>
      </c>
    </row>
    <row customHeight="1" ht="21" hidden="1">
      <c r="A2" s="1647"/>
      <c r="B2" s="1647"/>
      <c r="C2" s="1647"/>
      <c r="D2" s="1647"/>
      <c r="E2" s="2542">
        <v>1</v>
      </c>
      <c r="F2" s="1647"/>
      <c r="G2" s="1647"/>
      <c r="H2" s="1647"/>
      <c r="I2" s="1647"/>
      <c r="J2" s="1647"/>
      <c r="K2" s="1647"/>
      <c r="L2" s="1648"/>
      <c r="M2" s="1649"/>
      <c r="N2" s="1649"/>
      <c r="O2" s="1649"/>
      <c r="P2" s="1693"/>
      <c r="Q2" s="1157"/>
      <c r="R2" s="639"/>
      <c r="S2" s="1749">
        <f>INDEX(PT_DIFFERENTIATION_NUM_NTAR,MATCH(A2,PT_DIFFERENTIATION_NTAR_ID,0))</f>
      </c>
      <c r="T2" s="582" t="s">
        <v>124</v>
      </c>
      <c r="U2" s="584"/>
      <c r="V2" s="2527"/>
      <c r="W2" s="2527"/>
      <c r="X2" s="2527"/>
      <c r="Y2" s="2527"/>
      <c r="Z2" s="2527"/>
      <c r="AA2" s="2527"/>
      <c r="AB2" s="2527"/>
      <c r="AC2" s="2528"/>
      <c r="AD2" s="2526">
        <f>INDEX(PT_DIFFERENTIATION_NTAR,MATCH(A2,PT_DIFFERENTIATION_NTAR_ID,0))</f>
      </c>
      <c r="AE2" s="2527"/>
      <c r="AF2" s="2527"/>
      <c r="AG2" s="2527"/>
      <c r="AH2" s="2527"/>
      <c r="AI2" s="2527"/>
      <c r="AJ2" s="2527"/>
      <c r="AK2" s="2527"/>
      <c r="AL2" s="2527"/>
      <c r="AM2" s="2527"/>
      <c r="AN2" s="2527"/>
      <c r="AO2" s="2527"/>
      <c r="AP2" s="2527"/>
      <c r="AQ2" s="2527"/>
      <c r="AR2" s="2527"/>
      <c r="AS2" s="2527"/>
      <c r="AT2" s="2527"/>
      <c r="AU2" s="2527"/>
      <c r="AV2" s="2527"/>
      <c r="AW2" s="2527"/>
      <c r="AX2" s="2527"/>
      <c r="AY2" s="2527"/>
      <c r="AZ2" s="2527"/>
      <c r="BA2" s="2527"/>
      <c r="BB2" s="2528"/>
      <c r="BC2" s="154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784"/>
      <c r="BF2" s="784" t="str">
        <f>IF(T2="","",T2)</f>
        <v>Наименование тарифа</v>
      </c>
      <c r="BG2" s="784"/>
      <c r="BH2" s="784"/>
      <c r="BI2" s="1439">
        <v>0</v>
      </c>
    </row>
    <row customHeight="1" ht="21" hidden="1">
      <c r="A3" s="1647"/>
      <c r="B3" s="1647"/>
      <c r="C3" s="1647"/>
      <c r="D3" s="1647"/>
      <c r="E3" s="2543"/>
      <c r="F3" s="2542">
        <v>1</v>
      </c>
      <c r="G3" s="1647"/>
      <c r="H3" s="1647"/>
      <c r="I3" s="1647"/>
      <c r="J3" s="1647"/>
      <c r="K3" s="1647"/>
      <c r="L3" s="1648"/>
      <c r="M3" s="1649"/>
      <c r="N3" s="1649"/>
      <c r="O3" s="1649"/>
      <c r="P3" s="1694"/>
      <c r="Q3" s="1695"/>
      <c r="R3" s="637"/>
      <c r="S3" s="1749">
        <f>INDEX(PT_DIFFERENTIATION_NUM_TER,MATCH(B3,PT_DIFFERENTIATION_TER_ID,0))</f>
      </c>
      <c r="T3" s="592" t="s">
        <v>402</v>
      </c>
      <c r="U3" s="584"/>
      <c r="V3" s="2527"/>
      <c r="W3" s="2527"/>
      <c r="X3" s="2527"/>
      <c r="Y3" s="2527"/>
      <c r="Z3" s="2527"/>
      <c r="AA3" s="2527"/>
      <c r="AB3" s="2527"/>
      <c r="AC3" s="2528"/>
      <c r="AD3" s="2526">
        <f>INDEX(PT_DIFFERENTIATION_TER,MATCH(B3,PT_DIFFERENTIATION_TER_ID,0))</f>
      </c>
      <c r="AE3" s="2527"/>
      <c r="AF3" s="2527"/>
      <c r="AG3" s="2527"/>
      <c r="AH3" s="2527"/>
      <c r="AI3" s="2527"/>
      <c r="AJ3" s="2527"/>
      <c r="AK3" s="2527"/>
      <c r="AL3" s="2527"/>
      <c r="AM3" s="2527"/>
      <c r="AN3" s="2527"/>
      <c r="AO3" s="2527"/>
      <c r="AP3" s="2527"/>
      <c r="AQ3" s="2527"/>
      <c r="AR3" s="2527"/>
      <c r="AS3" s="2527"/>
      <c r="AT3" s="2527"/>
      <c r="AU3" s="2527"/>
      <c r="AV3" s="2527"/>
      <c r="AW3" s="2527"/>
      <c r="AX3" s="2527"/>
      <c r="AY3" s="2527"/>
      <c r="AZ3" s="2527"/>
      <c r="BA3" s="2527"/>
      <c r="BB3" s="2528"/>
      <c r="BC3" s="1542" t="s">
        <v>403</v>
      </c>
      <c r="BE3" s="784"/>
      <c r="BF3" s="784" t="str">
        <f>IF(T3="","",T3)</f>
        <v>Территория действия тарифа</v>
      </c>
      <c r="BG3" s="784"/>
      <c r="BH3" s="784"/>
      <c r="BI3" s="1439">
        <v>0</v>
      </c>
    </row>
    <row customHeight="1" ht="42" hidden="1">
      <c r="A4" s="1647"/>
      <c r="B4" s="1647"/>
      <c r="C4" s="1647"/>
      <c r="D4" s="1647"/>
      <c r="E4" s="2543"/>
      <c r="F4" s="2543"/>
      <c r="G4" s="2542">
        <v>1</v>
      </c>
      <c r="H4" s="1647"/>
      <c r="I4" s="1647"/>
      <c r="J4" s="1647"/>
      <c r="K4" s="1647"/>
      <c r="L4" s="1648"/>
      <c r="M4" s="1649"/>
      <c r="N4" s="1649"/>
      <c r="O4" s="1649"/>
      <c r="P4" s="1696"/>
      <c r="Q4" s="1695"/>
      <c r="R4" s="637"/>
      <c r="S4" s="1749">
        <f>INDEX(PT_DIFFERENTIATION_NUM_CS,MATCH(C4,PT_DIFFERENTIATION_CS_ID,0))</f>
      </c>
      <c r="T4" s="593" t="s">
        <v>489</v>
      </c>
      <c r="U4" s="584"/>
      <c r="V4" s="2527"/>
      <c r="W4" s="2527"/>
      <c r="X4" s="2527"/>
      <c r="Y4" s="2527"/>
      <c r="Z4" s="2527"/>
      <c r="AA4" s="2527"/>
      <c r="AB4" s="2527"/>
      <c r="AC4" s="2528"/>
      <c r="AD4" s="2526">
        <f>INDEX(PT_DIFFERENTIATION_CS,MATCH(C4,PT_DIFFERENTIATION_CS_ID,0))</f>
      </c>
      <c r="AE4" s="2527"/>
      <c r="AF4" s="2527"/>
      <c r="AG4" s="2527"/>
      <c r="AH4" s="2527"/>
      <c r="AI4" s="2527"/>
      <c r="AJ4" s="2527"/>
      <c r="AK4" s="2527"/>
      <c r="AL4" s="2527"/>
      <c r="AM4" s="2527"/>
      <c r="AN4" s="2527"/>
      <c r="AO4" s="2527"/>
      <c r="AP4" s="2527"/>
      <c r="AQ4" s="2527"/>
      <c r="AR4" s="2527"/>
      <c r="AS4" s="2527"/>
      <c r="AT4" s="2527"/>
      <c r="AU4" s="2527"/>
      <c r="AV4" s="2527"/>
      <c r="AW4" s="2527"/>
      <c r="AX4" s="2527"/>
      <c r="AY4" s="2527"/>
      <c r="AZ4" s="2527"/>
      <c r="BA4" s="2527"/>
      <c r="BB4" s="2528"/>
      <c r="BC4" s="1542" t="s">
        <v>490</v>
      </c>
      <c r="BE4" s="784"/>
      <c r="BF4" s="784" t="str">
        <f>IF(T4="","",T4)</f>
        <v>Наименование централизованной системы холодного водоснабжения</v>
      </c>
      <c r="BG4" s="784"/>
      <c r="BH4" s="784"/>
      <c r="BI4" s="1439">
        <v>0</v>
      </c>
    </row>
    <row s="14158" customFormat="1" customHeight="1" ht="14.25" hidden="1">
      <c r="A5" s="1627"/>
      <c r="B5" s="1627"/>
      <c r="C5" s="1627"/>
      <c r="D5" s="1627"/>
      <c r="E5" s="2543"/>
      <c r="F5" s="2543"/>
      <c r="G5" s="2543"/>
      <c r="H5" s="2542">
        <v>1</v>
      </c>
      <c r="I5" s="1627"/>
      <c r="J5" s="1627"/>
      <c r="K5" s="1627"/>
      <c r="L5" s="1630"/>
      <c r="M5" s="1599"/>
      <c r="N5" s="1599"/>
      <c r="O5" s="1599"/>
      <c r="P5" s="1781"/>
      <c r="Q5" s="1782"/>
      <c r="R5" s="641"/>
      <c r="S5" s="1326"/>
      <c r="T5" s="1783"/>
      <c r="U5" s="1668"/>
      <c r="V5" s="2581"/>
      <c r="W5" s="2581"/>
      <c r="X5" s="2581"/>
      <c r="Y5" s="2581"/>
      <c r="Z5" s="2581"/>
      <c r="AA5" s="2581"/>
      <c r="AB5" s="2581"/>
      <c r="AC5" s="2582"/>
      <c r="AD5" s="2580"/>
      <c r="AE5" s="2581"/>
      <c r="AF5" s="2581"/>
      <c r="AG5" s="2581"/>
      <c r="AH5" s="2581"/>
      <c r="AI5" s="2581"/>
      <c r="AJ5" s="2581"/>
      <c r="AK5" s="2581"/>
      <c r="AL5" s="2581"/>
      <c r="AM5" s="2581"/>
      <c r="AN5" s="2581"/>
      <c r="AO5" s="2581"/>
      <c r="AP5" s="2581"/>
      <c r="AQ5" s="2581"/>
      <c r="AR5" s="2581"/>
      <c r="AS5" s="2581"/>
      <c r="AT5" s="2581"/>
      <c r="AU5" s="2581"/>
      <c r="AV5" s="2581"/>
      <c r="AW5" s="2581"/>
      <c r="AX5" s="2581"/>
      <c r="AY5" s="2581"/>
      <c r="AZ5" s="2581"/>
      <c r="BA5" s="2581"/>
      <c r="BB5" s="2582"/>
      <c r="BC5" s="1669" t="s">
        <v>407</v>
      </c>
      <c r="BE5" s="784"/>
      <c r="BF5" s="784" t="str">
        <f>IF(T5="","",T5)</f>
        <v/>
      </c>
      <c r="BG5" s="784"/>
      <c r="BH5" s="784"/>
      <c r="BI5" s="795">
        <v>0</v>
      </c>
    </row>
    <row s="14158" customFormat="1" customHeight="1" ht="14.25" hidden="1">
      <c r="A6" s="1627"/>
      <c r="B6" s="1627"/>
      <c r="C6" s="1627"/>
      <c r="D6" s="1627"/>
      <c r="E6" s="2543"/>
      <c r="F6" s="2543"/>
      <c r="G6" s="2543"/>
      <c r="H6" s="2543"/>
      <c r="I6" s="2540" t="str">
        <f>S5&amp;".1"</f>
        <v>.1</v>
      </c>
      <c r="J6" s="1627"/>
      <c r="K6" s="1627"/>
      <c r="L6" s="1630" t="s">
        <v>408</v>
      </c>
      <c r="M6" s="794"/>
      <c r="N6" s="794"/>
      <c r="O6" s="794"/>
      <c r="P6" s="2541">
        <v>1</v>
      </c>
      <c r="Q6" s="1746"/>
      <c r="R6" s="640"/>
      <c r="S6" s="1326"/>
      <c r="T6" s="1667"/>
      <c r="U6" s="1668"/>
      <c r="V6" s="2581"/>
      <c r="W6" s="2581"/>
      <c r="X6" s="2581"/>
      <c r="Y6" s="2581"/>
      <c r="Z6" s="2581"/>
      <c r="AA6" s="2581"/>
      <c r="AB6" s="2581"/>
      <c r="AC6" s="2582"/>
      <c r="AD6" s="2580"/>
      <c r="AE6" s="2581"/>
      <c r="AF6" s="2581"/>
      <c r="AG6" s="2581"/>
      <c r="AH6" s="2581"/>
      <c r="AI6" s="2581"/>
      <c r="AJ6" s="2581"/>
      <c r="AK6" s="2581"/>
      <c r="AL6" s="2581"/>
      <c r="AM6" s="2581"/>
      <c r="AN6" s="2581"/>
      <c r="AO6" s="2581"/>
      <c r="AP6" s="2581"/>
      <c r="AQ6" s="2581"/>
      <c r="AR6" s="2581"/>
      <c r="AS6" s="2581"/>
      <c r="AT6" s="2581"/>
      <c r="AU6" s="2581"/>
      <c r="AV6" s="2581"/>
      <c r="AW6" s="2581"/>
      <c r="AX6" s="2581"/>
      <c r="AY6" s="2581"/>
      <c r="AZ6" s="2581"/>
      <c r="BA6" s="2581"/>
      <c r="BB6" s="2582"/>
      <c r="BC6" s="1669"/>
      <c r="BE6" s="784"/>
      <c r="BF6" s="784" t="str">
        <f>IF(T6="","",T6)</f>
        <v/>
      </c>
      <c r="BG6" s="784"/>
      <c r="BH6" s="784"/>
      <c r="BI6" s="795">
        <v>0</v>
      </c>
    </row>
    <row s="14158" customFormat="1" customHeight="1" ht="14.25" hidden="1">
      <c r="A7" s="1627"/>
      <c r="B7" s="1627"/>
      <c r="C7" s="1627"/>
      <c r="D7" s="1627"/>
      <c r="E7" s="2543"/>
      <c r="F7" s="2543"/>
      <c r="G7" s="2543"/>
      <c r="H7" s="2543"/>
      <c r="I7" s="2570"/>
      <c r="J7" s="2540" t="str">
        <f>S5&amp;".1"</f>
        <v>.1</v>
      </c>
      <c r="K7" s="1627"/>
      <c r="L7" s="1630"/>
      <c r="M7" s="794"/>
      <c r="N7" s="794"/>
      <c r="O7" s="794"/>
      <c r="P7" s="2541"/>
      <c r="Q7" s="2541">
        <v>1</v>
      </c>
      <c r="R7" s="641"/>
      <c r="S7" s="1326"/>
      <c r="T7" s="1683"/>
      <c r="U7" s="1668"/>
      <c r="V7" s="2581"/>
      <c r="W7" s="2581"/>
      <c r="X7" s="2581"/>
      <c r="Y7" s="2581"/>
      <c r="Z7" s="2581"/>
      <c r="AA7" s="2581"/>
      <c r="AB7" s="2581"/>
      <c r="AC7" s="2582"/>
      <c r="AD7" s="2580"/>
      <c r="AE7" s="2581"/>
      <c r="AF7" s="2581"/>
      <c r="AG7" s="2581"/>
      <c r="AH7" s="2581"/>
      <c r="AI7" s="2581"/>
      <c r="AJ7" s="2581"/>
      <c r="AK7" s="2581"/>
      <c r="AL7" s="2581"/>
      <c r="AM7" s="2581"/>
      <c r="AN7" s="2581"/>
      <c r="AO7" s="2581"/>
      <c r="AP7" s="2581"/>
      <c r="AQ7" s="2581"/>
      <c r="AR7" s="2581"/>
      <c r="AS7" s="2581"/>
      <c r="AT7" s="2581"/>
      <c r="AU7" s="2581"/>
      <c r="AV7" s="2581"/>
      <c r="AW7" s="2581"/>
      <c r="AX7" s="2581"/>
      <c r="AY7" s="2581"/>
      <c r="AZ7" s="2581"/>
      <c r="BA7" s="2581"/>
      <c r="BB7" s="2582"/>
      <c r="BC7" s="1669"/>
      <c r="BE7" s="784"/>
      <c r="BF7" s="784" t="str">
        <f>IF(T7="","",T7)</f>
        <v/>
      </c>
      <c r="BG7" s="784"/>
      <c r="BH7" s="784"/>
      <c r="BI7" s="795">
        <v>0</v>
      </c>
    </row>
    <row customHeight="1" ht="11.25" hidden="1">
      <c r="A8" s="1647"/>
      <c r="B8" s="1647"/>
      <c r="C8" s="1647"/>
      <c r="D8" s="1647"/>
      <c r="E8" s="2543"/>
      <c r="F8" s="2543"/>
      <c r="G8" s="2543"/>
      <c r="H8" s="2543"/>
      <c r="I8" s="2570"/>
      <c r="J8" s="2570"/>
      <c r="K8" s="2540">
        <f>S4&amp;".1"</f>
      </c>
      <c r="L8" s="1648"/>
      <c r="P8" s="2541"/>
      <c r="Q8" s="2541"/>
      <c r="R8" s="2631">
        <v>1</v>
      </c>
      <c r="S8" s="2625">
        <f>$K8</f>
      </c>
      <c r="T8" s="2644"/>
      <c r="U8" s="584"/>
      <c r="V8" s="1035"/>
      <c r="W8" s="1541"/>
      <c r="X8" s="1035"/>
      <c r="Y8" s="1541"/>
      <c r="Z8" s="2018"/>
      <c r="AA8" s="1743" t="s">
        <v>67</v>
      </c>
      <c r="AB8" s="2018"/>
      <c r="AC8" s="1743" t="s">
        <v>67</v>
      </c>
      <c r="AD8" s="2469" t="s">
        <v>67</v>
      </c>
      <c r="AE8" s="2610"/>
      <c r="AF8" s="2489">
        <v>1</v>
      </c>
      <c r="AG8" s="2647"/>
      <c r="AH8" s="2391" t="s">
        <v>67</v>
      </c>
      <c r="AI8" s="2610"/>
      <c r="AJ8" s="2489">
        <v>1</v>
      </c>
      <c r="AK8" s="2611" t="s">
        <v>28</v>
      </c>
      <c r="AL8" s="2391" t="s">
        <v>67</v>
      </c>
      <c r="AM8" s="2476"/>
      <c r="AN8" s="2489">
        <v>1</v>
      </c>
      <c r="AO8" s="2641"/>
      <c r="AP8" s="2642" t="s">
        <v>67</v>
      </c>
      <c r="AQ8" s="595"/>
      <c r="AR8" s="1747">
        <v>1</v>
      </c>
      <c r="AS8" s="1750" t="s">
        <v>28</v>
      </c>
      <c r="AT8" s="1035"/>
      <c r="AU8" s="1541"/>
      <c r="AV8" s="1035"/>
      <c r="AW8" s="1541"/>
      <c r="AX8" s="2018"/>
      <c r="AY8" s="1743" t="s">
        <v>67</v>
      </c>
      <c r="AZ8" s="2018"/>
      <c r="BA8" s="1743" t="s">
        <v>67</v>
      </c>
      <c r="BB8" s="1632"/>
      <c r="BC8" s="2537" t="s">
        <v>509</v>
      </c>
      <c r="BE8" s="784"/>
      <c r="BF8" s="784" t="str">
        <f>IF(T8="","",T8)</f>
        <v/>
      </c>
      <c r="BG8" s="784"/>
      <c r="BH8" s="784"/>
      <c r="BI8" s="1439">
        <v>0</v>
      </c>
    </row>
    <row customHeight="1" ht="11.25" hidden="1">
      <c r="A9" s="1647"/>
      <c r="B9" s="1647"/>
      <c r="C9" s="1647"/>
      <c r="D9" s="1647"/>
      <c r="E9" s="2543"/>
      <c r="F9" s="2543"/>
      <c r="G9" s="2543"/>
      <c r="H9" s="2543"/>
      <c r="I9" s="2570"/>
      <c r="J9" s="2570"/>
      <c r="K9" s="2540"/>
      <c r="L9" s="1648"/>
      <c r="P9" s="2541"/>
      <c r="Q9" s="2541"/>
      <c r="R9" s="2631"/>
      <c r="S9" s="2626"/>
      <c r="T9" s="2645"/>
      <c r="U9" s="584"/>
      <c r="V9" s="1677"/>
      <c r="W9" s="1780"/>
      <c r="X9" s="1677"/>
      <c r="Y9" s="1780"/>
      <c r="Z9" s="1677"/>
      <c r="AA9" s="1677"/>
      <c r="AB9" s="1677"/>
      <c r="AC9" s="1677"/>
      <c r="AD9" s="2470"/>
      <c r="AE9" s="2610"/>
      <c r="AF9" s="2489"/>
      <c r="AG9" s="2647"/>
      <c r="AH9" s="2391"/>
      <c r="AI9" s="2610"/>
      <c r="AJ9" s="2489"/>
      <c r="AK9" s="2611"/>
      <c r="AL9" s="2391"/>
      <c r="AM9" s="2484"/>
      <c r="AN9" s="2489"/>
      <c r="AO9" s="2641"/>
      <c r="AP9" s="2643"/>
      <c r="AQ9" s="600"/>
      <c r="AR9" s="700"/>
      <c r="AS9" s="700" t="s">
        <v>510</v>
      </c>
      <c r="AT9" s="1677"/>
      <c r="AU9" s="1780"/>
      <c r="AV9" s="1677"/>
      <c r="AW9" s="1780"/>
      <c r="AX9" s="1677"/>
      <c r="AY9" s="1677"/>
      <c r="AZ9" s="1677"/>
      <c r="BA9" s="1677"/>
      <c r="BB9" s="1681"/>
      <c r="BC9" s="2538"/>
      <c r="BE9" s="784"/>
      <c r="BF9" s="784"/>
      <c r="BG9" s="784"/>
      <c r="BH9" s="784"/>
      <c r="BI9" s="1439">
        <v>0</v>
      </c>
    </row>
    <row customHeight="1" ht="11.25" hidden="1">
      <c r="A10" s="1647"/>
      <c r="B10" s="1647"/>
      <c r="C10" s="1647"/>
      <c r="D10" s="1647"/>
      <c r="E10" s="2543"/>
      <c r="F10" s="2543"/>
      <c r="G10" s="2543"/>
      <c r="H10" s="2543"/>
      <c r="I10" s="2570"/>
      <c r="J10" s="2570"/>
      <c r="K10" s="2540"/>
      <c r="L10" s="1648"/>
      <c r="P10" s="2541"/>
      <c r="Q10" s="2541"/>
      <c r="R10" s="2631"/>
      <c r="S10" s="2626"/>
      <c r="T10" s="2645"/>
      <c r="U10" s="584"/>
      <c r="V10" s="1677"/>
      <c r="W10" s="1780"/>
      <c r="X10" s="1677"/>
      <c r="Y10" s="1780"/>
      <c r="Z10" s="1677"/>
      <c r="AA10" s="1677"/>
      <c r="AB10" s="1677"/>
      <c r="AC10" s="1677"/>
      <c r="AD10" s="2470"/>
      <c r="AE10" s="2610"/>
      <c r="AF10" s="2489"/>
      <c r="AG10" s="2647"/>
      <c r="AH10" s="2391"/>
      <c r="AI10" s="2610"/>
      <c r="AJ10" s="2489"/>
      <c r="AK10" s="2611"/>
      <c r="AL10" s="2391"/>
      <c r="AM10" s="600"/>
      <c r="AN10" s="1784"/>
      <c r="AO10" s="1784" t="s">
        <v>511</v>
      </c>
      <c r="AP10" s="700"/>
      <c r="AQ10" s="700"/>
      <c r="AR10" s="700"/>
      <c r="AS10" s="1677"/>
      <c r="AT10" s="1677"/>
      <c r="AU10" s="1780"/>
      <c r="AV10" s="1677"/>
      <c r="AW10" s="1780"/>
      <c r="AX10" s="1677"/>
      <c r="AY10" s="1677"/>
      <c r="AZ10" s="1677"/>
      <c r="BA10" s="1677"/>
      <c r="BB10" s="1681"/>
      <c r="BC10" s="2538"/>
      <c r="BE10" s="784"/>
      <c r="BF10" s="784"/>
      <c r="BG10" s="784"/>
      <c r="BH10" s="784"/>
      <c r="BI10" s="1439">
        <v>0</v>
      </c>
    </row>
    <row customHeight="1" ht="11.25" hidden="1">
      <c r="A11" s="1647"/>
      <c r="B11" s="1647"/>
      <c r="C11" s="1647"/>
      <c r="D11" s="1647"/>
      <c r="E11" s="2543"/>
      <c r="F11" s="2543"/>
      <c r="G11" s="2543"/>
      <c r="H11" s="2543"/>
      <c r="I11" s="2570"/>
      <c r="J11" s="2570"/>
      <c r="K11" s="2540"/>
      <c r="L11" s="1648"/>
      <c r="P11" s="2541"/>
      <c r="Q11" s="2541"/>
      <c r="R11" s="2631"/>
      <c r="S11" s="2626"/>
      <c r="T11" s="2645"/>
      <c r="U11" s="584"/>
      <c r="V11" s="1677"/>
      <c r="W11" s="1780"/>
      <c r="X11" s="1677"/>
      <c r="Y11" s="1780"/>
      <c r="Z11" s="1677"/>
      <c r="AA11" s="1677"/>
      <c r="AB11" s="1677"/>
      <c r="AC11" s="1677"/>
      <c r="AD11" s="2470"/>
      <c r="AE11" s="2610"/>
      <c r="AF11" s="2489"/>
      <c r="AG11" s="2647"/>
      <c r="AH11" s="2391"/>
      <c r="AI11" s="578"/>
      <c r="AJ11" s="699"/>
      <c r="AK11" s="597" t="s">
        <v>512</v>
      </c>
      <c r="AL11" s="1677"/>
      <c r="AM11" s="1677"/>
      <c r="AN11" s="1677"/>
      <c r="AO11" s="1677"/>
      <c r="AP11" s="1677"/>
      <c r="AQ11" s="1677"/>
      <c r="AR11" s="1677"/>
      <c r="AS11" s="1677"/>
      <c r="AT11" s="1677"/>
      <c r="AU11" s="1780"/>
      <c r="AV11" s="1677"/>
      <c r="AW11" s="1780"/>
      <c r="AX11" s="1677"/>
      <c r="AY11" s="1677"/>
      <c r="AZ11" s="1677"/>
      <c r="BA11" s="1677"/>
      <c r="BB11" s="1681"/>
      <c r="BC11" s="2538"/>
      <c r="BE11" s="784"/>
      <c r="BF11" s="784"/>
      <c r="BG11" s="784"/>
      <c r="BH11" s="784"/>
      <c r="BI11" s="1439">
        <v>0</v>
      </c>
    </row>
    <row customHeight="1" ht="11.25" hidden="1">
      <c r="A12" s="1647"/>
      <c r="B12" s="1647"/>
      <c r="C12" s="1647"/>
      <c r="D12" s="1647"/>
      <c r="E12" s="2543"/>
      <c r="F12" s="2543"/>
      <c r="G12" s="2543"/>
      <c r="H12" s="2543"/>
      <c r="I12" s="2570"/>
      <c r="J12" s="2570"/>
      <c r="K12" s="2540"/>
      <c r="L12" s="1648"/>
      <c r="P12" s="2541"/>
      <c r="Q12" s="2541"/>
      <c r="R12" s="2631"/>
      <c r="S12" s="2627"/>
      <c r="T12" s="2646"/>
      <c r="U12" s="584"/>
      <c r="V12" s="1677"/>
      <c r="W12" s="1678" t="str">
        <f>Z8&amp;"-"&amp;AB8</f>
        <v>-</v>
      </c>
      <c r="X12" s="1677"/>
      <c r="Y12" s="1678" t="str">
        <f>AB8&amp;"-"&amp;AD8</f>
        <v>-да</v>
      </c>
      <c r="Z12" s="1677"/>
      <c r="AA12" s="1677"/>
      <c r="AB12" s="1677"/>
      <c r="AC12" s="1677"/>
      <c r="AD12" s="2396"/>
      <c r="AE12" s="596"/>
      <c r="AF12" s="598"/>
      <c r="AG12" s="700" t="s">
        <v>513</v>
      </c>
      <c r="AH12" s="1677"/>
      <c r="AI12" s="1677"/>
      <c r="AJ12" s="1677"/>
      <c r="AK12" s="1677"/>
      <c r="AL12" s="1677"/>
      <c r="AM12" s="1677"/>
      <c r="AN12" s="1677"/>
      <c r="AO12" s="1677"/>
      <c r="AP12" s="1677"/>
      <c r="AQ12" s="1677"/>
      <c r="AR12" s="1677"/>
      <c r="AS12" s="1677"/>
      <c r="AT12" s="1677"/>
      <c r="AU12" s="1678" t="str">
        <f>AX8&amp;"-"&amp;AZ8</f>
        <v>-</v>
      </c>
      <c r="AV12" s="1677"/>
      <c r="AW12" s="1678" t="str">
        <f>AZ8&amp;"-"&amp;BB8</f>
        <v>-</v>
      </c>
      <c r="AX12" s="1677"/>
      <c r="AY12" s="1677"/>
      <c r="AZ12" s="1677"/>
      <c r="BA12" s="1677"/>
      <c r="BB12" s="1680" t="str">
        <f>BE8&amp;"-"&amp;BG8</f>
        <v>-</v>
      </c>
      <c r="BC12" s="2538"/>
      <c r="BE12" s="784"/>
      <c r="BF12" s="784" t="str">
        <f>IF(T12="","",T12)</f>
        <v/>
      </c>
      <c r="BG12" s="784"/>
      <c r="BH12" s="784"/>
      <c r="BI12" s="1439">
        <v>0</v>
      </c>
    </row>
    <row customHeight="1" ht="11.25" hidden="1">
      <c r="A13" s="1647"/>
      <c r="B13" s="1647"/>
      <c r="C13" s="1647"/>
      <c r="D13" s="1647"/>
      <c r="E13" s="2543"/>
      <c r="F13" s="2543"/>
      <c r="G13" s="2543"/>
      <c r="H13" s="2543"/>
      <c r="I13" s="2570"/>
      <c r="J13" s="2540"/>
      <c r="K13" s="1647"/>
      <c r="L13" s="1648"/>
      <c r="P13" s="2541"/>
      <c r="Q13" s="2541"/>
      <c r="R13" s="640"/>
      <c r="S13" s="1562"/>
      <c r="T13" s="571" t="s">
        <v>476</v>
      </c>
      <c r="U13" s="651"/>
      <c r="V13" s="651"/>
      <c r="W13" s="651"/>
      <c r="X13" s="651"/>
      <c r="Y13" s="651"/>
      <c r="Z13" s="651"/>
      <c r="AA13" s="651"/>
      <c r="AB13" s="651"/>
      <c r="AC13" s="651"/>
      <c r="AD13" s="1789"/>
      <c r="AE13" s="651"/>
      <c r="AF13" s="651"/>
      <c r="AG13" s="651"/>
      <c r="AH13" s="651"/>
      <c r="AI13" s="651"/>
      <c r="AJ13" s="651"/>
      <c r="AK13" s="651"/>
      <c r="AL13" s="651"/>
      <c r="AM13" s="651"/>
      <c r="AN13" s="651"/>
      <c r="AO13" s="651"/>
      <c r="AP13" s="651"/>
      <c r="AQ13" s="651"/>
      <c r="AR13" s="651"/>
      <c r="AS13" s="651"/>
      <c r="AT13" s="651"/>
      <c r="AU13" s="651"/>
      <c r="AV13" s="651"/>
      <c r="AW13" s="651"/>
      <c r="AX13" s="651"/>
      <c r="AY13" s="651"/>
      <c r="AZ13" s="651"/>
      <c r="BA13" s="651"/>
      <c r="BB13" s="608"/>
      <c r="BC13" s="2539"/>
      <c r="BE13" s="784"/>
      <c r="BF13" s="784" t="str">
        <f>IF(T13="","",T13)</f>
        <v>Добавить строку</v>
      </c>
      <c r="BG13" s="784"/>
      <c r="BH13" s="784"/>
      <c r="BI13" s="1439">
        <v>0</v>
      </c>
    </row>
    <row s="14158" customFormat="1" customHeight="1" ht="14.25" hidden="1">
      <c r="A14" s="1627"/>
      <c r="B14" s="1627"/>
      <c r="C14" s="1627"/>
      <c r="D14" s="1627"/>
      <c r="E14" s="2543"/>
      <c r="F14" s="2543"/>
      <c r="G14" s="2543"/>
      <c r="H14" s="2543"/>
      <c r="I14" s="2540"/>
      <c r="J14" s="1627"/>
      <c r="K14" s="1627"/>
      <c r="L14" s="1630"/>
      <c r="M14" s="794"/>
      <c r="N14" s="794"/>
      <c r="O14" s="794"/>
      <c r="P14" s="2541"/>
      <c r="Q14" s="1746"/>
      <c r="R14" s="640"/>
      <c r="S14" s="1670"/>
      <c r="T14" s="1671"/>
      <c r="U14" s="1672"/>
      <c r="V14" s="1672"/>
      <c r="W14" s="1672"/>
      <c r="X14" s="1672"/>
      <c r="Y14" s="1672"/>
      <c r="Z14" s="1672"/>
      <c r="AA14" s="1672"/>
      <c r="AB14" s="1672"/>
      <c r="AC14" s="1672"/>
      <c r="AD14" s="1672"/>
      <c r="AE14" s="1672"/>
      <c r="AF14" s="1672"/>
      <c r="AG14" s="1672"/>
      <c r="AH14" s="1672"/>
      <c r="AI14" s="1672"/>
      <c r="AJ14" s="1672"/>
      <c r="AK14" s="1672"/>
      <c r="AL14" s="1672"/>
      <c r="AM14" s="1672"/>
      <c r="AN14" s="1672"/>
      <c r="AO14" s="1672"/>
      <c r="AP14" s="1672"/>
      <c r="AQ14" s="1672"/>
      <c r="AR14" s="1672"/>
      <c r="AS14" s="1672"/>
      <c r="AT14" s="1672"/>
      <c r="AU14" s="1672"/>
      <c r="AV14" s="1672"/>
      <c r="AW14" s="1672"/>
      <c r="AX14" s="1672"/>
      <c r="AY14" s="1672"/>
      <c r="AZ14" s="1672"/>
      <c r="BA14" s="1672"/>
      <c r="BB14" s="1672"/>
      <c r="BC14" s="1673"/>
      <c r="BE14" s="784"/>
      <c r="BF14" s="784" t="str">
        <f>IF(T14="","",T14)</f>
        <v/>
      </c>
      <c r="BG14" s="784"/>
      <c r="BH14" s="784"/>
      <c r="BI14" s="795">
        <v>0</v>
      </c>
    </row>
    <row s="14158" customFormat="1" customHeight="1" ht="14.25" hidden="1">
      <c r="A15" s="1627"/>
      <c r="B15" s="1627"/>
      <c r="C15" s="1627"/>
      <c r="D15" s="1627"/>
      <c r="E15" s="2543"/>
      <c r="F15" s="2543"/>
      <c r="G15" s="2543"/>
      <c r="H15" s="2542"/>
      <c r="I15" s="1627"/>
      <c r="J15" s="1627"/>
      <c r="K15" s="1627"/>
      <c r="L15" s="1630"/>
      <c r="M15" s="1599"/>
      <c r="N15" s="1599"/>
      <c r="O15" s="802"/>
      <c r="P15" s="664"/>
      <c r="Q15" s="1628"/>
      <c r="R15" s="1685"/>
      <c r="S15" s="1670"/>
      <c r="T15" s="1671"/>
      <c r="U15" s="1672"/>
      <c r="V15" s="1672"/>
      <c r="W15" s="1672"/>
      <c r="X15" s="1672"/>
      <c r="Y15" s="1672"/>
      <c r="Z15" s="1672"/>
      <c r="AA15" s="1672"/>
      <c r="AB15" s="1672"/>
      <c r="AC15" s="1672"/>
      <c r="AD15" s="1672"/>
      <c r="AE15" s="1672"/>
      <c r="AF15" s="1672"/>
      <c r="AG15" s="1672"/>
      <c r="AH15" s="1672"/>
      <c r="AI15" s="1672"/>
      <c r="AJ15" s="1672"/>
      <c r="AK15" s="1672"/>
      <c r="AL15" s="1672"/>
      <c r="AM15" s="1672"/>
      <c r="AN15" s="1672"/>
      <c r="AO15" s="1672"/>
      <c r="AP15" s="1672"/>
      <c r="AQ15" s="1672"/>
      <c r="AR15" s="1672"/>
      <c r="AS15" s="1672"/>
      <c r="AT15" s="1672"/>
      <c r="AU15" s="1672"/>
      <c r="AV15" s="1672"/>
      <c r="AW15" s="1672"/>
      <c r="AX15" s="1672"/>
      <c r="AY15" s="1672"/>
      <c r="AZ15" s="1672"/>
      <c r="BA15" s="1672"/>
      <c r="BB15" s="1672"/>
      <c r="BC15" s="1673"/>
      <c r="BE15" s="784"/>
      <c r="BF15" s="784" t="str">
        <f>IF(T15="","",T15)</f>
        <v/>
      </c>
      <c r="BG15" s="784"/>
      <c r="BH15" s="784"/>
      <c r="BI15" s="795">
        <v>0</v>
      </c>
    </row>
    <row s="14158" customFormat="1" customHeight="1" ht="14.25" hidden="1">
      <c r="A16" s="1627"/>
      <c r="B16" s="1627"/>
      <c r="C16" s="1627"/>
      <c r="D16" s="1598"/>
      <c r="E16" s="2543"/>
      <c r="F16" s="2543"/>
      <c r="G16" s="2542"/>
      <c r="H16" s="1598"/>
      <c r="I16" s="1598"/>
      <c r="J16" s="1598"/>
      <c r="K16" s="1598"/>
      <c r="L16" s="1748"/>
      <c r="M16" s="1599"/>
      <c r="N16" s="1599"/>
      <c r="P16" s="1600"/>
      <c r="Q16" s="1601"/>
      <c r="R16" s="1600"/>
      <c r="S16" s="1606"/>
      <c r="T16" s="1609"/>
      <c r="U16" s="1608"/>
      <c r="V16" s="1608"/>
      <c r="W16" s="1608"/>
      <c r="X16" s="1608"/>
      <c r="Y16" s="1608"/>
      <c r="Z16" s="1608"/>
      <c r="AA16" s="1608"/>
      <c r="AB16" s="1608"/>
      <c r="AC16" s="1608"/>
      <c r="AD16" s="1608"/>
      <c r="AE16" s="1608"/>
      <c r="AF16" s="1608"/>
      <c r="AG16" s="1608"/>
      <c r="AH16" s="1608"/>
      <c r="AI16" s="1608"/>
      <c r="AJ16" s="1608"/>
      <c r="AK16" s="1608"/>
      <c r="AL16" s="1608"/>
      <c r="AM16" s="1608"/>
      <c r="AN16" s="1608"/>
      <c r="AO16" s="1608"/>
      <c r="AP16" s="1608"/>
      <c r="AQ16" s="1608"/>
      <c r="AR16" s="1608"/>
      <c r="AS16" s="1608"/>
      <c r="AT16" s="1608"/>
      <c r="AU16" s="1608"/>
      <c r="AV16" s="1608"/>
      <c r="AW16" s="1608"/>
      <c r="AX16" s="1608"/>
      <c r="AY16" s="1608"/>
      <c r="AZ16" s="1608"/>
      <c r="BA16" s="1608"/>
      <c r="BB16" s="1608"/>
      <c r="BC16" s="1608"/>
      <c r="BE16" s="1073"/>
      <c r="BF16" s="1073" t="str">
        <f>IF(T16="","",T16)</f>
        <v/>
      </c>
      <c r="BG16" s="1073"/>
      <c r="BH16" s="1073"/>
      <c r="BI16" s="802">
        <v>0</v>
      </c>
    </row>
    <row s="14158" customFormat="1" customHeight="1" ht="14.25" hidden="1">
      <c r="A17" s="1627"/>
      <c r="B17" s="1627"/>
      <c r="C17" s="1598"/>
      <c r="D17" s="1598"/>
      <c r="E17" s="2543"/>
      <c r="F17" s="2542"/>
      <c r="G17" s="1598"/>
      <c r="H17" s="1598"/>
      <c r="I17" s="1598"/>
      <c r="J17" s="1598"/>
      <c r="K17" s="1598"/>
      <c r="L17" s="1748"/>
      <c r="M17" s="1605"/>
      <c r="N17" s="1605"/>
      <c r="P17" s="1600"/>
      <c r="Q17" s="1601"/>
      <c r="R17" s="1600"/>
      <c r="S17" s="1606"/>
      <c r="T17" s="1609" t="s">
        <v>170</v>
      </c>
      <c r="U17" s="1608"/>
      <c r="V17" s="1608"/>
      <c r="W17" s="1608"/>
      <c r="X17" s="1608"/>
      <c r="Y17" s="1608"/>
      <c r="Z17" s="1608"/>
      <c r="AA17" s="1608"/>
      <c r="AB17" s="1608"/>
      <c r="AC17" s="1608"/>
      <c r="AD17" s="1608"/>
      <c r="AE17" s="1608"/>
      <c r="AF17" s="1608"/>
      <c r="AG17" s="1608"/>
      <c r="AH17" s="1608"/>
      <c r="AI17" s="1608"/>
      <c r="AJ17" s="1608"/>
      <c r="AK17" s="1608"/>
      <c r="AL17" s="1608"/>
      <c r="AM17" s="1608"/>
      <c r="AN17" s="1608"/>
      <c r="AO17" s="1608"/>
      <c r="AP17" s="1608"/>
      <c r="AQ17" s="1608"/>
      <c r="AR17" s="1608"/>
      <c r="AS17" s="1608"/>
      <c r="AT17" s="1608"/>
      <c r="AU17" s="1608"/>
      <c r="AV17" s="1608"/>
      <c r="AW17" s="1608"/>
      <c r="AX17" s="1608"/>
      <c r="AY17" s="1608"/>
      <c r="AZ17" s="1608"/>
      <c r="BA17" s="1608"/>
      <c r="BB17" s="1608"/>
      <c r="BC17" s="1608"/>
      <c r="BE17" s="1073"/>
      <c r="BF17" s="1073" t="str">
        <f>IF(T17="","",T17)</f>
        <v>Добавить централизованную систему для дифференциации</v>
      </c>
      <c r="BG17" s="1073"/>
      <c r="BH17" s="1073"/>
      <c r="BI17" s="802">
        <v>0</v>
      </c>
    </row>
    <row s="14158" customFormat="1" customHeight="1" ht="14.25" hidden="1">
      <c r="A18" s="1627"/>
      <c r="B18" s="1627"/>
      <c r="C18" s="1627"/>
      <c r="D18" s="1627"/>
      <c r="E18" s="2542"/>
      <c r="F18" s="1627"/>
      <c r="G18" s="1627"/>
      <c r="H18" s="1627"/>
      <c r="I18" s="1627"/>
      <c r="J18" s="1627"/>
      <c r="K18" s="1627"/>
      <c r="L18" s="1630"/>
      <c r="M18" s="1605"/>
      <c r="N18" s="1605"/>
      <c r="O18" s="802"/>
      <c r="P18" s="664"/>
      <c r="Q18" s="1628"/>
      <c r="R18" s="664"/>
      <c r="S18" s="1606"/>
      <c r="T18" s="1609" t="s">
        <v>171</v>
      </c>
      <c r="U18" s="1608"/>
      <c r="V18" s="1608"/>
      <c r="W18" s="1608"/>
      <c r="X18" s="1608"/>
      <c r="Y18" s="1608"/>
      <c r="Z18" s="1608"/>
      <c r="AA18" s="1608"/>
      <c r="AB18" s="1608"/>
      <c r="AC18" s="1608"/>
      <c r="AD18" s="1608"/>
      <c r="AE18" s="1608"/>
      <c r="AF18" s="1608"/>
      <c r="AG18" s="1608"/>
      <c r="AH18" s="1608"/>
      <c r="AI18" s="1608"/>
      <c r="AJ18" s="1608"/>
      <c r="AK18" s="1608"/>
      <c r="AL18" s="1608"/>
      <c r="AM18" s="1608"/>
      <c r="AN18" s="1608"/>
      <c r="AO18" s="1608"/>
      <c r="AP18" s="1608"/>
      <c r="AQ18" s="1608"/>
      <c r="AR18" s="1608"/>
      <c r="AS18" s="1608"/>
      <c r="AT18" s="1608"/>
      <c r="AU18" s="1608"/>
      <c r="AV18" s="1608"/>
      <c r="AW18" s="1608"/>
      <c r="AX18" s="1608"/>
      <c r="AY18" s="1608"/>
      <c r="AZ18" s="1608"/>
      <c r="BA18" s="1608"/>
      <c r="BB18" s="1608"/>
      <c r="BC18" s="1608"/>
      <c r="BE18" s="784"/>
      <c r="BF18" s="784" t="str">
        <f>IF(T18="","",T18)</f>
        <v>Добавить территорию для дифференциации</v>
      </c>
      <c r="BG18" s="784"/>
      <c r="BH18" s="784"/>
      <c r="BI18" s="795">
        <v>0</v>
      </c>
    </row>
    <row customHeight="1" ht="14.25" hidden="1">
      <c r="AC19" s="611"/>
      <c r="BA19" s="611"/>
      <c r="BI19" s="1439">
        <v>0</v>
      </c>
    </row>
    <row customHeight="1" ht="14.25" hidden="1">
      <c r="AD20" s="1608" t="s">
        <v>19</v>
      </c>
      <c r="AE20" s="1785"/>
      <c r="AF20" s="832">
        <v>1</v>
      </c>
      <c r="AG20" s="1786"/>
      <c r="AH20" s="1608" t="s">
        <v>19</v>
      </c>
      <c r="AI20" s="1785"/>
      <c r="AJ20" s="832">
        <v>1</v>
      </c>
      <c r="AK20" s="1786"/>
      <c r="AL20" s="1608" t="s">
        <v>19</v>
      </c>
      <c r="AM20" s="1787"/>
      <c r="AN20" s="832">
        <v>1</v>
      </c>
      <c r="AO20" s="1788"/>
      <c r="AP20" s="1608" t="s">
        <v>19</v>
      </c>
      <c r="AQ20" s="1787"/>
      <c r="AR20" s="832">
        <v>1</v>
      </c>
      <c r="AS20" s="1788"/>
      <c r="AT20" s="609"/>
      <c r="AU20" s="668"/>
      <c r="AV20" s="609"/>
      <c r="AW20" s="668"/>
      <c r="AX20" s="2020"/>
      <c r="AY20" s="1744" t="s">
        <v>67</v>
      </c>
      <c r="AZ20" s="2020"/>
      <c r="BA20" s="1744" t="s">
        <v>67</v>
      </c>
      <c r="BI20" s="1439">
        <v>0</v>
      </c>
    </row>
    <row customHeight="1" ht="14.25" hidden="1">
      <c r="BD21" s="780"/>
      <c r="BE21" s="780"/>
      <c r="BF21" s="780"/>
      <c r="BG21" s="780"/>
      <c r="BH21" s="780"/>
      <c r="BI21" s="1439">
        <v>0</v>
      </c>
    </row>
    <row customHeight="1" ht="14.25" hidden="1">
      <c r="O22" s="1651" t="s">
        <v>419</v>
      </c>
      <c r="Z22" s="1629"/>
      <c r="AB22" s="1629"/>
      <c r="AC22" s="611"/>
      <c r="AX22" s="1629"/>
      <c r="AZ22" s="1629"/>
      <c r="BA22" s="611"/>
      <c r="BD22" s="780"/>
      <c r="BE22" s="780"/>
      <c r="BF22" s="780"/>
      <c r="BG22" s="780"/>
      <c r="BH22" s="780"/>
      <c r="BI22" s="1439">
        <v>0</v>
      </c>
    </row>
    <row customHeight="1" ht="14.25" hidden="1">
      <c r="AC23" s="611"/>
      <c r="BA23" s="611"/>
      <c r="BD23" s="780"/>
      <c r="BE23" s="780"/>
      <c r="BF23" s="780"/>
      <c r="BG23" s="780"/>
      <c r="BH23" s="780"/>
      <c r="BI23" s="1439">
        <v>0</v>
      </c>
    </row>
    <row s="15237" customFormat="1" customHeight="1" ht="14.25" hidden="1">
      <c r="M24" s="1792"/>
      <c r="N24" s="1792"/>
      <c r="O24" s="1793" t="s">
        <v>420</v>
      </c>
      <c r="P24" s="1792"/>
      <c r="Q24" s="1794"/>
      <c r="R24" s="1794"/>
      <c r="AA24" s="1791" t="s">
        <v>422</v>
      </c>
      <c r="AC24" s="1791" t="s">
        <v>423</v>
      </c>
      <c r="AD24" s="1791" t="s">
        <v>477</v>
      </c>
      <c r="AH24" s="1791" t="s">
        <v>477</v>
      </c>
      <c r="AK24" s="1791" t="s">
        <v>514</v>
      </c>
      <c r="AL24" s="1791" t="s">
        <v>477</v>
      </c>
      <c r="AP24" s="1791" t="s">
        <v>477</v>
      </c>
      <c r="AY24" s="1791" t="s">
        <v>422</v>
      </c>
      <c r="BA24" s="1791" t="s">
        <v>423</v>
      </c>
      <c r="BD24" s="1795"/>
      <c r="BE24" s="1795"/>
      <c r="BF24" s="1795"/>
      <c r="BG24" s="1795"/>
      <c r="BH24" s="1795"/>
      <c r="BI24" s="1791">
        <v>0</v>
      </c>
    </row>
    <row customHeight="1" ht="14.25" hidden="1">
      <c r="O25" s="1648"/>
      <c r="BD25" s="780"/>
      <c r="BE25" s="780"/>
      <c r="BF25" s="780"/>
      <c r="BG25" s="780"/>
      <c r="BH25" s="780"/>
      <c r="BI25" s="1439">
        <v>0</v>
      </c>
    </row>
    <row customHeight="1" ht="14.25" hidden="1">
      <c r="O26" s="1648"/>
      <c r="BD26" s="780"/>
      <c r="BE26" s="780"/>
      <c r="BF26" s="780"/>
      <c r="BG26" s="780"/>
      <c r="BH26" s="780"/>
      <c r="BI26" s="1439">
        <v>0</v>
      </c>
    </row>
    <row customHeight="1" ht="14.699999999999998">
      <c r="Q27" s="575"/>
      <c r="R27" s="660"/>
      <c r="S27" s="1559"/>
      <c r="T27" s="647"/>
      <c r="U27" s="647"/>
      <c r="V27" s="793"/>
      <c r="W27" s="793"/>
      <c r="X27" s="793"/>
      <c r="Y27" s="793"/>
      <c r="Z27" s="793"/>
      <c r="AA27" s="793"/>
      <c r="AB27" s="793"/>
      <c r="AC27" s="793"/>
      <c r="AD27" s="793"/>
      <c r="AE27" s="793"/>
      <c r="AF27" s="793"/>
      <c r="AG27" s="793"/>
      <c r="AH27" s="793"/>
      <c r="AI27" s="793"/>
      <c r="AJ27" s="793"/>
      <c r="AK27" s="793"/>
      <c r="AL27" s="793"/>
      <c r="AM27" s="793"/>
      <c r="AN27" s="793"/>
      <c r="AO27" s="793"/>
      <c r="AP27" s="793"/>
      <c r="AQ27" s="793"/>
      <c r="AR27" s="793"/>
      <c r="AS27" s="793"/>
      <c r="AT27" s="793"/>
      <c r="AU27" s="793"/>
      <c r="AV27" s="793"/>
      <c r="AW27" s="793"/>
      <c r="AX27" s="793"/>
      <c r="AY27" s="793"/>
      <c r="AZ27" s="793"/>
      <c r="BA27" s="793"/>
      <c r="BI27" s="1439">
        <v>14</v>
      </c>
    </row>
    <row customHeight="1" ht="14.699999999999998">
      <c r="Q28" s="575"/>
      <c r="R28" s="660"/>
      <c r="S28" s="2532" t="str">
        <f>IF(TEMPLATE_GROUP="P",PT_P_FORM_COLDVSNA_5_NAME_FORM,PT_R_FORM_COLDVSNA_17_NAME_FORM)</f>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
      <c r="T28" s="2532"/>
      <c r="U28" s="2532"/>
      <c r="V28" s="2532"/>
      <c r="W28" s="2532"/>
      <c r="X28" s="2532"/>
      <c r="Y28" s="2532"/>
      <c r="Z28" s="2532"/>
      <c r="AA28" s="2532"/>
      <c r="AB28" s="2532"/>
      <c r="AC28" s="2532"/>
      <c r="AD28" s="2532"/>
      <c r="AE28" s="2532"/>
      <c r="AF28" s="2532"/>
      <c r="AG28" s="2532"/>
      <c r="AH28" s="2532"/>
      <c r="AI28" s="2532"/>
      <c r="AJ28" s="2532"/>
      <c r="AK28" s="2532"/>
      <c r="AL28" s="2532"/>
      <c r="AM28" s="2532"/>
      <c r="AN28" s="2532"/>
      <c r="AO28" s="2532"/>
      <c r="AP28" s="2532"/>
      <c r="AQ28" s="2532"/>
      <c r="AR28" s="2532"/>
      <c r="AS28" s="2532"/>
      <c r="AT28" s="2532"/>
      <c r="AU28" s="2532"/>
      <c r="AV28" s="2532"/>
      <c r="AW28" s="2532"/>
      <c r="AX28" s="2532"/>
      <c r="AY28" s="2532"/>
      <c r="AZ28" s="2532"/>
      <c r="BA28" s="1527"/>
      <c r="BI28" s="1439">
        <v>14</v>
      </c>
    </row>
    <row customHeight="1" ht="14.699999999999998">
      <c r="Q29" s="575"/>
      <c r="R29" s="660"/>
      <c r="S29" s="2533" t="str">
        <f>IF(org=0,"Не определено",org)</f>
        <v>МУП г. Азова "Теплоэнерго"</v>
      </c>
      <c r="T29" s="2533"/>
      <c r="U29" s="2533"/>
      <c r="V29" s="2533"/>
      <c r="W29" s="2533"/>
      <c r="X29" s="2533"/>
      <c r="Y29" s="2533"/>
      <c r="Z29" s="2533"/>
      <c r="AA29" s="2533"/>
      <c r="AB29" s="2533"/>
      <c r="AC29" s="2533"/>
      <c r="AD29" s="2533"/>
      <c r="AE29" s="2533"/>
      <c r="AF29" s="2533"/>
      <c r="AG29" s="2533"/>
      <c r="AH29" s="2533"/>
      <c r="AI29" s="2533"/>
      <c r="AJ29" s="2533"/>
      <c r="AK29" s="2533"/>
      <c r="AL29" s="2533"/>
      <c r="AM29" s="2533"/>
      <c r="AN29" s="2533"/>
      <c r="AO29" s="2533"/>
      <c r="AP29" s="2533"/>
      <c r="AQ29" s="2533"/>
      <c r="AR29" s="2533"/>
      <c r="AS29" s="2533"/>
      <c r="AT29" s="2533"/>
      <c r="AU29" s="2533"/>
      <c r="AV29" s="2533"/>
      <c r="AW29" s="2533"/>
      <c r="AX29" s="2533"/>
      <c r="AY29" s="2533"/>
      <c r="AZ29" s="2533"/>
      <c r="BA29" s="1527"/>
      <c r="BI29" s="1439">
        <v>14</v>
      </c>
    </row>
    <row customHeight="1" ht="14.25" hidden="1">
      <c r="Q30" s="575"/>
      <c r="R30" s="660"/>
      <c r="S30" s="1559"/>
      <c r="T30" s="647"/>
      <c r="U30" s="647"/>
      <c r="V30" s="606"/>
      <c r="W30" s="606"/>
      <c r="X30" s="606"/>
      <c r="Y30" s="606"/>
      <c r="Z30" s="606"/>
      <c r="AA30" s="606"/>
      <c r="AB30" s="606"/>
      <c r="AC30" s="606"/>
      <c r="AD30" s="606"/>
      <c r="AE30" s="606"/>
      <c r="AF30" s="606"/>
      <c r="AG30" s="606"/>
      <c r="AH30" s="606"/>
      <c r="AI30" s="606"/>
      <c r="AJ30" s="606"/>
      <c r="AK30" s="606"/>
      <c r="AL30" s="606"/>
      <c r="AM30" s="606"/>
      <c r="AN30" s="606"/>
      <c r="AO30" s="606"/>
      <c r="AP30" s="606"/>
      <c r="AQ30" s="606"/>
      <c r="AR30" s="606"/>
      <c r="AS30" s="606"/>
      <c r="AT30" s="606"/>
      <c r="AU30" s="606"/>
      <c r="AV30" s="606"/>
      <c r="AW30" s="606"/>
      <c r="AX30" s="606"/>
      <c r="AY30" s="606"/>
      <c r="AZ30" s="606"/>
      <c r="BA30" s="606"/>
      <c r="BB30" s="793"/>
      <c r="BI30" s="1439">
        <v>0</v>
      </c>
    </row>
    <row s="14284" customFormat="1" customHeight="1" ht="25.5" hidden="1">
      <c r="A31" s="1652"/>
      <c r="B31" s="1652"/>
      <c r="C31" s="1652"/>
      <c r="D31" s="1652"/>
      <c r="E31" s="1652"/>
      <c r="F31" s="1652"/>
      <c r="G31" s="1652"/>
      <c r="H31" s="1652"/>
      <c r="I31" s="1652"/>
      <c r="J31" s="1652"/>
      <c r="K31" s="1652"/>
      <c r="L31" s="1653"/>
      <c r="M31" s="1652"/>
      <c r="N31" s="1652"/>
      <c r="O31" s="1652"/>
      <c r="P31" s="1652"/>
      <c r="Q31" s="1652"/>
      <c r="S31" s="2534" t="s">
        <v>42</v>
      </c>
      <c r="T31" s="2534"/>
      <c r="U31" s="1656"/>
      <c r="V31" s="2535" t="str">
        <f>IF(TITLE_NAME_OR_PR_CHANGE="",IF(TITLE_NAME_OR_PR="","",TITLE_NAME_OR_PR),TITLE_NAME_OR_PR_CHANGE)</f>
        <v/>
      </c>
      <c r="W31" s="2535"/>
      <c r="X31" s="2535"/>
      <c r="Y31" s="2535"/>
      <c r="Z31" s="2535"/>
      <c r="AA31" s="2535"/>
      <c r="AB31" s="2535"/>
      <c r="AC31" s="610"/>
      <c r="AD31" s="2535" t="str">
        <f>IF(TITLE_NAME_OR_PR_CHANGE="",IF(TITLE_NAME_OR_PR="","",TITLE_NAME_OR_PR),TITLE_NAME_OR_PR_CHANGE)</f>
        <v/>
      </c>
      <c r="AE31" s="2535"/>
      <c r="AF31" s="2535"/>
      <c r="AG31" s="2535"/>
      <c r="AH31" s="2535"/>
      <c r="AI31" s="2535"/>
      <c r="AJ31" s="2535"/>
      <c r="AK31" s="2535"/>
      <c r="AL31" s="2535"/>
      <c r="AM31" s="2535"/>
      <c r="AN31" s="2535"/>
      <c r="AO31" s="2535"/>
      <c r="AP31" s="2535"/>
      <c r="AQ31" s="2535"/>
      <c r="AR31" s="2535"/>
      <c r="AS31" s="2535"/>
      <c r="AT31" s="2535"/>
      <c r="AU31" s="2535"/>
      <c r="AV31" s="2535"/>
      <c r="AW31" s="2535"/>
      <c r="AX31" s="2535"/>
      <c r="AY31" s="2535"/>
      <c r="AZ31" s="2535"/>
      <c r="BA31" s="610"/>
      <c r="BB31" s="610"/>
      <c r="BC31" s="564"/>
      <c r="BD31" s="652"/>
      <c r="BE31" s="652"/>
      <c r="BF31" s="652"/>
      <c r="BG31" s="652"/>
      <c r="BH31" s="652"/>
      <c r="BI31" s="702">
        <v>0</v>
      </c>
    </row>
    <row s="14284" customFormat="1" customHeight="1" ht="18.75" hidden="1">
      <c r="A32" s="1652"/>
      <c r="B32" s="1652"/>
      <c r="C32" s="1652"/>
      <c r="D32" s="1652"/>
      <c r="E32" s="1652"/>
      <c r="F32" s="1652"/>
      <c r="G32" s="1652"/>
      <c r="H32" s="1652"/>
      <c r="I32" s="1652"/>
      <c r="J32" s="1652"/>
      <c r="K32" s="1652"/>
      <c r="L32" s="1653"/>
      <c r="M32" s="1652"/>
      <c r="N32" s="1652"/>
      <c r="O32" s="1652"/>
      <c r="P32" s="1652"/>
      <c r="Q32" s="1652"/>
      <c r="S32" s="2534" t="s">
        <v>425</v>
      </c>
      <c r="T32" s="2534"/>
      <c r="U32" s="1656"/>
      <c r="V32" s="2548" t="str">
        <f>IF(TITLE_DATE_PR_CHANGE="",IF(TITLE_DATE_PR="","",TITLE_DATE_PR),TITLE_DATE_PR_CHANGE)</f>
        <v>45471</v>
      </c>
      <c r="W32" s="2548"/>
      <c r="X32" s="2548"/>
      <c r="Y32" s="2548"/>
      <c r="Z32" s="2548"/>
      <c r="AA32" s="2548"/>
      <c r="AB32" s="2548"/>
      <c r="AC32" s="610"/>
      <c r="AD32" s="2548" t="str">
        <f>IF(TITLE_DATE_PR_CHANGE="",IF(TITLE_DATE_PR="","",TITLE_DATE_PR),TITLE_DATE_PR_CHANGE)</f>
        <v>45471</v>
      </c>
      <c r="AE32" s="2548"/>
      <c r="AF32" s="2548"/>
      <c r="AG32" s="2548"/>
      <c r="AH32" s="2548"/>
      <c r="AI32" s="2548"/>
      <c r="AJ32" s="2548"/>
      <c r="AK32" s="2548"/>
      <c r="AL32" s="2548"/>
      <c r="AM32" s="2548"/>
      <c r="AN32" s="2548"/>
      <c r="AO32" s="2548"/>
      <c r="AP32" s="2548"/>
      <c r="AQ32" s="2548"/>
      <c r="AR32" s="2548"/>
      <c r="AS32" s="2548"/>
      <c r="AT32" s="2548"/>
      <c r="AU32" s="2548"/>
      <c r="AV32" s="2548"/>
      <c r="AW32" s="2548"/>
      <c r="AX32" s="2548"/>
      <c r="AY32" s="2548"/>
      <c r="AZ32" s="2548"/>
      <c r="BA32" s="610"/>
      <c r="BB32" s="610"/>
      <c r="BC32" s="564"/>
      <c r="BD32" s="652"/>
      <c r="BE32" s="652"/>
      <c r="BF32" s="652"/>
      <c r="BG32" s="652"/>
      <c r="BH32" s="652"/>
      <c r="BI32" s="702">
        <v>0</v>
      </c>
    </row>
    <row s="14284" customFormat="1" customHeight="1" ht="18.75" hidden="1">
      <c r="A33" s="1652"/>
      <c r="B33" s="1652"/>
      <c r="C33" s="1652"/>
      <c r="D33" s="1652"/>
      <c r="E33" s="1652"/>
      <c r="F33" s="1652"/>
      <c r="G33" s="1652"/>
      <c r="H33" s="1652"/>
      <c r="I33" s="1652"/>
      <c r="J33" s="1652"/>
      <c r="K33" s="1652"/>
      <c r="L33" s="1653"/>
      <c r="M33" s="1652"/>
      <c r="N33" s="1652"/>
      <c r="O33" s="1652"/>
      <c r="P33" s="1652"/>
      <c r="Q33" s="1652"/>
      <c r="S33" s="2534" t="s">
        <v>426</v>
      </c>
      <c r="T33" s="2534"/>
      <c r="U33" s="1656"/>
      <c r="V33" s="2535" t="str">
        <f>IF(TITLE_NUMBER_PR_CHANGE="",IF(TITLE_NUMBER_PR="","",TITLE_NUMBER_PR),TITLE_NUMBER_PR_CHANGE)</f>
        <v>50/18-01/261</v>
      </c>
      <c r="W33" s="2535"/>
      <c r="X33" s="2535"/>
      <c r="Y33" s="2535"/>
      <c r="Z33" s="2535"/>
      <c r="AA33" s="2535"/>
      <c r="AB33" s="2535"/>
      <c r="AC33" s="610"/>
      <c r="AD33" s="2535" t="str">
        <f>IF(TITLE_NUMBER_PR_CHANGE="",IF(TITLE_NUMBER_PR="","",TITLE_NUMBER_PR),TITLE_NUMBER_PR_CHANGE)</f>
        <v>50/18-01/261</v>
      </c>
      <c r="AE33" s="2535"/>
      <c r="AF33" s="2535"/>
      <c r="AG33" s="2535"/>
      <c r="AH33" s="2535"/>
      <c r="AI33" s="2535"/>
      <c r="AJ33" s="2535"/>
      <c r="AK33" s="2535"/>
      <c r="AL33" s="2535"/>
      <c r="AM33" s="2535"/>
      <c r="AN33" s="2535"/>
      <c r="AO33" s="2535"/>
      <c r="AP33" s="2535"/>
      <c r="AQ33" s="2535"/>
      <c r="AR33" s="2535"/>
      <c r="AS33" s="2535"/>
      <c r="AT33" s="2535"/>
      <c r="AU33" s="2535"/>
      <c r="AV33" s="2535"/>
      <c r="AW33" s="2535"/>
      <c r="AX33" s="2535"/>
      <c r="AY33" s="2535"/>
      <c r="AZ33" s="2535"/>
      <c r="BA33" s="610"/>
      <c r="BB33" s="610"/>
      <c r="BC33" s="564"/>
      <c r="BD33" s="652"/>
      <c r="BE33" s="652"/>
      <c r="BF33" s="652"/>
      <c r="BG33" s="652"/>
      <c r="BH33" s="652"/>
      <c r="BI33" s="702">
        <v>0</v>
      </c>
    </row>
    <row s="14284" customFormat="1" customHeight="1" ht="18.75" hidden="1">
      <c r="A34" s="1652"/>
      <c r="B34" s="1652"/>
      <c r="C34" s="1652"/>
      <c r="D34" s="1652"/>
      <c r="E34" s="1652"/>
      <c r="F34" s="1652"/>
      <c r="G34" s="1652"/>
      <c r="H34" s="1652"/>
      <c r="I34" s="1652"/>
      <c r="J34" s="1652"/>
      <c r="K34" s="1652"/>
      <c r="L34" s="1653"/>
      <c r="M34" s="1652"/>
      <c r="N34" s="1652"/>
      <c r="O34" s="1652"/>
      <c r="P34" s="1652"/>
      <c r="Q34" s="1652"/>
      <c r="S34" s="2534" t="s">
        <v>43</v>
      </c>
      <c r="T34" s="2534"/>
      <c r="U34" s="1656"/>
      <c r="V34" s="2535" t="str">
        <f>IF(TITLE_IST_PUB_CHANGE="",IF(TITLE_IST_PUB="","",TITLE_IST_PUB),TITLE_IST_PUB_CHANGE)</f>
        <v/>
      </c>
      <c r="W34" s="2535"/>
      <c r="X34" s="2535"/>
      <c r="Y34" s="2535"/>
      <c r="Z34" s="2535"/>
      <c r="AA34" s="2535"/>
      <c r="AB34" s="2535"/>
      <c r="AC34" s="610"/>
      <c r="AD34" s="2535" t="str">
        <f>IF(TITLE_IST_PUB_CHANGE="",IF(TITLE_IST_PUB="","",TITLE_IST_PUB),TITLE_IST_PUB_CHANGE)</f>
        <v/>
      </c>
      <c r="AE34" s="2535"/>
      <c r="AF34" s="2535"/>
      <c r="AG34" s="2535"/>
      <c r="AH34" s="2535"/>
      <c r="AI34" s="2535"/>
      <c r="AJ34" s="2535"/>
      <c r="AK34" s="2535"/>
      <c r="AL34" s="2535"/>
      <c r="AM34" s="2535"/>
      <c r="AN34" s="2535"/>
      <c r="AO34" s="2535"/>
      <c r="AP34" s="2535"/>
      <c r="AQ34" s="2535"/>
      <c r="AR34" s="2535"/>
      <c r="AS34" s="2535"/>
      <c r="AT34" s="2535"/>
      <c r="AU34" s="2535"/>
      <c r="AV34" s="2535"/>
      <c r="AW34" s="2535"/>
      <c r="AX34" s="2535"/>
      <c r="AY34" s="2535"/>
      <c r="AZ34" s="2535"/>
      <c r="BA34" s="610"/>
      <c r="BB34" s="610"/>
      <c r="BC34" s="564"/>
      <c r="BD34" s="652"/>
      <c r="BE34" s="652"/>
      <c r="BF34" s="652"/>
      <c r="BG34" s="652"/>
      <c r="BH34" s="652"/>
      <c r="BI34" s="702">
        <v>0</v>
      </c>
    </row>
    <row customHeight="1" ht="14.25">
      <c r="Q35" s="575"/>
      <c r="R35" s="660"/>
      <c r="S35" s="1559"/>
      <c r="T35" s="647"/>
      <c r="U35" s="647"/>
      <c r="V35" s="606"/>
      <c r="W35" s="606"/>
      <c r="X35" s="606"/>
      <c r="Y35" s="606"/>
      <c r="Z35" s="606"/>
      <c r="AA35" s="606"/>
      <c r="AB35" s="606"/>
      <c r="AC35" s="606"/>
      <c r="AD35" s="606"/>
      <c r="AE35" s="606"/>
      <c r="AF35" s="606"/>
      <c r="AG35" s="606"/>
      <c r="AH35" s="606"/>
      <c r="AI35" s="606"/>
      <c r="AJ35" s="606"/>
      <c r="AK35" s="606"/>
      <c r="AL35" s="606"/>
      <c r="AM35" s="606"/>
      <c r="AN35" s="606"/>
      <c r="AO35" s="606"/>
      <c r="AP35" s="606"/>
      <c r="AQ35" s="606"/>
      <c r="AR35" s="606"/>
      <c r="AS35" s="606"/>
      <c r="AT35" s="606"/>
      <c r="AU35" s="606"/>
      <c r="AV35" s="606"/>
      <c r="AW35" s="606"/>
      <c r="AX35" s="606"/>
      <c r="AY35" s="606"/>
      <c r="AZ35" s="606"/>
      <c r="BA35" s="606"/>
      <c r="BB35" s="793"/>
      <c r="BI35" s="1439">
        <v>0</v>
      </c>
    </row>
    <row s="14284" customFormat="1" customHeight="1" ht="18.75">
      <c r="A36" s="1652"/>
      <c r="B36" s="1652"/>
      <c r="C36" s="1652"/>
      <c r="D36" s="1652"/>
      <c r="E36" s="1652"/>
      <c r="F36" s="1652"/>
      <c r="G36" s="1652"/>
      <c r="H36" s="1652"/>
      <c r="I36" s="1652"/>
      <c r="J36" s="1652"/>
      <c r="K36" s="1652"/>
      <c r="L36" s="1653"/>
      <c r="M36" s="1652"/>
      <c r="N36" s="1652"/>
      <c r="O36" s="1652"/>
      <c r="P36" s="1652"/>
      <c r="Q36" s="1652"/>
      <c r="S36" s="2534" t="s">
        <v>425</v>
      </c>
      <c r="T36" s="2534"/>
      <c r="U36" s="1656"/>
      <c r="V36" s="2548" t="str">
        <f>IF(TITLE_DATE_PR_CHANGE="",IF(TITLE_DATE_PR="","",TITLE_DATE_PR),TITLE_DATE_PR_CHANGE)</f>
        <v>45471</v>
      </c>
      <c r="W36" s="2548"/>
      <c r="X36" s="2548"/>
      <c r="Y36" s="2548"/>
      <c r="Z36" s="2548"/>
      <c r="AA36" s="2548"/>
      <c r="AB36" s="2548"/>
      <c r="AC36" s="610"/>
      <c r="AD36" s="2548" t="str">
        <f>IF(TITLE_DATE_PR_CHANGE="",IF(TITLE_DATE_PR="","",TITLE_DATE_PR),TITLE_DATE_PR_CHANGE)</f>
        <v>45471</v>
      </c>
      <c r="AE36" s="2548"/>
      <c r="AF36" s="2548"/>
      <c r="AG36" s="2548"/>
      <c r="AH36" s="2548"/>
      <c r="AI36" s="2548"/>
      <c r="AJ36" s="2548"/>
      <c r="AK36" s="2548"/>
      <c r="AL36" s="2548"/>
      <c r="AM36" s="2548"/>
      <c r="AN36" s="2548"/>
      <c r="AO36" s="2548"/>
      <c r="AP36" s="2548"/>
      <c r="AQ36" s="2548"/>
      <c r="AR36" s="2548"/>
      <c r="AS36" s="2548"/>
      <c r="AT36" s="2548"/>
      <c r="AU36" s="2548"/>
      <c r="AV36" s="2548"/>
      <c r="AW36" s="2548"/>
      <c r="AX36" s="2548"/>
      <c r="AY36" s="2548"/>
      <c r="AZ36" s="2548"/>
      <c r="BA36" s="610"/>
      <c r="BB36" s="610"/>
      <c r="BC36" s="564"/>
      <c r="BD36" s="652"/>
      <c r="BE36" s="652"/>
      <c r="BF36" s="652"/>
      <c r="BG36" s="652"/>
      <c r="BH36" s="652"/>
      <c r="BI36" s="702">
        <v>0</v>
      </c>
    </row>
    <row s="14284" customFormat="1" customHeight="1" ht="18.75">
      <c r="A37" s="1652"/>
      <c r="B37" s="1652"/>
      <c r="C37" s="1652"/>
      <c r="D37" s="1652"/>
      <c r="E37" s="1652"/>
      <c r="F37" s="1652"/>
      <c r="G37" s="1652"/>
      <c r="H37" s="1652"/>
      <c r="I37" s="1652"/>
      <c r="J37" s="1652"/>
      <c r="K37" s="1652"/>
      <c r="L37" s="1653"/>
      <c r="M37" s="1652"/>
      <c r="N37" s="1652"/>
      <c r="O37" s="1652"/>
      <c r="P37" s="1652"/>
      <c r="Q37" s="1652"/>
      <c r="S37" s="2534" t="s">
        <v>426</v>
      </c>
      <c r="T37" s="2534"/>
      <c r="U37" s="1656"/>
      <c r="V37" s="2535" t="str">
        <f>IF(TITLE_NUMBER_PR_CHANGE="",IF(TITLE_NUMBER_PR="","",TITLE_NUMBER_PR),TITLE_NUMBER_PR_CHANGE)</f>
        <v>50/18-01/261</v>
      </c>
      <c r="W37" s="2535"/>
      <c r="X37" s="2535"/>
      <c r="Y37" s="2535"/>
      <c r="Z37" s="2535"/>
      <c r="AA37" s="2535"/>
      <c r="AB37" s="2535"/>
      <c r="AC37" s="610"/>
      <c r="AD37" s="2535" t="str">
        <f>IF(TITLE_NUMBER_PR_CHANGE="",IF(TITLE_NUMBER_PR="","",TITLE_NUMBER_PR),TITLE_NUMBER_PR_CHANGE)</f>
        <v>50/18-01/261</v>
      </c>
      <c r="AE37" s="2535"/>
      <c r="AF37" s="2535"/>
      <c r="AG37" s="2535"/>
      <c r="AH37" s="2535"/>
      <c r="AI37" s="2535"/>
      <c r="AJ37" s="2535"/>
      <c r="AK37" s="2535"/>
      <c r="AL37" s="2535"/>
      <c r="AM37" s="2535"/>
      <c r="AN37" s="2535"/>
      <c r="AO37" s="2535"/>
      <c r="AP37" s="2535"/>
      <c r="AQ37" s="2535"/>
      <c r="AR37" s="2535"/>
      <c r="AS37" s="2535"/>
      <c r="AT37" s="2535"/>
      <c r="AU37" s="2535"/>
      <c r="AV37" s="2535"/>
      <c r="AW37" s="2535"/>
      <c r="AX37" s="2535"/>
      <c r="AY37" s="2535"/>
      <c r="AZ37" s="2535"/>
      <c r="BA37" s="610"/>
      <c r="BB37" s="610"/>
      <c r="BC37" s="564"/>
      <c r="BD37" s="652"/>
      <c r="BE37" s="652"/>
      <c r="BF37" s="652"/>
      <c r="BG37" s="652"/>
      <c r="BH37" s="652"/>
      <c r="BI37" s="702">
        <v>0</v>
      </c>
    </row>
    <row s="14284" customFormat="1" customHeight="1" ht="0">
      <c r="A38" s="1652"/>
      <c r="B38" s="1652"/>
      <c r="C38" s="1652"/>
      <c r="D38" s="1652"/>
      <c r="E38" s="1652"/>
      <c r="F38" s="1652"/>
      <c r="G38" s="1652"/>
      <c r="H38" s="1652"/>
      <c r="I38" s="1652"/>
      <c r="J38" s="1652"/>
      <c r="K38" s="1652"/>
      <c r="L38" s="1653"/>
      <c r="M38" s="1652"/>
      <c r="N38" s="1652"/>
      <c r="O38" s="1652"/>
      <c r="P38" s="1652"/>
      <c r="Q38" s="1652"/>
      <c r="S38" s="607"/>
      <c r="T38" s="607"/>
      <c r="U38" s="1738"/>
      <c r="V38" s="610"/>
      <c r="W38" s="610"/>
      <c r="X38" s="610"/>
      <c r="Y38" s="610"/>
      <c r="Z38" s="610"/>
      <c r="AA38" s="610"/>
      <c r="AB38" s="610"/>
      <c r="AC38" s="562" t="s">
        <v>429</v>
      </c>
      <c r="AD38" s="610"/>
      <c r="AE38" s="610"/>
      <c r="AF38" s="610"/>
      <c r="AG38" s="610"/>
      <c r="AH38" s="610"/>
      <c r="AI38" s="610"/>
      <c r="AJ38" s="610"/>
      <c r="AK38" s="610"/>
      <c r="AL38" s="610"/>
      <c r="AM38" s="610"/>
      <c r="AN38" s="610"/>
      <c r="AO38" s="610"/>
      <c r="AP38" s="610"/>
      <c r="AQ38" s="610"/>
      <c r="AR38" s="610"/>
      <c r="AS38" s="610"/>
      <c r="AT38" s="610"/>
      <c r="AU38" s="610"/>
      <c r="AV38" s="610"/>
      <c r="AW38" s="610"/>
      <c r="AX38" s="610"/>
      <c r="AY38" s="610"/>
      <c r="AZ38" s="610"/>
      <c r="BA38" s="562" t="s">
        <v>429</v>
      </c>
      <c r="BD38" s="652"/>
      <c r="BE38" s="652"/>
      <c r="BF38" s="652"/>
      <c r="BG38" s="652"/>
      <c r="BH38" s="652"/>
      <c r="BI38" s="702">
        <v>0</v>
      </c>
    </row>
    <row customHeight="1" ht="14.699999999999998">
      <c r="Q39" s="575"/>
      <c r="R39" s="660"/>
      <c r="S39" s="1559"/>
      <c r="T39" s="647"/>
      <c r="U39" s="1528"/>
      <c r="V39" s="2536"/>
      <c r="W39" s="2536"/>
      <c r="X39" s="2536"/>
      <c r="Y39" s="2536"/>
      <c r="Z39" s="2536"/>
      <c r="AA39" s="2536"/>
      <c r="AB39" s="2536"/>
      <c r="AC39" s="2536"/>
      <c r="AD39" s="2536"/>
      <c r="AE39" s="2536"/>
      <c r="AF39" s="2536"/>
      <c r="AG39" s="2536"/>
      <c r="AH39" s="2536"/>
      <c r="AI39" s="2536"/>
      <c r="AJ39" s="2536"/>
      <c r="AK39" s="2536"/>
      <c r="AL39" s="2536"/>
      <c r="AM39" s="2536"/>
      <c r="AN39" s="2536"/>
      <c r="AO39" s="2536"/>
      <c r="AP39" s="2536"/>
      <c r="AQ39" s="2536"/>
      <c r="AR39" s="2536"/>
      <c r="AS39" s="2536"/>
      <c r="AT39" s="2536"/>
      <c r="AU39" s="2536"/>
      <c r="AV39" s="2536"/>
      <c r="AW39" s="2536"/>
      <c r="AX39" s="2536"/>
      <c r="AY39" s="2536"/>
      <c r="AZ39" s="2536"/>
      <c r="BA39" s="2536"/>
      <c r="BI39" s="1439">
        <v>14</v>
      </c>
    </row>
    <row customHeight="1" ht="14.699999999999998">
      <c r="Q40" s="575"/>
      <c r="R40" s="660"/>
      <c r="S40" s="2411" t="s">
        <v>305</v>
      </c>
      <c r="T40" s="2411"/>
      <c r="U40" s="2411"/>
      <c r="V40" s="2411"/>
      <c r="W40" s="2411"/>
      <c r="X40" s="2411"/>
      <c r="Y40" s="2411"/>
      <c r="Z40" s="2411"/>
      <c r="AA40" s="2411"/>
      <c r="AB40" s="2411"/>
      <c r="AC40" s="2411"/>
      <c r="AD40" s="2411"/>
      <c r="AE40" s="2411"/>
      <c r="AF40" s="2411"/>
      <c r="AG40" s="2411"/>
      <c r="AH40" s="2411"/>
      <c r="AI40" s="2411"/>
      <c r="AJ40" s="2411"/>
      <c r="AK40" s="2411"/>
      <c r="AL40" s="2411"/>
      <c r="AM40" s="2411"/>
      <c r="AN40" s="2411"/>
      <c r="AO40" s="2411"/>
      <c r="AP40" s="2411"/>
      <c r="AQ40" s="2411"/>
      <c r="AR40" s="2411"/>
      <c r="AS40" s="2411"/>
      <c r="AT40" s="2411"/>
      <c r="AU40" s="2411"/>
      <c r="AV40" s="2411"/>
      <c r="AW40" s="2411"/>
      <c r="AX40" s="2411"/>
      <c r="AY40" s="2411"/>
      <c r="AZ40" s="2411"/>
      <c r="BA40" s="2411"/>
      <c r="BB40" s="2411"/>
      <c r="BC40" s="2411" t="s">
        <v>306</v>
      </c>
      <c r="BI40" s="1439">
        <v>14</v>
      </c>
    </row>
    <row customHeight="1" ht="14.699999999999998">
      <c r="Q41" s="575"/>
      <c r="R41" s="660"/>
      <c r="S41" s="2557" t="s">
        <v>89</v>
      </c>
      <c r="T41" s="2493" t="s">
        <v>515</v>
      </c>
      <c r="U41" s="585"/>
      <c r="V41" s="2558" t="s">
        <v>431</v>
      </c>
      <c r="W41" s="2559"/>
      <c r="X41" s="2559"/>
      <c r="Y41" s="2559"/>
      <c r="Z41" s="2559"/>
      <c r="AA41" s="2559"/>
      <c r="AB41" s="2560"/>
      <c r="AC41" s="2561" t="s">
        <v>432</v>
      </c>
      <c r="AD41" s="2612" t="s">
        <v>516</v>
      </c>
      <c r="AE41" s="2575"/>
      <c r="AF41" s="2575"/>
      <c r="AG41" s="2613"/>
      <c r="AH41" s="2612" t="s">
        <v>517</v>
      </c>
      <c r="AI41" s="2575"/>
      <c r="AJ41" s="2575"/>
      <c r="AK41" s="2613"/>
      <c r="AL41" s="2612" t="s">
        <v>518</v>
      </c>
      <c r="AM41" s="2575"/>
      <c r="AN41" s="2575"/>
      <c r="AO41" s="2613"/>
      <c r="AP41" s="2612" t="s">
        <v>519</v>
      </c>
      <c r="AQ41" s="2575"/>
      <c r="AR41" s="2575"/>
      <c r="AS41" s="2613"/>
      <c r="AT41" s="2558" t="s">
        <v>431</v>
      </c>
      <c r="AU41" s="2559"/>
      <c r="AV41" s="2559"/>
      <c r="AW41" s="2559"/>
      <c r="AX41" s="2559"/>
      <c r="AY41" s="2559"/>
      <c r="AZ41" s="2560"/>
      <c r="BA41" s="2561" t="s">
        <v>432</v>
      </c>
      <c r="BB41" s="2564" t="s">
        <v>434</v>
      </c>
      <c r="BC41" s="2411"/>
      <c r="BI41" s="1439">
        <v>14</v>
      </c>
    </row>
    <row customHeight="1" ht="35.699999999999996">
      <c r="Q42" s="575"/>
      <c r="R42" s="660"/>
      <c r="S42" s="2557"/>
      <c r="T42" s="2493"/>
      <c r="U42" s="1315"/>
      <c r="V42" s="2476" t="s">
        <v>520</v>
      </c>
      <c r="W42" s="2477"/>
      <c r="X42" s="2476" t="s">
        <v>521</v>
      </c>
      <c r="Y42" s="2477"/>
      <c r="Z42" s="2578" t="s">
        <v>522</v>
      </c>
      <c r="AA42" s="2597"/>
      <c r="AB42" s="2598"/>
      <c r="AC42" s="2562"/>
      <c r="AD42" s="2614"/>
      <c r="AE42" s="2615"/>
      <c r="AF42" s="2615"/>
      <c r="AG42" s="2616"/>
      <c r="AH42" s="2614"/>
      <c r="AI42" s="2615"/>
      <c r="AJ42" s="2615"/>
      <c r="AK42" s="2616"/>
      <c r="AL42" s="2614"/>
      <c r="AM42" s="2615"/>
      <c r="AN42" s="2615"/>
      <c r="AO42" s="2616"/>
      <c r="AP42" s="2614"/>
      <c r="AQ42" s="2615"/>
      <c r="AR42" s="2615"/>
      <c r="AS42" s="2616"/>
      <c r="AT42" s="2476" t="s">
        <v>520</v>
      </c>
      <c r="AU42" s="2477"/>
      <c r="AV42" s="2476" t="s">
        <v>521</v>
      </c>
      <c r="AW42" s="2477"/>
      <c r="AX42" s="2578" t="s">
        <v>522</v>
      </c>
      <c r="AY42" s="2597"/>
      <c r="AZ42" s="2598"/>
      <c r="BA42" s="2562"/>
      <c r="BB42" s="2565"/>
      <c r="BC42" s="2411"/>
      <c r="BI42" s="1439">
        <v>34</v>
      </c>
    </row>
    <row customHeight="1" ht="14.699999999999998">
      <c r="Q43" s="575"/>
      <c r="R43" s="660"/>
      <c r="S43" s="2557"/>
      <c r="T43" s="2493"/>
      <c r="U43" s="1315"/>
      <c r="V43" s="2484"/>
      <c r="W43" s="2485"/>
      <c r="X43" s="2484"/>
      <c r="Y43" s="2485"/>
      <c r="Z43" s="2579"/>
      <c r="AA43" s="2599"/>
      <c r="AB43" s="2600"/>
      <c r="AC43" s="2562"/>
      <c r="AD43" s="2614"/>
      <c r="AE43" s="2615"/>
      <c r="AF43" s="2615"/>
      <c r="AG43" s="2616"/>
      <c r="AH43" s="2614"/>
      <c r="AI43" s="2615"/>
      <c r="AJ43" s="2615"/>
      <c r="AK43" s="2616"/>
      <c r="AL43" s="2614"/>
      <c r="AM43" s="2615"/>
      <c r="AN43" s="2615"/>
      <c r="AO43" s="2616"/>
      <c r="AP43" s="2614"/>
      <c r="AQ43" s="2615"/>
      <c r="AR43" s="2615"/>
      <c r="AS43" s="2616"/>
      <c r="AT43" s="2484"/>
      <c r="AU43" s="2485"/>
      <c r="AV43" s="2484"/>
      <c r="AW43" s="2485"/>
      <c r="AX43" s="2579"/>
      <c r="AY43" s="2599"/>
      <c r="AZ43" s="2600"/>
      <c r="BA43" s="2562"/>
      <c r="BB43" s="2565"/>
      <c r="BC43" s="2411"/>
      <c r="BI43" s="1439">
        <v>14</v>
      </c>
    </row>
    <row customHeight="1" ht="14.699999999999998">
      <c r="A44" s="1654"/>
      <c r="B44" s="1654" t="s">
        <v>136</v>
      </c>
      <c r="C44" s="1654" t="s">
        <v>137</v>
      </c>
      <c r="D44" s="1654" t="s">
        <v>138</v>
      </c>
      <c r="E44" s="1648" t="s">
        <v>439</v>
      </c>
      <c r="F44" s="1648" t="s">
        <v>440</v>
      </c>
      <c r="G44" s="1648" t="s">
        <v>441</v>
      </c>
      <c r="H44" s="1648" t="s">
        <v>442</v>
      </c>
      <c r="I44" s="1648" t="s">
        <v>443</v>
      </c>
      <c r="J44" s="1648" t="s">
        <v>444</v>
      </c>
      <c r="K44" s="1648" t="s">
        <v>445</v>
      </c>
      <c r="L44" s="1648" t="s">
        <v>420</v>
      </c>
      <c r="Q44" s="575"/>
      <c r="R44" s="660"/>
      <c r="S44" s="2557"/>
      <c r="T44" s="2493"/>
      <c r="U44" s="586"/>
      <c r="V44" s="1732" t="s">
        <v>486</v>
      </c>
      <c r="W44" s="1732" t="s">
        <v>487</v>
      </c>
      <c r="X44" s="1732" t="s">
        <v>486</v>
      </c>
      <c r="Y44" s="1732" t="s">
        <v>487</v>
      </c>
      <c r="Z44" s="1739" t="s">
        <v>448</v>
      </c>
      <c r="AA44" s="2554" t="s">
        <v>449</v>
      </c>
      <c r="AB44" s="2555"/>
      <c r="AC44" s="2563"/>
      <c r="AD44" s="2617"/>
      <c r="AE44" s="2618"/>
      <c r="AF44" s="2618"/>
      <c r="AG44" s="2619"/>
      <c r="AH44" s="2617"/>
      <c r="AI44" s="2618"/>
      <c r="AJ44" s="2618"/>
      <c r="AK44" s="2619"/>
      <c r="AL44" s="2617"/>
      <c r="AM44" s="2618"/>
      <c r="AN44" s="2618"/>
      <c r="AO44" s="2619"/>
      <c r="AP44" s="2617"/>
      <c r="AQ44" s="2618"/>
      <c r="AR44" s="2618"/>
      <c r="AS44" s="2619"/>
      <c r="AT44" s="1732" t="s">
        <v>486</v>
      </c>
      <c r="AU44" s="1732" t="s">
        <v>487</v>
      </c>
      <c r="AV44" s="1732" t="s">
        <v>486</v>
      </c>
      <c r="AW44" s="1732" t="s">
        <v>487</v>
      </c>
      <c r="AX44" s="1739" t="s">
        <v>448</v>
      </c>
      <c r="AY44" s="2554" t="s">
        <v>449</v>
      </c>
      <c r="AZ44" s="2555"/>
      <c r="BA44" s="2563"/>
      <c r="BB44" s="2566"/>
      <c r="BC44" s="2411"/>
      <c r="BI44" s="1439">
        <v>14</v>
      </c>
    </row>
    <row s="14730" customFormat="1" customHeight="1" ht="11.25" hidden="1">
      <c r="A45" s="1654"/>
      <c r="B45" s="1654"/>
      <c r="C45" s="1654"/>
      <c r="D45" s="1654"/>
      <c r="E45" s="1654"/>
      <c r="F45" s="1654"/>
      <c r="G45" s="1654"/>
      <c r="H45" s="1654"/>
      <c r="I45" s="1654"/>
      <c r="J45" s="1654"/>
      <c r="K45" s="1654"/>
      <c r="L45" s="1648"/>
      <c r="M45" s="1646"/>
      <c r="N45" s="1646"/>
      <c r="O45" s="1646"/>
      <c r="P45" s="794"/>
      <c r="Q45" s="1538"/>
      <c r="R45" s="1538">
        <v>1</v>
      </c>
      <c r="S45" s="1561" t="s">
        <v>110</v>
      </c>
      <c r="T45" s="1539" t="s">
        <v>111</v>
      </c>
      <c r="U45" s="1529" t="str">
        <f>OFFSET(U45,0,-1)</f>
        <v>2</v>
      </c>
      <c r="V45" s="1735">
        <f>OFFSET(V45,0,-1)+1</f>
        <v>3</v>
      </c>
      <c r="W45" s="1735">
        <f>OFFSET(W45,0,-1)+1</f>
        <v>4</v>
      </c>
      <c r="X45" s="1735">
        <f>OFFSET(X45,0,-1)+1</f>
        <v>5</v>
      </c>
      <c r="Y45" s="1735">
        <f>OFFSET(Y45,0,-1)+1</f>
        <v>6</v>
      </c>
      <c r="Z45" s="1735">
        <f>OFFSET(Z45,0,-1)+1</f>
        <v>7</v>
      </c>
      <c r="AA45" s="2556">
        <f>OFFSET(AA45,0,-1)+1</f>
        <v>8</v>
      </c>
      <c r="AB45" s="2556"/>
      <c r="AC45" s="1735">
        <f>OFFSET(AC45,0,-2)+1</f>
        <v>9</v>
      </c>
      <c r="AD45" s="1735">
        <f>OFFSET(AD45,0,-1)+1</f>
        <v>10</v>
      </c>
      <c r="AE45" s="1735"/>
      <c r="AF45" s="1735"/>
      <c r="AG45" s="1735"/>
      <c r="AH45" s="1735"/>
      <c r="AI45" s="1735"/>
      <c r="AJ45" s="1735"/>
      <c r="AK45" s="1735"/>
      <c r="AL45" s="1735"/>
      <c r="AM45" s="1735"/>
      <c r="AN45" s="1735"/>
      <c r="AO45" s="1735"/>
      <c r="AP45" s="1735"/>
      <c r="AQ45" s="1735"/>
      <c r="AR45" s="1735"/>
      <c r="AS45" s="1735"/>
      <c r="AT45" s="1735"/>
      <c r="AU45" s="1735"/>
      <c r="AV45" s="1735"/>
      <c r="AW45" s="1735">
        <f>OFFSET(AW45,0,-1)+1</f>
        <v>1</v>
      </c>
      <c r="AX45" s="1735">
        <f>OFFSET(AX45,0,-1)+1</f>
        <v>2</v>
      </c>
      <c r="AY45" s="2556">
        <f>OFFSET(AY45,0,-1)+1</f>
        <v>3</v>
      </c>
      <c r="AZ45" s="2556"/>
      <c r="BA45" s="1735">
        <f>OFFSET(BA45,0,-2)+1</f>
        <v>4</v>
      </c>
      <c r="BB45" s="1529">
        <f>OFFSET(BB45,0,-1)</f>
        <v>4</v>
      </c>
      <c r="BC45" s="1735">
        <f>OFFSET(BC45,0,-1)+1</f>
        <v>5</v>
      </c>
      <c r="BD45" s="795"/>
      <c r="BE45" s="795"/>
      <c r="BF45" s="795"/>
      <c r="BG45" s="795"/>
      <c r="BH45" s="795"/>
      <c r="BI45" s="780">
        <v>0</v>
      </c>
    </row>
    <row customHeight="1" ht="22.049999999999997">
      <c r="A46" s="1647" t="s">
        <v>251</v>
      </c>
      <c r="B46" s="1647"/>
      <c r="C46" s="1647"/>
      <c r="D46" s="1647"/>
      <c r="E46" s="2542">
        <v>1</v>
      </c>
      <c r="F46" s="1647"/>
      <c r="G46" s="1647"/>
      <c r="H46" s="1647"/>
      <c r="I46" s="1647"/>
      <c r="J46" s="1647"/>
      <c r="K46" s="1647"/>
      <c r="L46" s="1648"/>
      <c r="M46" s="1649"/>
      <c r="N46" s="1649"/>
      <c r="O46" s="1649"/>
      <c r="P46" s="1693"/>
      <c r="Q46" s="1157"/>
      <c r="R46" s="639"/>
      <c r="S46" s="1741">
        <f>INDEX(PT_DIFFERENTIATION_NUM_NTAR,MATCH(A46,PT_DIFFERENTIATION_NTAR_ID,0))</f>
        <v>0</v>
      </c>
      <c r="T46" s="582" t="s">
        <v>124</v>
      </c>
      <c r="U46" s="584"/>
      <c r="V46" s="2527"/>
      <c r="W46" s="2527"/>
      <c r="X46" s="2527"/>
      <c r="Y46" s="2527"/>
      <c r="Z46" s="2527"/>
      <c r="AA46" s="2527"/>
      <c r="AB46" s="2527"/>
      <c r="AC46" s="2528"/>
      <c r="AD46" s="2526" t="str">
        <f>INDEX(PT_DIFFERENTIATION_NTAR,MATCH(A46,PT_DIFFERENTIATION_NTAR_ID,0))</f>
        <v/>
      </c>
      <c r="AE46" s="2527"/>
      <c r="AF46" s="2527"/>
      <c r="AG46" s="2527"/>
      <c r="AH46" s="2527"/>
      <c r="AI46" s="2527"/>
      <c r="AJ46" s="2527"/>
      <c r="AK46" s="2527"/>
      <c r="AL46" s="2527"/>
      <c r="AM46" s="2527"/>
      <c r="AN46" s="2527"/>
      <c r="AO46" s="2527"/>
      <c r="AP46" s="2527"/>
      <c r="AQ46" s="2527"/>
      <c r="AR46" s="2527"/>
      <c r="AS46" s="2527"/>
      <c r="AT46" s="2527"/>
      <c r="AU46" s="2527"/>
      <c r="AV46" s="2527"/>
      <c r="AW46" s="2527"/>
      <c r="AX46" s="2527"/>
      <c r="AY46" s="2527"/>
      <c r="AZ46" s="2527"/>
      <c r="BA46" s="2527"/>
      <c r="BB46" s="2528"/>
      <c r="BC46" s="154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784"/>
      <c r="BF46" s="784" t="str">
        <f>IF(T46="","",T46)</f>
        <v>Наименование тарифа</v>
      </c>
      <c r="BG46" s="784"/>
      <c r="BH46" s="784"/>
      <c r="BI46" s="1439">
        <v>21</v>
      </c>
    </row>
    <row customHeight="1" ht="22.049999999999997">
      <c r="A47" s="1647" t="s">
        <v>251</v>
      </c>
      <c r="B47" s="1647" t="s">
        <v>252</v>
      </c>
      <c r="C47" s="1647"/>
      <c r="D47" s="1647"/>
      <c r="E47" s="2543"/>
      <c r="F47" s="2542">
        <v>1</v>
      </c>
      <c r="G47" s="1647"/>
      <c r="H47" s="1647"/>
      <c r="I47" s="1647"/>
      <c r="J47" s="1647"/>
      <c r="K47" s="1647"/>
      <c r="L47" s="1648"/>
      <c r="M47" s="1649"/>
      <c r="N47" s="1649"/>
      <c r="O47" s="1649"/>
      <c r="P47" s="1694"/>
      <c r="Q47" s="1695"/>
      <c r="R47" s="637"/>
      <c r="S47" s="1741" t="str">
        <f>INDEX(PT_DIFFERENTIATION_NUM_TER,MATCH(B47,PT_DIFFERENTIATION_TER_ID,0))</f>
        <v>.</v>
      </c>
      <c r="T47" s="592" t="s">
        <v>402</v>
      </c>
      <c r="U47" s="584"/>
      <c r="V47" s="2527"/>
      <c r="W47" s="2527"/>
      <c r="X47" s="2527"/>
      <c r="Y47" s="2527"/>
      <c r="Z47" s="2527"/>
      <c r="AA47" s="2527"/>
      <c r="AB47" s="2527"/>
      <c r="AC47" s="2528"/>
      <c r="AD47" s="2526" t="str">
        <f>INDEX(PT_DIFFERENTIATION_TER,MATCH(B47,PT_DIFFERENTIATION_TER_ID,0))</f>
        <v/>
      </c>
      <c r="AE47" s="2527"/>
      <c r="AF47" s="2527"/>
      <c r="AG47" s="2527"/>
      <c r="AH47" s="2527"/>
      <c r="AI47" s="2527"/>
      <c r="AJ47" s="2527"/>
      <c r="AK47" s="2527"/>
      <c r="AL47" s="2527"/>
      <c r="AM47" s="2527"/>
      <c r="AN47" s="2527"/>
      <c r="AO47" s="2527"/>
      <c r="AP47" s="2527"/>
      <c r="AQ47" s="2527"/>
      <c r="AR47" s="2527"/>
      <c r="AS47" s="2527"/>
      <c r="AT47" s="2527"/>
      <c r="AU47" s="2527"/>
      <c r="AV47" s="2527"/>
      <c r="AW47" s="2527"/>
      <c r="AX47" s="2527"/>
      <c r="AY47" s="2527"/>
      <c r="AZ47" s="2527"/>
      <c r="BA47" s="2527"/>
      <c r="BB47" s="2528"/>
      <c r="BC47" s="1542" t="s">
        <v>403</v>
      </c>
      <c r="BE47" s="784"/>
      <c r="BF47" s="784" t="str">
        <f>IF(T47="","",T47)</f>
        <v>Территория действия тарифа</v>
      </c>
      <c r="BG47" s="784"/>
      <c r="BH47" s="784"/>
      <c r="BI47" s="1439">
        <v>21</v>
      </c>
    </row>
    <row customHeight="1" ht="43.050000000000004">
      <c r="A48" s="1647" t="s">
        <v>251</v>
      </c>
      <c r="B48" s="1647" t="s">
        <v>252</v>
      </c>
      <c r="C48" s="1647" t="s">
        <v>253</v>
      </c>
      <c r="D48" s="1647"/>
      <c r="E48" s="2543"/>
      <c r="F48" s="2543"/>
      <c r="G48" s="2542">
        <v>1</v>
      </c>
      <c r="H48" s="1647"/>
      <c r="I48" s="1647"/>
      <c r="J48" s="1647"/>
      <c r="K48" s="1647"/>
      <c r="L48" s="1648"/>
      <c r="M48" s="1649"/>
      <c r="N48" s="1649"/>
      <c r="O48" s="1649"/>
      <c r="P48" s="1696"/>
      <c r="Q48" s="1695"/>
      <c r="R48" s="637"/>
      <c r="S48" s="1741" t="str">
        <f>INDEX(PT_DIFFERENTIATION_NUM_CS,MATCH(C48,PT_DIFFERENTIATION_CS_ID,0))</f>
        <v>..</v>
      </c>
      <c r="T48" s="593" t="s">
        <v>489</v>
      </c>
      <c r="U48" s="584"/>
      <c r="V48" s="2527"/>
      <c r="W48" s="2527"/>
      <c r="X48" s="2527"/>
      <c r="Y48" s="2527"/>
      <c r="Z48" s="2527"/>
      <c r="AA48" s="2527"/>
      <c r="AB48" s="2527"/>
      <c r="AC48" s="2528"/>
      <c r="AD48" s="2526" t="str">
        <f>INDEX(PT_DIFFERENTIATION_CS,MATCH(C48,PT_DIFFERENTIATION_CS_ID,0))</f>
        <v/>
      </c>
      <c r="AE48" s="2527"/>
      <c r="AF48" s="2527"/>
      <c r="AG48" s="2527"/>
      <c r="AH48" s="2527"/>
      <c r="AI48" s="2527"/>
      <c r="AJ48" s="2527"/>
      <c r="AK48" s="2527"/>
      <c r="AL48" s="2527"/>
      <c r="AM48" s="2527"/>
      <c r="AN48" s="2527"/>
      <c r="AO48" s="2527"/>
      <c r="AP48" s="2527"/>
      <c r="AQ48" s="2527"/>
      <c r="AR48" s="2527"/>
      <c r="AS48" s="2527"/>
      <c r="AT48" s="2527"/>
      <c r="AU48" s="2527"/>
      <c r="AV48" s="2527"/>
      <c r="AW48" s="2527"/>
      <c r="AX48" s="2527"/>
      <c r="AY48" s="2527"/>
      <c r="AZ48" s="2527"/>
      <c r="BA48" s="2527"/>
      <c r="BB48" s="2528"/>
      <c r="BC48" s="1542" t="s">
        <v>490</v>
      </c>
      <c r="BE48" s="784"/>
      <c r="BF48" s="784" t="str">
        <f>IF(T48="","",T48)</f>
        <v>Наименование централизованной системы холодного водоснабжения</v>
      </c>
      <c r="BG48" s="784"/>
      <c r="BH48" s="784"/>
      <c r="BI48" s="1439">
        <v>41</v>
      </c>
    </row>
    <row s="14158" customFormat="1" customHeight="1" ht="0">
      <c r="A49" s="1627" t="s">
        <v>251</v>
      </c>
      <c r="B49" s="1627" t="s">
        <v>252</v>
      </c>
      <c r="C49" s="1627" t="s">
        <v>253</v>
      </c>
      <c r="D49" s="1627" t="s">
        <v>523</v>
      </c>
      <c r="E49" s="2543"/>
      <c r="F49" s="2543"/>
      <c r="G49" s="2543"/>
      <c r="H49" s="2542">
        <v>1</v>
      </c>
      <c r="I49" s="1627"/>
      <c r="J49" s="1627"/>
      <c r="K49" s="1627"/>
      <c r="L49" s="1630"/>
      <c r="M49" s="1599"/>
      <c r="N49" s="1599"/>
      <c r="O49" s="1599"/>
      <c r="P49" s="1781"/>
      <c r="Q49" s="1782"/>
      <c r="R49" s="641"/>
      <c r="S49" s="1326"/>
      <c r="T49" s="1783"/>
      <c r="U49" s="1668"/>
      <c r="V49" s="2581"/>
      <c r="W49" s="2581"/>
      <c r="X49" s="2581"/>
      <c r="Y49" s="2581"/>
      <c r="Z49" s="2581"/>
      <c r="AA49" s="2581"/>
      <c r="AB49" s="2581"/>
      <c r="AC49" s="2582"/>
      <c r="AD49" s="2580"/>
      <c r="AE49" s="2581"/>
      <c r="AF49" s="2581"/>
      <c r="AG49" s="2581"/>
      <c r="AH49" s="2581"/>
      <c r="AI49" s="2581"/>
      <c r="AJ49" s="2581"/>
      <c r="AK49" s="2581"/>
      <c r="AL49" s="2581"/>
      <c r="AM49" s="2581"/>
      <c r="AN49" s="2581"/>
      <c r="AO49" s="2581"/>
      <c r="AP49" s="2581"/>
      <c r="AQ49" s="2581"/>
      <c r="AR49" s="2581"/>
      <c r="AS49" s="2581"/>
      <c r="AT49" s="2581"/>
      <c r="AU49" s="2581"/>
      <c r="AV49" s="2581"/>
      <c r="AW49" s="2581"/>
      <c r="AX49" s="2581"/>
      <c r="AY49" s="2581"/>
      <c r="AZ49" s="2581"/>
      <c r="BA49" s="2581"/>
      <c r="BB49" s="2582"/>
      <c r="BC49" s="1669" t="s">
        <v>407</v>
      </c>
      <c r="BE49" s="784"/>
      <c r="BF49" s="784" t="str">
        <f>IF(T49="","",T49)</f>
        <v/>
      </c>
      <c r="BG49" s="784"/>
      <c r="BH49" s="784"/>
      <c r="BI49" s="795">
        <v>0</v>
      </c>
    </row>
    <row s="14158" customFormat="1" customHeight="1" ht="0">
      <c r="A50" s="1627" t="s">
        <v>251</v>
      </c>
      <c r="B50" s="1627" t="s">
        <v>252</v>
      </c>
      <c r="C50" s="1627" t="s">
        <v>253</v>
      </c>
      <c r="D50" s="1627" t="s">
        <v>523</v>
      </c>
      <c r="E50" s="2543"/>
      <c r="F50" s="2543"/>
      <c r="G50" s="2543"/>
      <c r="H50" s="2543"/>
      <c r="I50" s="2540" t="str">
        <f>S49&amp;".1"</f>
        <v>.1</v>
      </c>
      <c r="J50" s="1627"/>
      <c r="K50" s="1627"/>
      <c r="L50" s="1630" t="s">
        <v>408</v>
      </c>
      <c r="M50" s="794"/>
      <c r="N50" s="794"/>
      <c r="O50" s="794"/>
      <c r="P50" s="2541">
        <v>1</v>
      </c>
      <c r="Q50" s="1746"/>
      <c r="R50" s="640"/>
      <c r="S50" s="1326"/>
      <c r="T50" s="1667"/>
      <c r="U50" s="1668"/>
      <c r="V50" s="2581"/>
      <c r="W50" s="2581"/>
      <c r="X50" s="2581"/>
      <c r="Y50" s="2581"/>
      <c r="Z50" s="2581"/>
      <c r="AA50" s="2581"/>
      <c r="AB50" s="2581"/>
      <c r="AC50" s="2582"/>
      <c r="AD50" s="2580"/>
      <c r="AE50" s="2581"/>
      <c r="AF50" s="2581"/>
      <c r="AG50" s="2581"/>
      <c r="AH50" s="2581"/>
      <c r="AI50" s="2581"/>
      <c r="AJ50" s="2581"/>
      <c r="AK50" s="2581"/>
      <c r="AL50" s="2581"/>
      <c r="AM50" s="2581"/>
      <c r="AN50" s="2581"/>
      <c r="AO50" s="2581"/>
      <c r="AP50" s="2581"/>
      <c r="AQ50" s="2581"/>
      <c r="AR50" s="2581"/>
      <c r="AS50" s="2581"/>
      <c r="AT50" s="2581"/>
      <c r="AU50" s="2581"/>
      <c r="AV50" s="2581"/>
      <c r="AW50" s="2581"/>
      <c r="AX50" s="2581"/>
      <c r="AY50" s="2581"/>
      <c r="AZ50" s="2581"/>
      <c r="BA50" s="2581"/>
      <c r="BB50" s="2582"/>
      <c r="BC50" s="1669"/>
      <c r="BE50" s="784"/>
      <c r="BF50" s="784" t="str">
        <f>IF(T50="","",T50)</f>
        <v/>
      </c>
      <c r="BG50" s="784"/>
      <c r="BH50" s="784"/>
      <c r="BI50" s="795">
        <v>0</v>
      </c>
    </row>
    <row s="14158" customFormat="1" customHeight="1" ht="0">
      <c r="A51" s="1627" t="s">
        <v>251</v>
      </c>
      <c r="B51" s="1627" t="s">
        <v>252</v>
      </c>
      <c r="C51" s="1627" t="s">
        <v>253</v>
      </c>
      <c r="D51" s="1627" t="s">
        <v>523</v>
      </c>
      <c r="E51" s="2543"/>
      <c r="F51" s="2543"/>
      <c r="G51" s="2543"/>
      <c r="H51" s="2543"/>
      <c r="I51" s="2570"/>
      <c r="J51" s="2540" t="str">
        <f>S49&amp;".1"</f>
        <v>.1</v>
      </c>
      <c r="K51" s="1627"/>
      <c r="L51" s="1630"/>
      <c r="M51" s="794"/>
      <c r="N51" s="794"/>
      <c r="O51" s="794"/>
      <c r="P51" s="2541"/>
      <c r="Q51" s="2541">
        <v>1</v>
      </c>
      <c r="R51" s="641"/>
      <c r="S51" s="1326"/>
      <c r="T51" s="1683"/>
      <c r="U51" s="1668"/>
      <c r="V51" s="2581"/>
      <c r="W51" s="2581"/>
      <c r="X51" s="2581"/>
      <c r="Y51" s="2581"/>
      <c r="Z51" s="2581"/>
      <c r="AA51" s="2581"/>
      <c r="AB51" s="2581"/>
      <c r="AC51" s="2582"/>
      <c r="AD51" s="2580"/>
      <c r="AE51" s="2581"/>
      <c r="AF51" s="2581"/>
      <c r="AG51" s="2581"/>
      <c r="AH51" s="2581"/>
      <c r="AI51" s="2581"/>
      <c r="AJ51" s="2581"/>
      <c r="AK51" s="2581"/>
      <c r="AL51" s="2581"/>
      <c r="AM51" s="2581"/>
      <c r="AN51" s="2648"/>
      <c r="AO51" s="2648"/>
      <c r="AP51" s="2581"/>
      <c r="AQ51" s="2581"/>
      <c r="AR51" s="2581"/>
      <c r="AS51" s="2581"/>
      <c r="AT51" s="2581"/>
      <c r="AU51" s="2581"/>
      <c r="AV51" s="2581"/>
      <c r="AW51" s="2581"/>
      <c r="AX51" s="2581"/>
      <c r="AY51" s="2581"/>
      <c r="AZ51" s="2581"/>
      <c r="BA51" s="2581"/>
      <c r="BB51" s="2582"/>
      <c r="BC51" s="1669"/>
      <c r="BE51" s="784"/>
      <c r="BF51" s="784" t="str">
        <f>IF(T51="","",T51)</f>
        <v/>
      </c>
      <c r="BG51" s="784"/>
      <c r="BH51" s="784"/>
      <c r="BI51" s="795">
        <v>0</v>
      </c>
    </row>
    <row customHeight="1" ht="11.549999999999999">
      <c r="A52" s="1647" t="s">
        <v>251</v>
      </c>
      <c r="B52" s="1647" t="s">
        <v>252</v>
      </c>
      <c r="C52" s="1647" t="s">
        <v>253</v>
      </c>
      <c r="D52" s="1647" t="s">
        <v>523</v>
      </c>
      <c r="E52" s="2543"/>
      <c r="F52" s="2543"/>
      <c r="G52" s="2543"/>
      <c r="H52" s="2543"/>
      <c r="I52" s="2570"/>
      <c r="J52" s="2570"/>
      <c r="K52" s="2540" t="str">
        <f>S48&amp;".1"</f>
        <v>...1</v>
      </c>
      <c r="L52" s="1648"/>
      <c r="P52" s="2541"/>
      <c r="Q52" s="2541"/>
      <c r="R52" s="641">
        <v>1</v>
      </c>
      <c r="S52" s="2625" t="str">
        <f>$K52</f>
        <v>...1</v>
      </c>
      <c r="T52" s="2644"/>
      <c r="U52" s="584"/>
      <c r="V52" s="1035"/>
      <c r="W52" s="1541"/>
      <c r="X52" s="1035"/>
      <c r="Y52" s="1541"/>
      <c r="Z52" s="2018"/>
      <c r="AA52" s="1743" t="s">
        <v>67</v>
      </c>
      <c r="AB52" s="2018"/>
      <c r="AC52" s="1743" t="s">
        <v>67</v>
      </c>
      <c r="AD52" s="2469" t="s">
        <v>67</v>
      </c>
      <c r="AE52" s="2610"/>
      <c r="AF52" s="2489">
        <v>1</v>
      </c>
      <c r="AG52" s="2647"/>
      <c r="AH52" s="2391" t="s">
        <v>67</v>
      </c>
      <c r="AI52" s="2610"/>
      <c r="AJ52" s="2489">
        <v>1</v>
      </c>
      <c r="AK52" s="2611" t="s">
        <v>28</v>
      </c>
      <c r="AL52" s="2391" t="s">
        <v>67</v>
      </c>
      <c r="AM52" s="2476"/>
      <c r="AN52" s="2489">
        <v>1</v>
      </c>
      <c r="AO52" s="2641"/>
      <c r="AP52" s="2642" t="s">
        <v>67</v>
      </c>
      <c r="AQ52" s="595"/>
      <c r="AR52" s="1747">
        <v>1</v>
      </c>
      <c r="AS52" s="1750" t="s">
        <v>28</v>
      </c>
      <c r="AT52" s="1035"/>
      <c r="AU52" s="1541"/>
      <c r="AV52" s="1035"/>
      <c r="AW52" s="1541"/>
      <c r="AX52" s="2018"/>
      <c r="AY52" s="1743" t="s">
        <v>67</v>
      </c>
      <c r="AZ52" s="2018"/>
      <c r="BA52" s="1743" t="s">
        <v>67</v>
      </c>
      <c r="BB52" s="1632"/>
      <c r="BC52" s="2537" t="s">
        <v>509</v>
      </c>
      <c r="BE52" s="784"/>
      <c r="BF52" s="784" t="str">
        <f>IF(T52="","",T52)</f>
        <v/>
      </c>
      <c r="BG52" s="784"/>
      <c r="BH52" s="784"/>
      <c r="BI52" s="1439">
        <v>11</v>
      </c>
    </row>
    <row customHeight="1" ht="11.549999999999999">
      <c r="A53" s="1647"/>
      <c r="B53" s="1647"/>
      <c r="C53" s="1647"/>
      <c r="D53" s="1647"/>
      <c r="E53" s="2543"/>
      <c r="F53" s="2543"/>
      <c r="G53" s="2543"/>
      <c r="H53" s="2543"/>
      <c r="I53" s="2570"/>
      <c r="J53" s="2570"/>
      <c r="K53" s="2540"/>
      <c r="L53" s="1648"/>
      <c r="P53" s="2541"/>
      <c r="Q53" s="2541"/>
      <c r="R53" s="641"/>
      <c r="S53" s="2626"/>
      <c r="T53" s="2645"/>
      <c r="U53" s="584"/>
      <c r="V53" s="1677"/>
      <c r="W53" s="1780"/>
      <c r="X53" s="1677"/>
      <c r="Y53" s="1780"/>
      <c r="Z53" s="1677"/>
      <c r="AA53" s="1677"/>
      <c r="AB53" s="1677"/>
      <c r="AC53" s="1677"/>
      <c r="AD53" s="2470"/>
      <c r="AE53" s="2610"/>
      <c r="AF53" s="2489"/>
      <c r="AG53" s="2647"/>
      <c r="AH53" s="2391"/>
      <c r="AI53" s="2610"/>
      <c r="AJ53" s="2489"/>
      <c r="AK53" s="2611"/>
      <c r="AL53" s="2391"/>
      <c r="AM53" s="2484"/>
      <c r="AN53" s="2489"/>
      <c r="AO53" s="2641"/>
      <c r="AP53" s="2643"/>
      <c r="AQ53" s="600"/>
      <c r="AR53" s="700"/>
      <c r="AS53" s="700" t="s">
        <v>510</v>
      </c>
      <c r="AT53" s="1677"/>
      <c r="AU53" s="1780"/>
      <c r="AV53" s="1677"/>
      <c r="AW53" s="1780"/>
      <c r="AX53" s="1677"/>
      <c r="AY53" s="1677"/>
      <c r="AZ53" s="1677"/>
      <c r="BA53" s="1677"/>
      <c r="BB53" s="1681"/>
      <c r="BC53" s="2538"/>
      <c r="BE53" s="784"/>
      <c r="BF53" s="784"/>
      <c r="BG53" s="784"/>
      <c r="BH53" s="784"/>
      <c r="BI53" s="1439">
        <v>11</v>
      </c>
    </row>
    <row customHeight="1" ht="11.549999999999999">
      <c r="A54" s="1647" t="s">
        <v>251</v>
      </c>
      <c r="B54" s="1647"/>
      <c r="C54" s="1647"/>
      <c r="D54" s="1647"/>
      <c r="E54" s="2543"/>
      <c r="F54" s="2543"/>
      <c r="G54" s="2543"/>
      <c r="H54" s="2543"/>
      <c r="I54" s="2570"/>
      <c r="J54" s="2570"/>
      <c r="K54" s="2540"/>
      <c r="L54" s="1648"/>
      <c r="P54" s="2541"/>
      <c r="Q54" s="2541"/>
      <c r="R54" s="641"/>
      <c r="S54" s="2626"/>
      <c r="T54" s="2645"/>
      <c r="U54" s="584"/>
      <c r="V54" s="1677"/>
      <c r="W54" s="1780"/>
      <c r="X54" s="1677"/>
      <c r="Y54" s="1780"/>
      <c r="Z54" s="1677"/>
      <c r="AA54" s="1677"/>
      <c r="AB54" s="1677"/>
      <c r="AC54" s="1677"/>
      <c r="AD54" s="2470"/>
      <c r="AE54" s="2610"/>
      <c r="AF54" s="2489"/>
      <c r="AG54" s="2647"/>
      <c r="AH54" s="2391"/>
      <c r="AI54" s="2610"/>
      <c r="AJ54" s="2489"/>
      <c r="AK54" s="2611"/>
      <c r="AL54" s="2391"/>
      <c r="AM54" s="600"/>
      <c r="AN54" s="1784"/>
      <c r="AO54" s="1784" t="s">
        <v>511</v>
      </c>
      <c r="AP54" s="700"/>
      <c r="AQ54" s="700"/>
      <c r="AR54" s="700"/>
      <c r="AS54" s="1677"/>
      <c r="AT54" s="1677"/>
      <c r="AU54" s="1780"/>
      <c r="AV54" s="1677"/>
      <c r="AW54" s="1780"/>
      <c r="AX54" s="1677"/>
      <c r="AY54" s="1677"/>
      <c r="AZ54" s="1677"/>
      <c r="BA54" s="1677"/>
      <c r="BB54" s="1681"/>
      <c r="BC54" s="2538"/>
      <c r="BE54" s="784"/>
      <c r="BF54" s="784"/>
      <c r="BG54" s="784"/>
      <c r="BH54" s="784"/>
      <c r="BI54" s="1439">
        <v>11</v>
      </c>
    </row>
    <row customHeight="1" ht="11.549999999999999">
      <c r="A55" s="1647" t="s">
        <v>251</v>
      </c>
      <c r="B55" s="1647"/>
      <c r="C55" s="1647"/>
      <c r="D55" s="1647"/>
      <c r="E55" s="2543"/>
      <c r="F55" s="2543"/>
      <c r="G55" s="2543"/>
      <c r="H55" s="2543"/>
      <c r="I55" s="2570"/>
      <c r="J55" s="2570"/>
      <c r="K55" s="2540"/>
      <c r="L55" s="1648"/>
      <c r="P55" s="2541"/>
      <c r="Q55" s="2541"/>
      <c r="R55" s="641"/>
      <c r="S55" s="2626"/>
      <c r="T55" s="2645"/>
      <c r="U55" s="584"/>
      <c r="V55" s="1677"/>
      <c r="W55" s="1780"/>
      <c r="X55" s="1677"/>
      <c r="Y55" s="1780"/>
      <c r="Z55" s="1677"/>
      <c r="AA55" s="1677"/>
      <c r="AB55" s="1677"/>
      <c r="AC55" s="1677"/>
      <c r="AD55" s="2470"/>
      <c r="AE55" s="2610"/>
      <c r="AF55" s="2489"/>
      <c r="AG55" s="2647"/>
      <c r="AH55" s="2391"/>
      <c r="AI55" s="578"/>
      <c r="AJ55" s="699"/>
      <c r="AK55" s="597" t="s">
        <v>512</v>
      </c>
      <c r="AL55" s="1677"/>
      <c r="AM55" s="1677"/>
      <c r="AN55" s="1677"/>
      <c r="AO55" s="1677"/>
      <c r="AP55" s="1677"/>
      <c r="AQ55" s="1677"/>
      <c r="AR55" s="1677"/>
      <c r="AS55" s="1677"/>
      <c r="AT55" s="1677"/>
      <c r="AU55" s="1780"/>
      <c r="AV55" s="1677"/>
      <c r="AW55" s="1780"/>
      <c r="AX55" s="1677"/>
      <c r="AY55" s="1677"/>
      <c r="AZ55" s="1677"/>
      <c r="BA55" s="1677"/>
      <c r="BB55" s="1681"/>
      <c r="BC55" s="2538"/>
      <c r="BE55" s="784"/>
      <c r="BF55" s="784"/>
      <c r="BG55" s="784"/>
      <c r="BH55" s="784"/>
      <c r="BI55" s="1439">
        <v>11</v>
      </c>
    </row>
    <row customHeight="1" ht="11.549999999999999">
      <c r="A56" s="1647" t="s">
        <v>251</v>
      </c>
      <c r="B56" s="1647" t="s">
        <v>252</v>
      </c>
      <c r="C56" s="1647" t="s">
        <v>253</v>
      </c>
      <c r="D56" s="1647" t="s">
        <v>523</v>
      </c>
      <c r="E56" s="2543"/>
      <c r="F56" s="2543"/>
      <c r="G56" s="2543"/>
      <c r="H56" s="2543"/>
      <c r="I56" s="2570"/>
      <c r="J56" s="2570"/>
      <c r="K56" s="2540"/>
      <c r="L56" s="1648"/>
      <c r="P56" s="2541"/>
      <c r="Q56" s="2541"/>
      <c r="R56" s="641"/>
      <c r="S56" s="2627"/>
      <c r="T56" s="2646"/>
      <c r="U56" s="584"/>
      <c r="V56" s="1677"/>
      <c r="W56" s="1678" t="str">
        <f>Z52&amp;"-"&amp;AB52</f>
        <v>-</v>
      </c>
      <c r="X56" s="1677"/>
      <c r="Y56" s="1678" t="str">
        <f>AB52&amp;"-"&amp;AD52</f>
        <v>-да</v>
      </c>
      <c r="Z56" s="1677"/>
      <c r="AA56" s="1677"/>
      <c r="AB56" s="1677"/>
      <c r="AC56" s="1677"/>
      <c r="AD56" s="2396"/>
      <c r="AE56" s="596"/>
      <c r="AF56" s="598"/>
      <c r="AG56" s="700" t="s">
        <v>513</v>
      </c>
      <c r="AH56" s="1677"/>
      <c r="AI56" s="1677"/>
      <c r="AJ56" s="1677"/>
      <c r="AK56" s="1677"/>
      <c r="AL56" s="1677"/>
      <c r="AM56" s="1677"/>
      <c r="AN56" s="1677"/>
      <c r="AO56" s="1677"/>
      <c r="AP56" s="1677"/>
      <c r="AQ56" s="1677"/>
      <c r="AR56" s="1677"/>
      <c r="AS56" s="1677"/>
      <c r="AT56" s="1677"/>
      <c r="AU56" s="1678" t="str">
        <f>AX52&amp;"-"&amp;AZ52</f>
        <v>-</v>
      </c>
      <c r="AV56" s="1677"/>
      <c r="AW56" s="1678" t="str">
        <f>AZ52&amp;"-"&amp;BB52</f>
        <v>-</v>
      </c>
      <c r="AX56" s="1677"/>
      <c r="AY56" s="1677"/>
      <c r="AZ56" s="1677"/>
      <c r="BA56" s="1677"/>
      <c r="BB56" s="1680" t="str">
        <f>BE52&amp;"-"&amp;BG52</f>
        <v>-</v>
      </c>
      <c r="BC56" s="2538"/>
      <c r="BE56" s="784"/>
      <c r="BF56" s="784" t="str">
        <f>IF(T56="","",T56)</f>
        <v/>
      </c>
      <c r="BG56" s="784"/>
      <c r="BH56" s="784"/>
      <c r="BI56" s="1439">
        <v>11</v>
      </c>
    </row>
    <row customHeight="1" ht="11.549999999999999">
      <c r="A57" s="1647" t="s">
        <v>251</v>
      </c>
      <c r="B57" s="1647" t="s">
        <v>252</v>
      </c>
      <c r="C57" s="1647" t="s">
        <v>253</v>
      </c>
      <c r="D57" s="1647" t="s">
        <v>523</v>
      </c>
      <c r="E57" s="2543"/>
      <c r="F57" s="2543"/>
      <c r="G57" s="2543"/>
      <c r="H57" s="2543"/>
      <c r="I57" s="2570"/>
      <c r="J57" s="2540"/>
      <c r="K57" s="1647"/>
      <c r="L57" s="1648"/>
      <c r="P57" s="2541"/>
      <c r="Q57" s="2541"/>
      <c r="R57" s="640"/>
      <c r="S57" s="1562"/>
      <c r="T57" s="571" t="s">
        <v>476</v>
      </c>
      <c r="U57" s="651"/>
      <c r="V57" s="651"/>
      <c r="W57" s="651"/>
      <c r="X57" s="651"/>
      <c r="Y57" s="651"/>
      <c r="Z57" s="651"/>
      <c r="AA57" s="651"/>
      <c r="AB57" s="651"/>
      <c r="AC57" s="608"/>
      <c r="AD57" s="1789"/>
      <c r="AE57" s="651"/>
      <c r="AF57" s="651"/>
      <c r="AG57" s="651"/>
      <c r="AH57" s="651"/>
      <c r="AI57" s="651"/>
      <c r="AJ57" s="651"/>
      <c r="AK57" s="651"/>
      <c r="AL57" s="651"/>
      <c r="AM57" s="651"/>
      <c r="AN57" s="651"/>
      <c r="AO57" s="651"/>
      <c r="AP57" s="651"/>
      <c r="AQ57" s="651"/>
      <c r="AR57" s="651"/>
      <c r="AS57" s="651"/>
      <c r="AT57" s="651"/>
      <c r="AU57" s="651"/>
      <c r="AV57" s="651"/>
      <c r="AW57" s="651"/>
      <c r="AX57" s="651"/>
      <c r="AY57" s="651"/>
      <c r="AZ57" s="651"/>
      <c r="BA57" s="651"/>
      <c r="BB57" s="608"/>
      <c r="BC57" s="2539"/>
      <c r="BE57" s="784"/>
      <c r="BF57" s="784" t="str">
        <f>IF(T57="","",T57)</f>
        <v>Добавить строку</v>
      </c>
      <c r="BG57" s="784"/>
      <c r="BH57" s="784"/>
      <c r="BI57" s="1439">
        <v>11</v>
      </c>
    </row>
    <row s="14158" customFormat="1" customHeight="1" ht="0">
      <c r="A58" s="1627" t="s">
        <v>251</v>
      </c>
      <c r="B58" s="1627" t="s">
        <v>252</v>
      </c>
      <c r="C58" s="1627" t="s">
        <v>253</v>
      </c>
      <c r="D58" s="1627" t="s">
        <v>523</v>
      </c>
      <c r="E58" s="2543"/>
      <c r="F58" s="2543"/>
      <c r="G58" s="2543"/>
      <c r="H58" s="2543"/>
      <c r="I58" s="2540"/>
      <c r="J58" s="1627"/>
      <c r="K58" s="1627"/>
      <c r="L58" s="1630"/>
      <c r="M58" s="794"/>
      <c r="N58" s="794"/>
      <c r="O58" s="794"/>
      <c r="P58" s="2541"/>
      <c r="Q58" s="1746"/>
      <c r="R58" s="640"/>
      <c r="S58" s="1670"/>
      <c r="T58" s="1671"/>
      <c r="U58" s="1672"/>
      <c r="V58" s="1672"/>
      <c r="W58" s="1672"/>
      <c r="X58" s="1672"/>
      <c r="Y58" s="1672"/>
      <c r="Z58" s="1672"/>
      <c r="AA58" s="1672"/>
      <c r="AB58" s="1672"/>
      <c r="AC58" s="1672"/>
      <c r="AD58" s="1672"/>
      <c r="AE58" s="1672"/>
      <c r="AF58" s="1672"/>
      <c r="AG58" s="1672"/>
      <c r="AH58" s="1672"/>
      <c r="AI58" s="1672"/>
      <c r="AJ58" s="1672"/>
      <c r="AK58" s="1672"/>
      <c r="AL58" s="1672"/>
      <c r="AM58" s="1672"/>
      <c r="AN58" s="1672"/>
      <c r="AO58" s="1672"/>
      <c r="AP58" s="1672"/>
      <c r="AQ58" s="1672"/>
      <c r="AR58" s="1672"/>
      <c r="AS58" s="1672"/>
      <c r="AT58" s="1672"/>
      <c r="AU58" s="1672"/>
      <c r="AV58" s="1672"/>
      <c r="AW58" s="1672"/>
      <c r="AX58" s="1672"/>
      <c r="AY58" s="1672"/>
      <c r="AZ58" s="1672"/>
      <c r="BA58" s="1672"/>
      <c r="BB58" s="1672"/>
      <c r="BC58" s="1673"/>
      <c r="BE58" s="784"/>
      <c r="BF58" s="784" t="str">
        <f>IF(T58="","",T58)</f>
        <v/>
      </c>
      <c r="BG58" s="784"/>
      <c r="BH58" s="784"/>
      <c r="BI58" s="795">
        <v>0</v>
      </c>
    </row>
    <row s="14158" customFormat="1" customHeight="1" ht="0">
      <c r="A59" s="1627" t="s">
        <v>251</v>
      </c>
      <c r="B59" s="1627" t="s">
        <v>252</v>
      </c>
      <c r="C59" s="1627" t="s">
        <v>253</v>
      </c>
      <c r="D59" s="1627" t="s">
        <v>523</v>
      </c>
      <c r="E59" s="2543"/>
      <c r="F59" s="2543"/>
      <c r="G59" s="2543"/>
      <c r="H59" s="2542"/>
      <c r="I59" s="1627"/>
      <c r="J59" s="1627"/>
      <c r="K59" s="1627"/>
      <c r="L59" s="1630"/>
      <c r="M59" s="1599"/>
      <c r="N59" s="1599"/>
      <c r="O59" s="802"/>
      <c r="P59" s="664"/>
      <c r="Q59" s="1628"/>
      <c r="R59" s="1685"/>
      <c r="S59" s="1670"/>
      <c r="T59" s="1671"/>
      <c r="U59" s="1672"/>
      <c r="V59" s="1672"/>
      <c r="W59" s="1672"/>
      <c r="X59" s="1672"/>
      <c r="Y59" s="1672"/>
      <c r="Z59" s="1672"/>
      <c r="AA59" s="1672"/>
      <c r="AB59" s="1672"/>
      <c r="AC59" s="1672"/>
      <c r="AD59" s="1672"/>
      <c r="AE59" s="1672"/>
      <c r="AF59" s="1672"/>
      <c r="AG59" s="1672"/>
      <c r="AH59" s="1672"/>
      <c r="AI59" s="1672"/>
      <c r="AJ59" s="1672"/>
      <c r="AK59" s="1672"/>
      <c r="AL59" s="1672"/>
      <c r="AM59" s="1672"/>
      <c r="AN59" s="1672"/>
      <c r="AO59" s="1672"/>
      <c r="AP59" s="1672"/>
      <c r="AQ59" s="1672"/>
      <c r="AR59" s="1672"/>
      <c r="AS59" s="1672"/>
      <c r="AT59" s="1672"/>
      <c r="AU59" s="1672"/>
      <c r="AV59" s="1672"/>
      <c r="AW59" s="1672"/>
      <c r="AX59" s="1672"/>
      <c r="AY59" s="1672"/>
      <c r="AZ59" s="1672"/>
      <c r="BA59" s="1672"/>
      <c r="BB59" s="1672"/>
      <c r="BC59" s="1673"/>
      <c r="BE59" s="784"/>
      <c r="BF59" s="784" t="str">
        <f>IF(T59="","",T59)</f>
        <v/>
      </c>
      <c r="BG59" s="784"/>
      <c r="BH59" s="784"/>
      <c r="BI59" s="795">
        <v>0</v>
      </c>
    </row>
    <row s="14158" customFormat="1" customHeight="1" ht="0">
      <c r="A60" s="1627" t="s">
        <v>251</v>
      </c>
      <c r="B60" s="1627" t="s">
        <v>252</v>
      </c>
      <c r="C60" s="1627" t="s">
        <v>253</v>
      </c>
      <c r="D60" s="1598"/>
      <c r="E60" s="2543"/>
      <c r="F60" s="2543"/>
      <c r="G60" s="2542"/>
      <c r="H60" s="1598"/>
      <c r="I60" s="1598"/>
      <c r="J60" s="1598"/>
      <c r="K60" s="1598"/>
      <c r="L60" s="1748"/>
      <c r="M60" s="1599"/>
      <c r="N60" s="1599"/>
      <c r="P60" s="1600"/>
      <c r="Q60" s="1601"/>
      <c r="R60" s="1600"/>
      <c r="S60" s="1606"/>
      <c r="T60" s="1609"/>
      <c r="U60" s="1608"/>
      <c r="V60" s="1608"/>
      <c r="W60" s="1608"/>
      <c r="X60" s="1608"/>
      <c r="Y60" s="1608"/>
      <c r="Z60" s="1608"/>
      <c r="AA60" s="1608"/>
      <c r="AB60" s="1608"/>
      <c r="AC60" s="1608"/>
      <c r="AD60" s="1608"/>
      <c r="AE60" s="1608"/>
      <c r="AF60" s="1608"/>
      <c r="AG60" s="1608"/>
      <c r="AH60" s="1608"/>
      <c r="AI60" s="1608"/>
      <c r="AJ60" s="1608"/>
      <c r="AK60" s="1608"/>
      <c r="AL60" s="1608"/>
      <c r="AM60" s="1608"/>
      <c r="AN60" s="1608"/>
      <c r="AO60" s="1608"/>
      <c r="AP60" s="1608"/>
      <c r="AQ60" s="1608"/>
      <c r="AR60" s="1608"/>
      <c r="AS60" s="1608"/>
      <c r="AT60" s="1608"/>
      <c r="AU60" s="1608"/>
      <c r="AV60" s="1608"/>
      <c r="AW60" s="1608"/>
      <c r="AX60" s="1608"/>
      <c r="AY60" s="1608"/>
      <c r="AZ60" s="1608"/>
      <c r="BA60" s="1608"/>
      <c r="BB60" s="1608"/>
      <c r="BC60" s="1608"/>
      <c r="BE60" s="1073"/>
      <c r="BF60" s="1073" t="str">
        <f>IF(T60="","",T60)</f>
        <v/>
      </c>
      <c r="BG60" s="1073"/>
      <c r="BH60" s="1073"/>
      <c r="BI60" s="802">
        <v>0</v>
      </c>
    </row>
    <row s="14158" customFormat="1" customHeight="1" ht="0">
      <c r="A61" s="1627" t="s">
        <v>251</v>
      </c>
      <c r="B61" s="1627" t="s">
        <v>252</v>
      </c>
      <c r="C61" s="1598"/>
      <c r="D61" s="1598"/>
      <c r="E61" s="2543"/>
      <c r="F61" s="2542"/>
      <c r="G61" s="1598"/>
      <c r="H61" s="1598"/>
      <c r="I61" s="1598"/>
      <c r="J61" s="1598"/>
      <c r="K61" s="1598"/>
      <c r="L61" s="1748"/>
      <c r="M61" s="1605"/>
      <c r="N61" s="1605"/>
      <c r="P61" s="1600"/>
      <c r="Q61" s="1601"/>
      <c r="R61" s="1600"/>
      <c r="S61" s="1606"/>
      <c r="T61" s="1609" t="s">
        <v>170</v>
      </c>
      <c r="U61" s="1608"/>
      <c r="V61" s="1608"/>
      <c r="W61" s="1608"/>
      <c r="X61" s="1608"/>
      <c r="Y61" s="1608"/>
      <c r="Z61" s="1608"/>
      <c r="AA61" s="1608"/>
      <c r="AB61" s="1608"/>
      <c r="AC61" s="1608"/>
      <c r="AD61" s="1608"/>
      <c r="AE61" s="1608"/>
      <c r="AF61" s="1608"/>
      <c r="AG61" s="1608"/>
      <c r="AH61" s="1608"/>
      <c r="AI61" s="1608"/>
      <c r="AJ61" s="1608"/>
      <c r="AK61" s="1608"/>
      <c r="AL61" s="1608"/>
      <c r="AM61" s="1608"/>
      <c r="AN61" s="1608"/>
      <c r="AO61" s="1608"/>
      <c r="AP61" s="1608"/>
      <c r="AQ61" s="1608"/>
      <c r="AR61" s="1608"/>
      <c r="AS61" s="1608"/>
      <c r="AT61" s="1608"/>
      <c r="AU61" s="1608"/>
      <c r="AV61" s="1608"/>
      <c r="AW61" s="1608"/>
      <c r="AX61" s="1608"/>
      <c r="AY61" s="1608"/>
      <c r="AZ61" s="1608"/>
      <c r="BA61" s="1608"/>
      <c r="BB61" s="1608"/>
      <c r="BC61" s="1608"/>
      <c r="BE61" s="1073"/>
      <c r="BF61" s="1073" t="str">
        <f>IF(T61="","",T61)</f>
        <v>Добавить централизованную систему для дифференциации</v>
      </c>
      <c r="BG61" s="1073"/>
      <c r="BH61" s="1073"/>
      <c r="BI61" s="802">
        <v>0</v>
      </c>
    </row>
    <row s="14158" customFormat="1" customHeight="1" ht="0">
      <c r="A62" s="1627" t="s">
        <v>251</v>
      </c>
      <c r="B62" s="1627"/>
      <c r="C62" s="1627"/>
      <c r="D62" s="1627"/>
      <c r="E62" s="2542"/>
      <c r="F62" s="1627"/>
      <c r="G62" s="1627"/>
      <c r="H62" s="1627"/>
      <c r="I62" s="1627"/>
      <c r="J62" s="1627"/>
      <c r="K62" s="1627"/>
      <c r="L62" s="1630"/>
      <c r="M62" s="1605"/>
      <c r="N62" s="1605"/>
      <c r="O62" s="802"/>
      <c r="P62" s="664"/>
      <c r="Q62" s="1628"/>
      <c r="R62" s="664"/>
      <c r="S62" s="1606"/>
      <c r="T62" s="1609" t="s">
        <v>171</v>
      </c>
      <c r="U62" s="1608"/>
      <c r="V62" s="1608"/>
      <c r="W62" s="1608"/>
      <c r="X62" s="1608"/>
      <c r="Y62" s="1608"/>
      <c r="Z62" s="1608"/>
      <c r="AA62" s="1608"/>
      <c r="AB62" s="1608"/>
      <c r="AC62" s="1608"/>
      <c r="AD62" s="1608"/>
      <c r="AE62" s="1608"/>
      <c r="AF62" s="1608"/>
      <c r="AG62" s="1608"/>
      <c r="AH62" s="1608"/>
      <c r="AI62" s="1608"/>
      <c r="AJ62" s="1608"/>
      <c r="AK62" s="1608"/>
      <c r="AL62" s="1608"/>
      <c r="AM62" s="1608"/>
      <c r="AN62" s="1608"/>
      <c r="AO62" s="1608"/>
      <c r="AP62" s="1608"/>
      <c r="AQ62" s="1608"/>
      <c r="AR62" s="1608"/>
      <c r="AS62" s="1608"/>
      <c r="AT62" s="1608"/>
      <c r="AU62" s="1608"/>
      <c r="AV62" s="1608"/>
      <c r="AW62" s="1608"/>
      <c r="AX62" s="1608"/>
      <c r="AY62" s="1608"/>
      <c r="AZ62" s="1608"/>
      <c r="BA62" s="1608"/>
      <c r="BB62" s="1608"/>
      <c r="BC62" s="1608"/>
      <c r="BE62" s="784"/>
      <c r="BF62" s="784" t="str">
        <f>IF(T62="","",T62)</f>
        <v>Добавить территорию для дифференциации</v>
      </c>
      <c r="BG62" s="784"/>
      <c r="BH62" s="784"/>
      <c r="BI62" s="795">
        <v>0</v>
      </c>
    </row>
    <row s="14158" customFormat="1" customHeight="1" ht="0">
      <c r="A63" s="1598"/>
      <c r="B63" s="1598"/>
      <c r="C63" s="1598"/>
      <c r="D63" s="1598"/>
      <c r="E63" s="1627"/>
      <c r="F63" s="1598"/>
      <c r="G63" s="1598"/>
      <c r="H63" s="1598"/>
      <c r="I63" s="1598"/>
      <c r="J63" s="1598"/>
      <c r="K63" s="1598"/>
      <c r="L63" s="1748"/>
      <c r="M63" s="1605"/>
      <c r="N63" s="1605"/>
      <c r="P63" s="1600"/>
      <c r="Q63" s="1601"/>
      <c r="R63" s="1600"/>
      <c r="S63" s="1606"/>
      <c r="T63" s="1609" t="s">
        <v>172</v>
      </c>
      <c r="U63" s="1608"/>
      <c r="V63" s="1608"/>
      <c r="W63" s="1608"/>
      <c r="X63" s="1608"/>
      <c r="Y63" s="1608"/>
      <c r="Z63" s="1608"/>
      <c r="AA63" s="1608"/>
      <c r="AB63" s="1608"/>
      <c r="AC63" s="1608"/>
      <c r="AD63" s="1608"/>
      <c r="AE63" s="1608"/>
      <c r="AF63" s="1608"/>
      <c r="AG63" s="1608"/>
      <c r="AH63" s="1608"/>
      <c r="AI63" s="1608"/>
      <c r="AJ63" s="1608"/>
      <c r="AK63" s="1608"/>
      <c r="AL63" s="1608"/>
      <c r="AM63" s="1608"/>
      <c r="AN63" s="1608"/>
      <c r="AO63" s="1608"/>
      <c r="AP63" s="1608"/>
      <c r="AQ63" s="1608"/>
      <c r="AR63" s="1608"/>
      <c r="AS63" s="1608"/>
      <c r="AT63" s="1608"/>
      <c r="AU63" s="1608"/>
      <c r="AV63" s="1608"/>
      <c r="AW63" s="1608"/>
      <c r="AX63" s="1608"/>
      <c r="AY63" s="1608"/>
      <c r="AZ63" s="1608"/>
      <c r="BA63" s="1608"/>
      <c r="BB63" s="1608"/>
      <c r="BC63" s="1608"/>
      <c r="BE63" s="1073"/>
      <c r="BF63" s="1073" t="str">
        <f>IF(T63="","",T63)</f>
        <v>Добавить наименование тарифа</v>
      </c>
      <c r="BG63" s="1073"/>
      <c r="BH63" s="1073"/>
      <c r="BI63" s="802">
        <v>0</v>
      </c>
    </row>
    <row customHeight="1" ht="11.549999999999999">
      <c r="M64" s="1444"/>
      <c r="N64" s="1444"/>
      <c r="O64" s="821"/>
      <c r="P64" s="1444"/>
      <c r="Q64" s="1444"/>
      <c r="R64" s="1439"/>
      <c r="S64" s="1439"/>
      <c r="BD64" s="1439"/>
      <c r="BE64" s="1439"/>
      <c r="BF64" s="1439"/>
      <c r="BG64" s="1439"/>
      <c r="BH64" s="1439"/>
      <c r="BI64" s="1439">
        <v>11</v>
      </c>
    </row>
    <row customHeight="1" ht="19.95">
      <c r="O65" s="821"/>
      <c r="S65" s="1537"/>
      <c r="T65" s="2569"/>
      <c r="U65" s="2569"/>
      <c r="V65" s="2569"/>
      <c r="W65" s="2569"/>
      <c r="X65" s="2569"/>
      <c r="Y65" s="2569"/>
      <c r="Z65" s="2569"/>
      <c r="AA65" s="2569"/>
      <c r="AB65" s="2569"/>
      <c r="AC65" s="2569"/>
      <c r="AD65" s="2569"/>
      <c r="AE65" s="2569"/>
      <c r="AF65" s="2569"/>
      <c r="AG65" s="2569"/>
      <c r="AH65" s="2569"/>
      <c r="AI65" s="2569"/>
      <c r="AJ65" s="2569"/>
      <c r="AK65" s="2569"/>
      <c r="AL65" s="2569"/>
      <c r="AM65" s="2569"/>
      <c r="AN65" s="2569"/>
      <c r="AO65" s="2569"/>
      <c r="AP65" s="2569"/>
      <c r="AQ65" s="2569"/>
      <c r="AR65" s="2569"/>
      <c r="AS65" s="2569"/>
      <c r="AT65" s="2569"/>
      <c r="AU65" s="2569"/>
      <c r="AV65" s="2569"/>
      <c r="AW65" s="2569"/>
      <c r="AX65" s="2569"/>
      <c r="AY65" s="2569"/>
      <c r="AZ65" s="2569"/>
      <c r="BA65" s="2569"/>
      <c r="BB65" s="2569"/>
      <c r="BC65" s="2569"/>
      <c r="BI65" s="1439">
        <v>19</v>
      </c>
    </row>
    <row customHeight="1" ht="14.699999999999998">
      <c r="O66" s="821"/>
      <c r="T66" s="1733"/>
      <c r="U66" s="1733"/>
      <c r="V66" s="1733"/>
      <c r="W66" s="1733"/>
      <c r="X66" s="1733"/>
      <c r="Y66" s="1733"/>
      <c r="Z66" s="1733"/>
      <c r="AA66" s="1733"/>
      <c r="AB66" s="1733"/>
      <c r="AC66" s="1733"/>
      <c r="AD66" s="1733"/>
      <c r="AE66" s="1733"/>
      <c r="AF66" s="1733"/>
      <c r="AG66" s="1733"/>
      <c r="AH66" s="1733"/>
      <c r="AI66" s="1733"/>
      <c r="AJ66" s="1733"/>
      <c r="AK66" s="1733"/>
      <c r="AL66" s="1733"/>
      <c r="AM66" s="1733"/>
      <c r="AN66" s="1733"/>
      <c r="AO66" s="1733"/>
      <c r="AP66" s="1733"/>
      <c r="AQ66" s="1733"/>
      <c r="AR66" s="1733"/>
      <c r="AS66" s="1733"/>
      <c r="AT66" s="1733"/>
      <c r="AU66" s="1733"/>
      <c r="AV66" s="1733"/>
      <c r="AW66" s="1733"/>
      <c r="AX66" s="1733"/>
      <c r="AY66" s="1733"/>
      <c r="AZ66" s="1733"/>
      <c r="BA66" s="1733"/>
      <c r="BB66" s="1733"/>
      <c r="BC66" s="1733"/>
      <c r="BI66" s="1439">
        <v>14</v>
      </c>
    </row>
    <row customHeight="1" ht="19.95">
      <c r="O67" s="821"/>
      <c r="S67" s="1537"/>
      <c r="T67" s="2569"/>
      <c r="U67" s="2569"/>
      <c r="V67" s="2569"/>
      <c r="W67" s="2569"/>
      <c r="X67" s="2569"/>
      <c r="Y67" s="2569"/>
      <c r="Z67" s="2569"/>
      <c r="AA67" s="2569"/>
      <c r="AB67" s="2569"/>
      <c r="AC67" s="2569"/>
      <c r="AD67" s="2569"/>
      <c r="AE67" s="2569"/>
      <c r="AF67" s="2569"/>
      <c r="AG67" s="2569"/>
      <c r="AH67" s="2569"/>
      <c r="AI67" s="2569"/>
      <c r="AJ67" s="2569"/>
      <c r="AK67" s="2569"/>
      <c r="AL67" s="2569"/>
      <c r="AM67" s="2569"/>
      <c r="AN67" s="2569"/>
      <c r="AO67" s="2569"/>
      <c r="AP67" s="2569"/>
      <c r="AQ67" s="2569"/>
      <c r="AR67" s="2569"/>
      <c r="AS67" s="2569"/>
      <c r="AT67" s="2569"/>
      <c r="AU67" s="2569"/>
      <c r="AV67" s="2569"/>
      <c r="AW67" s="2569"/>
      <c r="AX67" s="2569"/>
      <c r="AY67" s="2569"/>
      <c r="AZ67" s="2569"/>
      <c r="BA67" s="2569"/>
      <c r="BB67" s="2569"/>
      <c r="BC67" s="2569"/>
      <c r="BI67" s="1439">
        <v>19</v>
      </c>
    </row>
    <row customHeight="1" ht="14.699999999999998">
      <c r="O68" s="821"/>
      <c r="BI68" s="1439">
        <v>14</v>
      </c>
    </row>
    <row customHeight="1" ht="14.25" hidden="1">
      <c r="A69" s="1444" t="s">
        <v>83</v>
      </c>
      <c r="B69" s="1444">
        <v>0</v>
      </c>
      <c r="C69" s="1444">
        <v>0</v>
      </c>
      <c r="D69" s="1444">
        <v>0</v>
      </c>
      <c r="E69" s="1444">
        <v>0</v>
      </c>
      <c r="F69" s="1444">
        <v>0</v>
      </c>
      <c r="G69" s="1444">
        <v>0</v>
      </c>
      <c r="H69" s="1444">
        <v>0</v>
      </c>
      <c r="I69" s="1444">
        <v>0</v>
      </c>
      <c r="J69" s="1444">
        <v>0</v>
      </c>
      <c r="K69" s="1444">
        <v>0</v>
      </c>
      <c r="L69" s="1745">
        <v>0</v>
      </c>
      <c r="M69" s="1646">
        <v>0</v>
      </c>
      <c r="N69" s="1646">
        <v>0</v>
      </c>
      <c r="O69" s="1646">
        <v>0</v>
      </c>
      <c r="P69" s="1646">
        <v>0</v>
      </c>
      <c r="Q69" s="1655">
        <v>0</v>
      </c>
      <c r="R69" s="628">
        <v>3</v>
      </c>
      <c r="S69" s="865">
        <v>12</v>
      </c>
      <c r="T69" s="1439">
        <v>31</v>
      </c>
      <c r="U69" s="1439">
        <v>0</v>
      </c>
      <c r="V69" s="1439">
        <v>0</v>
      </c>
      <c r="W69" s="1439">
        <v>0</v>
      </c>
      <c r="X69" s="1439">
        <v>0</v>
      </c>
      <c r="Y69" s="1439">
        <v>0</v>
      </c>
      <c r="Z69" s="1439">
        <v>0</v>
      </c>
      <c r="AA69" s="1439">
        <v>0</v>
      </c>
      <c r="AB69" s="1439">
        <v>0</v>
      </c>
      <c r="AC69" s="1439">
        <v>0</v>
      </c>
      <c r="AD69" s="1439">
        <v>3</v>
      </c>
      <c r="AE69" s="1439">
        <v>3</v>
      </c>
      <c r="AF69" s="1439">
        <v>3</v>
      </c>
      <c r="AG69" s="1439">
        <v>24</v>
      </c>
      <c r="AH69" s="1439">
        <v>3</v>
      </c>
      <c r="AI69" s="1439">
        <v>3</v>
      </c>
      <c r="AJ69" s="1439">
        <v>3</v>
      </c>
      <c r="AK69" s="1439">
        <v>24</v>
      </c>
      <c r="AL69" s="1439">
        <v>3</v>
      </c>
      <c r="AM69" s="1439">
        <v>3</v>
      </c>
      <c r="AN69" s="1439">
        <v>3</v>
      </c>
      <c r="AO69" s="1439">
        <v>18</v>
      </c>
      <c r="AP69" s="1439">
        <v>3</v>
      </c>
      <c r="AQ69" s="1439">
        <v>3</v>
      </c>
      <c r="AR69" s="1439">
        <v>3</v>
      </c>
      <c r="AS69" s="1439">
        <v>18</v>
      </c>
      <c r="AT69" s="1439">
        <v>21</v>
      </c>
      <c r="AU69" s="1439">
        <v>21</v>
      </c>
      <c r="AV69" s="1439">
        <v>21</v>
      </c>
      <c r="AW69" s="1439">
        <v>21</v>
      </c>
      <c r="AX69" s="1439">
        <v>11</v>
      </c>
      <c r="AY69" s="1439">
        <v>3</v>
      </c>
      <c r="AZ69" s="1439">
        <v>11</v>
      </c>
      <c r="BA69" s="1439">
        <v>0</v>
      </c>
      <c r="BB69" s="1439">
        <v>4</v>
      </c>
      <c r="BC69" s="1439">
        <v>115</v>
      </c>
      <c r="BD69" s="795">
        <v>10</v>
      </c>
      <c r="BE69" s="795">
        <v>10</v>
      </c>
      <c r="BF69" s="795">
        <v>10</v>
      </c>
      <c r="BG69" s="795">
        <v>10</v>
      </c>
      <c r="BH69" s="795">
        <v>10</v>
      </c>
      <c r="BI69" s="1439">
        <v>23</v>
      </c>
    </row>
  </sheetData>
  <sheetProtection formatColumns="0" formatRows="0" autoFilter="0" sort="0" insertRows="0" insertColumns="1" deleteRows="0" deleteColumns="0"/>
  <mergeCells count="122">
    <mergeCell ref="T67:BC67"/>
    <mergeCell ref="AK52:AK54"/>
    <mergeCell ref="AL52:AL54"/>
    <mergeCell ref="AE52:AE55"/>
    <mergeCell ref="AF52:AF55"/>
    <mergeCell ref="AG52:AG55"/>
    <mergeCell ref="AH52:AH55"/>
    <mergeCell ref="AI52:AI54"/>
    <mergeCell ref="AJ52:AJ54"/>
    <mergeCell ref="BC52:BC57"/>
    <mergeCell ref="T52:T56"/>
    <mergeCell ref="T65:BC65"/>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S29:AZ29"/>
    <mergeCell ref="BC8:BC13"/>
    <mergeCell ref="AK8:AK10"/>
    <mergeCell ref="AL8:AL10"/>
    <mergeCell ref="AE8:AE11"/>
    <mergeCell ref="AF8:AF11"/>
    <mergeCell ref="AG8:AG11"/>
    <mergeCell ref="S31:T31"/>
    <mergeCell ref="V31:AB31"/>
    <mergeCell ref="AD31:AZ31"/>
    <mergeCell ref="AD7:BB7"/>
    <mergeCell ref="K8:K12"/>
    <mergeCell ref="R8:R12"/>
    <mergeCell ref="S8:S12"/>
    <mergeCell ref="T8:T12"/>
    <mergeCell ref="AH8:AH11"/>
    <mergeCell ref="AI8:AI10"/>
    <mergeCell ref="AJ8:AJ10"/>
    <mergeCell ref="S28:AZ28"/>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F7B0DC5-8778-0558-1708-1C76D88EE0CC}"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4157" width="10.57421875" hidden="1"/>
    <col min="2" max="2" style="14157" width="11.00390625" hidden="1" customWidth="1"/>
    <col min="3" max="3" style="14157" width="10.57421875" hidden="1"/>
    <col min="4" max="4" style="14157" width="11.8515625" hidden="1" customWidth="1"/>
    <col min="5" max="5" style="14157" width="10.00390625" hidden="1" customWidth="1"/>
    <col min="6" max="6" style="14157" width="8.7109375" hidden="1" customWidth="1"/>
    <col min="7" max="7" style="14157" width="7.57421875" hidden="1" customWidth="1"/>
    <col min="8" max="8" style="14157" width="11.421875" hidden="1" customWidth="1"/>
    <col min="9" max="9" style="14157" width="14.140625" hidden="1" customWidth="1"/>
    <col min="10" max="10" style="14157" width="9.8515625" hidden="1" customWidth="1"/>
    <col min="11" max="11" style="14157" width="14.7109375" hidden="1" customWidth="1"/>
    <col min="12" max="12" style="14974" width="19.140625" hidden="1" customWidth="1"/>
    <col min="13" max="14" style="14975" width="12.28125" hidden="1" customWidth="1"/>
    <col min="15" max="15" style="14975" width="23.421875" hidden="1" customWidth="1"/>
    <col min="16" max="16" style="14976" width="3.00390625" customWidth="1"/>
    <col min="17" max="18" style="14977" width="3.00390625" customWidth="1"/>
    <col min="19" max="19" style="14978" width="12.00390625" customWidth="1"/>
    <col min="20" max="20" style="14077" width="35.00390625" customWidth="1"/>
    <col min="21" max="21" style="14077" width="0.140625" customWidth="1"/>
    <col min="22" max="24" style="14077" width="24.7109375" hidden="1" customWidth="1"/>
    <col min="25" max="25" style="14077" width="11.7109375" hidden="1" customWidth="1"/>
    <col min="26" max="26" style="14077" width="3.7109375" hidden="1" customWidth="1"/>
    <col min="27" max="27" style="14077" width="11.7109375" hidden="1" customWidth="1"/>
    <col min="28" max="28" style="14077" width="8.57421875" hidden="1" customWidth="1"/>
    <col min="29" max="29" style="14077" width="24.7109375" customWidth="1"/>
    <col min="30" max="31" style="14077" width="24.00390625" customWidth="1"/>
    <col min="32" max="32" style="14077" width="11.00390625" customWidth="1"/>
    <col min="33" max="33" style="14077" width="3.7109375" customWidth="1"/>
    <col min="34" max="34" style="14077" width="11.00390625" customWidth="1"/>
    <col min="35" max="35" style="14077" width="8.57421875" hidden="1" customWidth="1"/>
    <col min="36" max="36" style="14077" width="4.00390625" customWidth="1"/>
    <col min="37" max="37" style="14077" width="115.00390625" customWidth="1"/>
    <col min="38" max="42" style="14158" width="10.00390625" customWidth="1"/>
    <col min="43" max="43" style="14077" width="10.57421875" hidden="1"/>
  </cols>
  <sheetData>
    <row customHeight="1" ht="22.5" hidden="1">
      <c r="X1" s="611"/>
      <c r="Y1" s="611"/>
      <c r="AE1" s="611"/>
      <c r="AF1" s="611"/>
      <c r="AQ1" s="1439" t="s">
        <v>14</v>
      </c>
    </row>
    <row customHeight="1" ht="23.25" hidden="1">
      <c r="A2" s="1647"/>
      <c r="B2" s="1647"/>
      <c r="C2" s="1647"/>
      <c r="D2" s="1647"/>
      <c r="E2" s="2542">
        <v>1</v>
      </c>
      <c r="F2" s="1647"/>
      <c r="G2" s="1647"/>
      <c r="H2" s="1647"/>
      <c r="I2" s="1647"/>
      <c r="J2" s="1647"/>
      <c r="K2" s="1647"/>
      <c r="L2" s="1648"/>
      <c r="M2" s="1649"/>
      <c r="N2" s="1649"/>
      <c r="O2" s="1649"/>
      <c r="P2" s="645"/>
      <c r="Q2" s="644"/>
      <c r="R2" s="639"/>
      <c r="S2" s="1777">
        <f>INDEX(PT_DIFFERENTIATION_NUM_NTAR,MATCH(A2,PT_DIFFERENTIATION_NTAR_ID,0))</f>
      </c>
      <c r="T2" s="582" t="s">
        <v>124</v>
      </c>
      <c r="U2" s="584"/>
      <c r="V2" s="2526"/>
      <c r="W2" s="2527"/>
      <c r="X2" s="2527"/>
      <c r="Y2" s="2527"/>
      <c r="Z2" s="2527"/>
      <c r="AA2" s="2527"/>
      <c r="AB2" s="2528"/>
      <c r="AC2" s="2526">
        <f>INDEX(PT_DIFFERENTIATION_NTAR,MATCH(A2,PT_DIFFERENTIATION_NTAR_ID,0))</f>
      </c>
      <c r="AD2" s="2527"/>
      <c r="AE2" s="2527"/>
      <c r="AF2" s="2527"/>
      <c r="AG2" s="2527"/>
      <c r="AH2" s="2527"/>
      <c r="AI2" s="2527"/>
      <c r="AJ2" s="2528"/>
      <c r="AK2" s="154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784"/>
      <c r="AN2" s="784" t="str">
        <f>IF(T2="","",T2)</f>
        <v>Наименование тарифа</v>
      </c>
      <c r="AO2" s="784"/>
      <c r="AP2" s="784"/>
      <c r="AQ2" s="1439">
        <v>0</v>
      </c>
    </row>
    <row customHeight="1" ht="23.25" hidden="1">
      <c r="A3" s="1647"/>
      <c r="B3" s="1647"/>
      <c r="C3" s="1647"/>
      <c r="D3" s="1647"/>
      <c r="E3" s="2543"/>
      <c r="F3" s="2542">
        <v>1</v>
      </c>
      <c r="G3" s="1647"/>
      <c r="H3" s="1647"/>
      <c r="I3" s="1647"/>
      <c r="J3" s="1647"/>
      <c r="K3" s="1647"/>
      <c r="L3" s="1648"/>
      <c r="M3" s="1649"/>
      <c r="N3" s="1649"/>
      <c r="O3" s="1649"/>
      <c r="P3" s="1771"/>
      <c r="Q3" s="636"/>
      <c r="R3" s="637"/>
      <c r="S3" s="1777">
        <f>INDEX(PT_DIFFERENTIATION_NUM_TER,MATCH(B3,PT_DIFFERENTIATION_TER_ID,0))</f>
      </c>
      <c r="T3" s="592" t="s">
        <v>402</v>
      </c>
      <c r="U3" s="584"/>
      <c r="V3" s="2526"/>
      <c r="W3" s="2527"/>
      <c r="X3" s="2527"/>
      <c r="Y3" s="2527"/>
      <c r="Z3" s="2527"/>
      <c r="AA3" s="2527"/>
      <c r="AB3" s="2528"/>
      <c r="AC3" s="2526">
        <f>INDEX(PT_DIFFERENTIATION_TER,MATCH(B3,PT_DIFFERENTIATION_TER_ID,0))</f>
      </c>
      <c r="AD3" s="2527"/>
      <c r="AE3" s="2527"/>
      <c r="AF3" s="2527"/>
      <c r="AG3" s="2527"/>
      <c r="AH3" s="2527"/>
      <c r="AI3" s="2527"/>
      <c r="AJ3" s="2528"/>
      <c r="AK3" s="1542" t="s">
        <v>403</v>
      </c>
      <c r="AM3" s="784"/>
      <c r="AN3" s="784" t="str">
        <f>IF(T3="","",T3)</f>
        <v>Территория действия тарифа</v>
      </c>
      <c r="AO3" s="784"/>
      <c r="AP3" s="784"/>
      <c r="AQ3" s="1439">
        <v>0</v>
      </c>
    </row>
    <row customHeight="1" ht="23.25" hidden="1">
      <c r="A4" s="1647"/>
      <c r="B4" s="1647"/>
      <c r="C4" s="1647"/>
      <c r="D4" s="1647"/>
      <c r="E4" s="2543"/>
      <c r="F4" s="2543"/>
      <c r="G4" s="2542">
        <v>1</v>
      </c>
      <c r="H4" s="1647"/>
      <c r="I4" s="1647"/>
      <c r="J4" s="1647"/>
      <c r="K4" s="1647"/>
      <c r="L4" s="1648"/>
      <c r="M4" s="1649"/>
      <c r="N4" s="1649"/>
      <c r="O4" s="1649"/>
      <c r="P4" s="638"/>
      <c r="Q4" s="636"/>
      <c r="R4" s="637"/>
      <c r="S4" s="1777">
        <f>INDEX(PT_DIFFERENTIATION_NUM_CS,MATCH(C4,PT_DIFFERENTIATION_CS_ID,0))</f>
      </c>
      <c r="T4" s="593" t="s">
        <v>524</v>
      </c>
      <c r="U4" s="584"/>
      <c r="V4" s="2526"/>
      <c r="W4" s="2527"/>
      <c r="X4" s="2527"/>
      <c r="Y4" s="2527"/>
      <c r="Z4" s="2527"/>
      <c r="AA4" s="2527"/>
      <c r="AB4" s="2528"/>
      <c r="AC4" s="2526">
        <f>INDEX(PT_DIFFERENTIATION_CS,MATCH(C4,PT_DIFFERENTIATION_CS_ID,0))</f>
      </c>
      <c r="AD4" s="2527"/>
      <c r="AE4" s="2527"/>
      <c r="AF4" s="2527"/>
      <c r="AG4" s="2527"/>
      <c r="AH4" s="2527"/>
      <c r="AI4" s="2527"/>
      <c r="AJ4" s="2528"/>
      <c r="AK4" s="1542" t="s">
        <v>525</v>
      </c>
      <c r="AM4" s="784"/>
      <c r="AN4" s="784" t="str">
        <f>IF(T4="","",T4)</f>
        <v>Наименование централизованной системы водоотведения</v>
      </c>
      <c r="AO4" s="784"/>
      <c r="AP4" s="784"/>
      <c r="AQ4" s="1439">
        <v>0</v>
      </c>
    </row>
    <row customHeight="1" ht="23.25" hidden="1">
      <c r="A5" s="1647"/>
      <c r="B5" s="1647"/>
      <c r="C5" s="1647"/>
      <c r="D5" s="1647"/>
      <c r="E5" s="2543"/>
      <c r="F5" s="2543"/>
      <c r="G5" s="2543"/>
      <c r="H5" s="2543"/>
      <c r="I5" s="2540">
        <f>S4&amp;".1"</f>
      </c>
      <c r="J5" s="1647"/>
      <c r="K5" s="1647"/>
      <c r="L5" s="1648"/>
      <c r="P5" s="2541">
        <v>1</v>
      </c>
      <c r="Q5" s="1765"/>
      <c r="R5" s="640"/>
      <c r="S5" s="1777">
        <f>$I5</f>
      </c>
      <c r="T5" s="569" t="s">
        <v>491</v>
      </c>
      <c r="U5" s="584"/>
      <c r="V5" s="2634"/>
      <c r="W5" s="2635"/>
      <c r="X5" s="2635"/>
      <c r="Y5" s="2635"/>
      <c r="Z5" s="2635"/>
      <c r="AA5" s="2635"/>
      <c r="AB5" s="2636"/>
      <c r="AC5" s="2637"/>
      <c r="AD5" s="2638"/>
      <c r="AE5" s="2638"/>
      <c r="AF5" s="2638"/>
      <c r="AG5" s="2638"/>
      <c r="AH5" s="2638"/>
      <c r="AI5" s="2638"/>
      <c r="AJ5" s="2639"/>
      <c r="AK5" s="1542" t="s">
        <v>492</v>
      </c>
      <c r="AM5" s="784"/>
      <c r="AN5" s="784" t="str">
        <f>IF(T5="","",T5)</f>
        <v>Наименование признака дифференциации</v>
      </c>
      <c r="AO5" s="784"/>
      <c r="AP5" s="784"/>
      <c r="AQ5" s="1439">
        <v>0</v>
      </c>
    </row>
    <row customHeight="1" ht="23.25" hidden="1">
      <c r="A6" s="1647"/>
      <c r="B6" s="1647"/>
      <c r="C6" s="1647"/>
      <c r="D6" s="1647"/>
      <c r="E6" s="2543"/>
      <c r="F6" s="2543"/>
      <c r="G6" s="2543"/>
      <c r="H6" s="2543"/>
      <c r="I6" s="2570"/>
      <c r="J6" s="2540">
        <f>I5&amp;".1"</f>
      </c>
      <c r="K6" s="1647"/>
      <c r="L6" s="1648" t="s">
        <v>411</v>
      </c>
      <c r="P6" s="2541"/>
      <c r="Q6" s="2541">
        <v>1</v>
      </c>
      <c r="R6" s="641"/>
      <c r="S6" s="1777">
        <f>$J6</f>
      </c>
      <c r="T6" s="570" t="s">
        <v>412</v>
      </c>
      <c r="U6" s="584"/>
      <c r="V6" s="2529"/>
      <c r="W6" s="2530"/>
      <c r="X6" s="2530"/>
      <c r="Y6" s="2530"/>
      <c r="Z6" s="2530"/>
      <c r="AA6" s="2530"/>
      <c r="AB6" s="2531"/>
      <c r="AC6" s="2529"/>
      <c r="AD6" s="2530"/>
      <c r="AE6" s="2530"/>
      <c r="AF6" s="2530"/>
      <c r="AG6" s="2530"/>
      <c r="AH6" s="2530"/>
      <c r="AI6" s="2530"/>
      <c r="AJ6" s="2531"/>
      <c r="AK6" s="1591" t="s">
        <v>493</v>
      </c>
      <c r="AM6" s="784"/>
      <c r="AN6" s="784" t="str">
        <f>IF(T6="","",T6)</f>
        <v>Группа потребителей</v>
      </c>
      <c r="AO6" s="784"/>
      <c r="AP6" s="784"/>
      <c r="AQ6" s="1439">
        <v>0</v>
      </c>
    </row>
    <row customHeight="1" ht="23.25" hidden="1">
      <c r="A7" s="1647"/>
      <c r="B7" s="1647"/>
      <c r="C7" s="1647"/>
      <c r="D7" s="1647"/>
      <c r="E7" s="2543"/>
      <c r="F7" s="2543"/>
      <c r="G7" s="2543"/>
      <c r="H7" s="2543"/>
      <c r="I7" s="2570"/>
      <c r="J7" s="2570"/>
      <c r="K7" s="2540">
        <f>J6&amp;".1"</f>
      </c>
      <c r="L7" s="1648"/>
      <c r="P7" s="2541"/>
      <c r="Q7" s="2541"/>
      <c r="R7" s="641">
        <v>1</v>
      </c>
      <c r="S7" s="1777">
        <f>$K7</f>
      </c>
      <c r="T7" s="1721"/>
      <c r="U7" s="584"/>
      <c r="V7" s="1035"/>
      <c r="W7" s="1035"/>
      <c r="X7" s="1541"/>
      <c r="Y7" s="2549"/>
      <c r="Z7" s="2391" t="s">
        <v>67</v>
      </c>
      <c r="AA7" s="2549"/>
      <c r="AB7" s="2391" t="s">
        <v>67</v>
      </c>
      <c r="AC7" s="1035"/>
      <c r="AD7" s="1035"/>
      <c r="AE7" s="1541"/>
      <c r="AF7" s="2549"/>
      <c r="AG7" s="2391" t="s">
        <v>67</v>
      </c>
      <c r="AH7" s="2571"/>
      <c r="AI7" s="2391" t="s">
        <v>67</v>
      </c>
      <c r="AJ7" s="1722"/>
      <c r="AK7" s="263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795">
        <f>STRCHECKDATE(V8:AJ8)</f>
      </c>
      <c r="AM7" s="784"/>
      <c r="AN7" s="784" t="str">
        <f>IF(T7="","",T7)</f>
        <v/>
      </c>
      <c r="AO7" s="784"/>
      <c r="AP7" s="784"/>
      <c r="AQ7" s="1439">
        <v>0</v>
      </c>
    </row>
    <row customHeight="1" ht="14.25" hidden="1">
      <c r="A8" s="1647"/>
      <c r="B8" s="1647"/>
      <c r="C8" s="1647"/>
      <c r="D8" s="1647"/>
      <c r="E8" s="2543"/>
      <c r="F8" s="2543"/>
      <c r="G8" s="2543"/>
      <c r="H8" s="2543"/>
      <c r="I8" s="2570"/>
      <c r="J8" s="2570"/>
      <c r="K8" s="2540"/>
      <c r="L8" s="1648"/>
      <c r="P8" s="2541"/>
      <c r="Q8" s="2541"/>
      <c r="R8" s="641"/>
      <c r="S8" s="1774"/>
      <c r="T8" s="584"/>
      <c r="U8" s="584"/>
      <c r="V8" s="609"/>
      <c r="W8" s="609"/>
      <c r="X8" s="612" t="str">
        <f>Y7&amp;"-"&amp;AA7</f>
        <v>-</v>
      </c>
      <c r="Y8" s="2550"/>
      <c r="Z8" s="2391"/>
      <c r="AA8" s="2550"/>
      <c r="AB8" s="2391"/>
      <c r="AC8" s="609"/>
      <c r="AD8" s="609"/>
      <c r="AE8" s="612" t="str">
        <f>AF7&amp;"-"&amp;AH7</f>
        <v>-</v>
      </c>
      <c r="AF8" s="2550"/>
      <c r="AG8" s="2391"/>
      <c r="AH8" s="2572"/>
      <c r="AI8" s="2391"/>
      <c r="AJ8" s="1723"/>
      <c r="AK8" s="2633"/>
      <c r="AM8" s="784"/>
      <c r="AN8" s="784" t="str">
        <f>IF(T8="","",T8)</f>
        <v/>
      </c>
      <c r="AO8" s="784"/>
      <c r="AP8" s="784"/>
      <c r="AQ8" s="1439">
        <v>0</v>
      </c>
    </row>
    <row customHeight="1" ht="21" hidden="1">
      <c r="A9" s="1647"/>
      <c r="B9" s="1647"/>
      <c r="C9" s="1647"/>
      <c r="D9" s="1647"/>
      <c r="E9" s="2543"/>
      <c r="F9" s="2543"/>
      <c r="G9" s="2543"/>
      <c r="H9" s="2543"/>
      <c r="I9" s="2570"/>
      <c r="J9" s="2540"/>
      <c r="K9" s="1647"/>
      <c r="L9" s="1648"/>
      <c r="P9" s="2541"/>
      <c r="Q9" s="2541"/>
      <c r="R9" s="640"/>
      <c r="S9" s="1562"/>
      <c r="T9" s="571" t="s">
        <v>494</v>
      </c>
      <c r="U9" s="651"/>
      <c r="V9" s="651"/>
      <c r="W9" s="651"/>
      <c r="X9" s="651"/>
      <c r="Y9" s="651"/>
      <c r="Z9" s="651"/>
      <c r="AA9" s="651"/>
      <c r="AB9" s="651"/>
      <c r="AC9" s="651"/>
      <c r="AD9" s="651"/>
      <c r="AE9" s="651"/>
      <c r="AF9" s="651"/>
      <c r="AG9" s="651"/>
      <c r="AH9" s="651"/>
      <c r="AI9" s="651"/>
      <c r="AJ9" s="651"/>
      <c r="AK9" s="1542" t="s">
        <v>495</v>
      </c>
      <c r="AM9" s="784"/>
      <c r="AN9" s="784" t="str">
        <f>IF(T9="","",T9)</f>
        <v>Добавить значение признака дифференциации</v>
      </c>
      <c r="AO9" s="784"/>
      <c r="AP9" s="784"/>
      <c r="AQ9" s="1439">
        <v>0</v>
      </c>
    </row>
    <row customHeight="1" ht="21" hidden="1">
      <c r="A10" s="1647"/>
      <c r="B10" s="1647"/>
      <c r="C10" s="1647"/>
      <c r="D10" s="1647"/>
      <c r="E10" s="2543"/>
      <c r="F10" s="2543"/>
      <c r="G10" s="2543"/>
      <c r="H10" s="2543"/>
      <c r="I10" s="2540"/>
      <c r="J10" s="1647"/>
      <c r="K10" s="1647"/>
      <c r="L10" s="1648"/>
      <c r="P10" s="2541"/>
      <c r="Q10" s="1765"/>
      <c r="R10" s="640"/>
      <c r="S10" s="1562"/>
      <c r="T10" s="649" t="s">
        <v>417</v>
      </c>
      <c r="U10" s="651"/>
      <c r="V10" s="651"/>
      <c r="W10" s="651"/>
      <c r="X10" s="651"/>
      <c r="Y10" s="651"/>
      <c r="Z10" s="651"/>
      <c r="AA10" s="651"/>
      <c r="AB10" s="650"/>
      <c r="AC10" s="651"/>
      <c r="AD10" s="651"/>
      <c r="AE10" s="651"/>
      <c r="AF10" s="651"/>
      <c r="AG10" s="651"/>
      <c r="AH10" s="651"/>
      <c r="AI10" s="650"/>
      <c r="AJ10" s="651"/>
      <c r="AK10" s="1724"/>
      <c r="AM10" s="784"/>
      <c r="AN10" s="784" t="str">
        <f>IF(T10="","",T10)</f>
        <v>Добавить группу потребителей</v>
      </c>
      <c r="AO10" s="784"/>
      <c r="AP10" s="784"/>
      <c r="AQ10" s="1439">
        <v>0</v>
      </c>
    </row>
    <row customHeight="1" ht="21" hidden="1">
      <c r="A11" s="1647"/>
      <c r="B11" s="1647"/>
      <c r="C11" s="1647"/>
      <c r="D11" s="1647"/>
      <c r="E11" s="2543"/>
      <c r="F11" s="2543"/>
      <c r="G11" s="2543"/>
      <c r="H11" s="2542"/>
      <c r="I11" s="1647"/>
      <c r="J11" s="1647"/>
      <c r="K11" s="1647"/>
      <c r="L11" s="1648"/>
      <c r="M11" s="1649"/>
      <c r="N11" s="1649"/>
      <c r="O11" s="821"/>
      <c r="P11" s="644"/>
      <c r="Q11" s="659"/>
      <c r="R11" s="639"/>
      <c r="S11" s="1562"/>
      <c r="T11" s="656" t="s">
        <v>496</v>
      </c>
      <c r="U11" s="651"/>
      <c r="V11" s="651"/>
      <c r="W11" s="651"/>
      <c r="X11" s="651"/>
      <c r="Y11" s="651"/>
      <c r="Z11" s="651"/>
      <c r="AA11" s="651"/>
      <c r="AB11" s="650"/>
      <c r="AC11" s="651"/>
      <c r="AD11" s="651"/>
      <c r="AE11" s="651"/>
      <c r="AF11" s="651"/>
      <c r="AG11" s="651"/>
      <c r="AH11" s="651"/>
      <c r="AI11" s="650"/>
      <c r="AJ11" s="651"/>
      <c r="AK11" s="587"/>
      <c r="AM11" s="784"/>
      <c r="AN11" s="784" t="str">
        <f>IF(T11="","",T11)</f>
        <v>Добавить наименование признака дифференциации</v>
      </c>
      <c r="AO11" s="784"/>
      <c r="AP11" s="784"/>
      <c r="AQ11" s="1439">
        <v>0</v>
      </c>
    </row>
    <row s="14158" customFormat="1" customHeight="1" ht="14.25" hidden="1">
      <c r="A12" s="1627"/>
      <c r="B12" s="1627"/>
      <c r="C12" s="1598"/>
      <c r="D12" s="1598"/>
      <c r="E12" s="2543"/>
      <c r="F12" s="2542"/>
      <c r="G12" s="1598"/>
      <c r="H12" s="1598"/>
      <c r="I12" s="1598"/>
      <c r="J12" s="1598"/>
      <c r="K12" s="1598"/>
      <c r="L12" s="1778"/>
      <c r="M12" s="1605"/>
      <c r="N12" s="1605"/>
      <c r="P12" s="1600"/>
      <c r="Q12" s="1601"/>
      <c r="R12" s="1600"/>
      <c r="S12" s="1606"/>
      <c r="T12" s="1609" t="s">
        <v>170</v>
      </c>
      <c r="U12" s="1608"/>
      <c r="V12" s="1608"/>
      <c r="W12" s="1608"/>
      <c r="X12" s="1608"/>
      <c r="Y12" s="1608"/>
      <c r="Z12" s="1608"/>
      <c r="AA12" s="1608"/>
      <c r="AB12" s="1608"/>
      <c r="AC12" s="1608"/>
      <c r="AD12" s="1608"/>
      <c r="AE12" s="1608"/>
      <c r="AF12" s="1608"/>
      <c r="AG12" s="1608"/>
      <c r="AH12" s="1608"/>
      <c r="AI12" s="1608"/>
      <c r="AJ12" s="1608"/>
      <c r="AK12" s="1608"/>
      <c r="AM12" s="1073"/>
      <c r="AN12" s="1073" t="str">
        <f>IF(T12="","",T12)</f>
        <v>Добавить централизованную систему для дифференциации</v>
      </c>
      <c r="AO12" s="1073"/>
      <c r="AP12" s="1073"/>
      <c r="AQ12" s="802">
        <v>0</v>
      </c>
    </row>
    <row s="14158" customFormat="1" customHeight="1" ht="14.25" hidden="1">
      <c r="A13" s="1627"/>
      <c r="B13" s="1627"/>
      <c r="C13" s="1627"/>
      <c r="D13" s="1627"/>
      <c r="E13" s="2542"/>
      <c r="F13" s="1627"/>
      <c r="G13" s="1627"/>
      <c r="H13" s="1627"/>
      <c r="I13" s="1627"/>
      <c r="J13" s="1627"/>
      <c r="K13" s="1627"/>
      <c r="L13" s="1630"/>
      <c r="M13" s="1605"/>
      <c r="N13" s="1605"/>
      <c r="O13" s="802"/>
      <c r="P13" s="664"/>
      <c r="Q13" s="1628"/>
      <c r="R13" s="664"/>
      <c r="S13" s="1606"/>
      <c r="T13" s="1609" t="s">
        <v>171</v>
      </c>
      <c r="U13" s="1608"/>
      <c r="V13" s="1608"/>
      <c r="W13" s="1608"/>
      <c r="X13" s="1608"/>
      <c r="Y13" s="1608"/>
      <c r="Z13" s="1608"/>
      <c r="AA13" s="1608"/>
      <c r="AB13" s="1608"/>
      <c r="AC13" s="1608"/>
      <c r="AD13" s="1608"/>
      <c r="AE13" s="1608"/>
      <c r="AF13" s="1608"/>
      <c r="AG13" s="1608"/>
      <c r="AH13" s="1608"/>
      <c r="AI13" s="1608"/>
      <c r="AJ13" s="1608"/>
      <c r="AK13" s="1608"/>
      <c r="AM13" s="784"/>
      <c r="AN13" s="784" t="str">
        <f>IF(T13="","",T13)</f>
        <v>Добавить территорию для дифференциации</v>
      </c>
      <c r="AO13" s="784"/>
      <c r="AP13" s="784"/>
      <c r="AQ13" s="795">
        <v>0</v>
      </c>
    </row>
    <row customHeight="1" ht="14.25" hidden="1">
      <c r="AB14" s="611"/>
      <c r="AI14" s="611"/>
      <c r="AQ14" s="1439">
        <v>0</v>
      </c>
    </row>
    <row customHeight="1" ht="14.25" hidden="1">
      <c r="AC15" s="1644"/>
      <c r="AD15" s="1644"/>
      <c r="AE15" s="1645"/>
      <c r="AF15" s="2551"/>
      <c r="AG15" s="2552" t="s">
        <v>67</v>
      </c>
      <c r="AH15" s="2551"/>
      <c r="AI15" s="2552" t="s">
        <v>67</v>
      </c>
      <c r="AQ15" s="1439">
        <v>0</v>
      </c>
    </row>
    <row customHeight="1" ht="14.25" hidden="1">
      <c r="AC16" s="1644"/>
      <c r="AD16" s="1644"/>
      <c r="AE16" s="612" t="str">
        <f>AF15&amp;"-"&amp;AH15</f>
        <v>-</v>
      </c>
      <c r="AF16" s="2552"/>
      <c r="AG16" s="2552"/>
      <c r="AH16" s="2552"/>
      <c r="AI16" s="2552"/>
      <c r="AQ16" s="1439">
        <v>0</v>
      </c>
    </row>
    <row customHeight="1" ht="14.25" hidden="1">
      <c r="AI17" s="611"/>
      <c r="AQ17" s="1439">
        <v>0</v>
      </c>
    </row>
    <row s="14157" customFormat="1" customHeight="1" ht="22.5" hidden="1">
      <c r="L18" s="1762"/>
      <c r="M18" s="1646"/>
      <c r="N18" s="1646"/>
      <c r="O18" s="1651" t="s">
        <v>419</v>
      </c>
      <c r="P18" s="1646"/>
      <c r="Q18" s="1655"/>
      <c r="R18" s="1655"/>
      <c r="S18" s="1013"/>
      <c r="Y18" s="1651"/>
      <c r="AA18" s="1651"/>
      <c r="AB18" s="1650"/>
      <c r="AF18" s="1651"/>
      <c r="AH18" s="1651"/>
      <c r="AI18" s="1650"/>
      <c r="AL18" s="795"/>
      <c r="AM18" s="795"/>
      <c r="AN18" s="795"/>
      <c r="AO18" s="795"/>
      <c r="AP18" s="795"/>
      <c r="AQ18" s="1444">
        <v>0</v>
      </c>
    </row>
    <row s="14157" customFormat="1" customHeight="1" ht="14.25" hidden="1">
      <c r="L19" s="1762"/>
      <c r="M19" s="1646"/>
      <c r="N19" s="1646"/>
      <c r="O19" s="1646"/>
      <c r="P19" s="1646"/>
      <c r="Q19" s="1655"/>
      <c r="R19" s="1655"/>
      <c r="S19" s="1013"/>
      <c r="AB19" s="1650"/>
      <c r="AI19" s="1650"/>
      <c r="AL19" s="795"/>
      <c r="AM19" s="795"/>
      <c r="AN19" s="795"/>
      <c r="AO19" s="795"/>
      <c r="AP19" s="795"/>
      <c r="AQ19" s="1444">
        <v>0</v>
      </c>
    </row>
    <row s="14157" customFormat="1" customHeight="1" ht="12" hidden="1">
      <c r="L20" s="1762"/>
      <c r="M20" s="1646"/>
      <c r="N20" s="1646"/>
      <c r="O20" s="1648" t="s">
        <v>420</v>
      </c>
      <c r="P20" s="1646"/>
      <c r="Q20" s="1726"/>
      <c r="R20" s="1726"/>
      <c r="S20" s="1013"/>
      <c r="T20" s="1444" t="s">
        <v>421</v>
      </c>
      <c r="Z20" s="470" t="s">
        <v>422</v>
      </c>
      <c r="AB20" s="470" t="s">
        <v>423</v>
      </c>
      <c r="AC20" s="1444" t="s">
        <v>421</v>
      </c>
      <c r="AG20" s="470" t="s">
        <v>424</v>
      </c>
      <c r="AI20" s="470" t="s">
        <v>423</v>
      </c>
      <c r="AQ20" s="1444">
        <v>0</v>
      </c>
    </row>
    <row customHeight="1" ht="14.25" hidden="1">
      <c r="O21" s="1648"/>
      <c r="AQ21" s="1439">
        <v>0</v>
      </c>
    </row>
    <row customHeight="1" ht="14.25" hidden="1">
      <c r="O22" s="1648"/>
      <c r="AQ22" s="1439">
        <v>0</v>
      </c>
    </row>
    <row customHeight="1" ht="14.699999999999998">
      <c r="Q23" s="660"/>
      <c r="R23" s="660"/>
      <c r="S23" s="1559"/>
      <c r="T23" s="647"/>
      <c r="U23" s="647"/>
      <c r="V23" s="793"/>
      <c r="W23" s="793"/>
      <c r="X23" s="793"/>
      <c r="Y23" s="793"/>
      <c r="Z23" s="793"/>
      <c r="AA23" s="793"/>
      <c r="AB23" s="793"/>
      <c r="AC23" s="793"/>
      <c r="AD23" s="793"/>
      <c r="AE23" s="793"/>
      <c r="AF23" s="793"/>
      <c r="AG23" s="793"/>
      <c r="AH23" s="793"/>
      <c r="AI23" s="793"/>
      <c r="AQ23" s="1439">
        <v>14</v>
      </c>
    </row>
    <row customHeight="1" ht="14.699999999999998">
      <c r="Q24" s="660"/>
      <c r="R24" s="660"/>
      <c r="S24" s="2532"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532"/>
      <c r="U24" s="2532"/>
      <c r="V24" s="2532"/>
      <c r="W24" s="2532"/>
      <c r="X24" s="2532"/>
      <c r="Y24" s="2532"/>
      <c r="Z24" s="2532"/>
      <c r="AA24" s="2532"/>
      <c r="AB24" s="2532"/>
      <c r="AC24" s="2532"/>
      <c r="AD24" s="2532"/>
      <c r="AE24" s="2532"/>
      <c r="AF24" s="2532"/>
      <c r="AG24" s="2532"/>
      <c r="AH24" s="2532"/>
      <c r="AI24" s="1527"/>
      <c r="AQ24" s="1439">
        <v>14</v>
      </c>
    </row>
    <row customHeight="1" ht="14.699999999999998">
      <c r="Q25" s="660"/>
      <c r="R25" s="660"/>
      <c r="S25" s="2533" t="str">
        <f>IF(org=0,"Не определено",org)</f>
        <v>МУП г. Азова "Теплоэнерго"</v>
      </c>
      <c r="T25" s="2533"/>
      <c r="U25" s="2533"/>
      <c r="V25" s="2533"/>
      <c r="W25" s="2533"/>
      <c r="X25" s="2533"/>
      <c r="Y25" s="2533"/>
      <c r="Z25" s="2533"/>
      <c r="AA25" s="2533"/>
      <c r="AB25" s="2533"/>
      <c r="AC25" s="2533"/>
      <c r="AD25" s="2533"/>
      <c r="AE25" s="2533"/>
      <c r="AF25" s="2533"/>
      <c r="AG25" s="2533"/>
      <c r="AH25" s="2533"/>
      <c r="AI25" s="1527"/>
      <c r="AQ25" s="1439">
        <v>14</v>
      </c>
    </row>
    <row customHeight="1" ht="14.25" hidden="1">
      <c r="Q26" s="660"/>
      <c r="R26" s="660"/>
      <c r="S26" s="1559"/>
      <c r="T26" s="647"/>
      <c r="U26" s="647"/>
      <c r="V26" s="606"/>
      <c r="W26" s="606"/>
      <c r="X26" s="606"/>
      <c r="Y26" s="606"/>
      <c r="Z26" s="606"/>
      <c r="AA26" s="606"/>
      <c r="AB26" s="606"/>
      <c r="AC26" s="606"/>
      <c r="AD26" s="606"/>
      <c r="AE26" s="606"/>
      <c r="AF26" s="606"/>
      <c r="AG26" s="606"/>
      <c r="AH26" s="606"/>
      <c r="AI26" s="606"/>
      <c r="AJ26" s="793"/>
      <c r="AQ26" s="1439">
        <v>0</v>
      </c>
    </row>
    <row s="14284" customFormat="1" customHeight="1" ht="25.5" hidden="1">
      <c r="A27" s="1652"/>
      <c r="B27" s="1652"/>
      <c r="C27" s="1652"/>
      <c r="D27" s="1652"/>
      <c r="E27" s="1652"/>
      <c r="F27" s="1652"/>
      <c r="G27" s="1652"/>
      <c r="H27" s="1652"/>
      <c r="I27" s="1652"/>
      <c r="J27" s="1652"/>
      <c r="K27" s="1652"/>
      <c r="L27" s="1653"/>
      <c r="M27" s="1652"/>
      <c r="N27" s="1652"/>
      <c r="O27" s="1652"/>
      <c r="S27" s="2534" t="s">
        <v>42</v>
      </c>
      <c r="T27" s="2534"/>
      <c r="U27" s="1656"/>
      <c r="V27" s="2535" t="str">
        <f>IF(TITLE_NAME_OR_PR_CHANGE="",IF(TITLE_NAME_OR_PR="","",TITLE_NAME_OR_PR),TITLE_NAME_OR_PR_CHANGE)</f>
        <v/>
      </c>
      <c r="W27" s="2535"/>
      <c r="X27" s="2535"/>
      <c r="Y27" s="2535"/>
      <c r="Z27" s="2535"/>
      <c r="AA27" s="2535"/>
      <c r="AB27" s="610"/>
      <c r="AC27" s="2535" t="str">
        <f>IF(TITLE_NAME_OR_PR_CHANGE="",IF(TITLE_NAME_OR_PR="","",TITLE_NAME_OR_PR),TITLE_NAME_OR_PR_CHANGE)</f>
        <v/>
      </c>
      <c r="AD27" s="2535"/>
      <c r="AE27" s="2535"/>
      <c r="AF27" s="2535"/>
      <c r="AG27" s="2535"/>
      <c r="AH27" s="2535"/>
      <c r="AI27" s="610"/>
      <c r="AJ27" s="610"/>
      <c r="AK27" s="564"/>
      <c r="AL27" s="652"/>
      <c r="AM27" s="652"/>
      <c r="AN27" s="652"/>
      <c r="AO27" s="652"/>
      <c r="AP27" s="652"/>
      <c r="AQ27" s="702">
        <v>0</v>
      </c>
    </row>
    <row s="14284" customFormat="1" customHeight="1" ht="18.75" hidden="1">
      <c r="A28" s="1652"/>
      <c r="B28" s="1652"/>
      <c r="C28" s="1652"/>
      <c r="D28" s="1652"/>
      <c r="E28" s="1652"/>
      <c r="F28" s="1652"/>
      <c r="G28" s="1652"/>
      <c r="H28" s="1652"/>
      <c r="I28" s="1652"/>
      <c r="J28" s="1652"/>
      <c r="K28" s="1652"/>
      <c r="L28" s="1653"/>
      <c r="M28" s="1652"/>
      <c r="N28" s="1652"/>
      <c r="O28" s="1652"/>
      <c r="S28" s="2534" t="s">
        <v>425</v>
      </c>
      <c r="T28" s="2534"/>
      <c r="U28" s="1656"/>
      <c r="V28" s="2548" t="str">
        <f>IF(TITLE_DATE_PR_CHANGE="",IF(TITLE_DATE_PR="","",TITLE_DATE_PR),TITLE_DATE_PR_CHANGE)</f>
        <v>45471</v>
      </c>
      <c r="W28" s="2548"/>
      <c r="X28" s="2548"/>
      <c r="Y28" s="2548"/>
      <c r="Z28" s="2548"/>
      <c r="AA28" s="2548"/>
      <c r="AB28" s="610"/>
      <c r="AC28" s="2548" t="str">
        <f>IF(TITLE_DATE_PR_CHANGE="",IF(TITLE_DATE_PR="","",TITLE_DATE_PR),TITLE_DATE_PR_CHANGE)</f>
        <v>45471</v>
      </c>
      <c r="AD28" s="2548"/>
      <c r="AE28" s="2548"/>
      <c r="AF28" s="2548"/>
      <c r="AG28" s="2548"/>
      <c r="AH28" s="2548"/>
      <c r="AI28" s="610"/>
      <c r="AJ28" s="610"/>
      <c r="AK28" s="564"/>
      <c r="AL28" s="652"/>
      <c r="AM28" s="652"/>
      <c r="AN28" s="652"/>
      <c r="AO28" s="652"/>
      <c r="AP28" s="652"/>
      <c r="AQ28" s="702">
        <v>0</v>
      </c>
    </row>
    <row s="14284" customFormat="1" customHeight="1" ht="18.75" hidden="1">
      <c r="A29" s="1652"/>
      <c r="B29" s="1652"/>
      <c r="C29" s="1652"/>
      <c r="D29" s="1652"/>
      <c r="E29" s="1652"/>
      <c r="F29" s="1652"/>
      <c r="G29" s="1652"/>
      <c r="H29" s="1652"/>
      <c r="I29" s="1652"/>
      <c r="J29" s="1652"/>
      <c r="K29" s="1652"/>
      <c r="L29" s="1653"/>
      <c r="M29" s="1652"/>
      <c r="N29" s="1652"/>
      <c r="O29" s="1652"/>
      <c r="S29" s="2534" t="s">
        <v>426</v>
      </c>
      <c r="T29" s="2534"/>
      <c r="U29" s="1656"/>
      <c r="V29" s="2535" t="str">
        <f>IF(TITLE_NUMBER_PR_CHANGE="",IF(TITLE_NUMBER_PR="","",TITLE_NUMBER_PR),TITLE_NUMBER_PR_CHANGE)</f>
        <v>50/18-01/261</v>
      </c>
      <c r="W29" s="2535"/>
      <c r="X29" s="2535"/>
      <c r="Y29" s="2535"/>
      <c r="Z29" s="2535"/>
      <c r="AA29" s="2535"/>
      <c r="AB29" s="610"/>
      <c r="AC29" s="2535" t="str">
        <f>IF(TITLE_NUMBER_PR_CHANGE="",IF(TITLE_NUMBER_PR="","",TITLE_NUMBER_PR),TITLE_NUMBER_PR_CHANGE)</f>
        <v>50/18-01/261</v>
      </c>
      <c r="AD29" s="2535"/>
      <c r="AE29" s="2535"/>
      <c r="AF29" s="2535"/>
      <c r="AG29" s="2535"/>
      <c r="AH29" s="2535"/>
      <c r="AI29" s="610"/>
      <c r="AJ29" s="610"/>
      <c r="AK29" s="564"/>
      <c r="AL29" s="652"/>
      <c r="AM29" s="652"/>
      <c r="AN29" s="652"/>
      <c r="AO29" s="652"/>
      <c r="AP29" s="652"/>
      <c r="AQ29" s="702">
        <v>0</v>
      </c>
    </row>
    <row s="14284" customFormat="1" customHeight="1" ht="18.75" hidden="1">
      <c r="A30" s="1652"/>
      <c r="B30" s="1652"/>
      <c r="C30" s="1652"/>
      <c r="D30" s="1652"/>
      <c r="E30" s="1652"/>
      <c r="F30" s="1652"/>
      <c r="G30" s="1652"/>
      <c r="H30" s="1652"/>
      <c r="I30" s="1652"/>
      <c r="J30" s="1652"/>
      <c r="K30" s="1652"/>
      <c r="L30" s="1653"/>
      <c r="M30" s="1652"/>
      <c r="N30" s="1652"/>
      <c r="O30" s="1652"/>
      <c r="S30" s="2534" t="s">
        <v>43</v>
      </c>
      <c r="T30" s="2534"/>
      <c r="U30" s="1656"/>
      <c r="V30" s="2535" t="str">
        <f>IF(TITLE_IST_PUB_CHANGE="",IF(TITLE_IST_PUB="","",TITLE_IST_PUB),TITLE_IST_PUB_CHANGE)</f>
        <v/>
      </c>
      <c r="W30" s="2535"/>
      <c r="X30" s="2535"/>
      <c r="Y30" s="2535"/>
      <c r="Z30" s="2535"/>
      <c r="AA30" s="2535"/>
      <c r="AB30" s="610"/>
      <c r="AC30" s="2535" t="str">
        <f>IF(TITLE_IST_PUB_CHANGE="",IF(TITLE_IST_PUB="","",TITLE_IST_PUB),TITLE_IST_PUB_CHANGE)</f>
        <v/>
      </c>
      <c r="AD30" s="2535"/>
      <c r="AE30" s="2535"/>
      <c r="AF30" s="2535"/>
      <c r="AG30" s="2535"/>
      <c r="AH30" s="2535"/>
      <c r="AI30" s="610"/>
      <c r="AJ30" s="610"/>
      <c r="AK30" s="564"/>
      <c r="AL30" s="652"/>
      <c r="AM30" s="652"/>
      <c r="AN30" s="652"/>
      <c r="AO30" s="652"/>
      <c r="AP30" s="652"/>
      <c r="AQ30" s="702">
        <v>0</v>
      </c>
    </row>
    <row customHeight="1" ht="14.25">
      <c r="Q31" s="660"/>
      <c r="R31" s="660"/>
      <c r="S31" s="1559"/>
      <c r="T31" s="647"/>
      <c r="U31" s="647"/>
      <c r="V31" s="606"/>
      <c r="W31" s="606"/>
      <c r="X31" s="606"/>
      <c r="Y31" s="606"/>
      <c r="Z31" s="606"/>
      <c r="AA31" s="606"/>
      <c r="AB31" s="606"/>
      <c r="AC31" s="606"/>
      <c r="AD31" s="606"/>
      <c r="AE31" s="606"/>
      <c r="AF31" s="606"/>
      <c r="AG31" s="606"/>
      <c r="AH31" s="606"/>
      <c r="AI31" s="606"/>
      <c r="AJ31" s="793"/>
      <c r="AQ31" s="1439">
        <v>0</v>
      </c>
    </row>
    <row s="14284" customFormat="1" customHeight="1" ht="18.75">
      <c r="A32" s="1652"/>
      <c r="B32" s="1652"/>
      <c r="C32" s="1652"/>
      <c r="D32" s="1652"/>
      <c r="E32" s="1652"/>
      <c r="F32" s="1652"/>
      <c r="G32" s="1652"/>
      <c r="H32" s="1652"/>
      <c r="I32" s="1652"/>
      <c r="J32" s="1652"/>
      <c r="K32" s="1652"/>
      <c r="L32" s="1653"/>
      <c r="M32" s="1652"/>
      <c r="N32" s="1652"/>
      <c r="O32" s="1652"/>
      <c r="S32" s="2534" t="s">
        <v>427</v>
      </c>
      <c r="T32" s="2534"/>
      <c r="U32" s="1656"/>
      <c r="V32" s="2548" t="str">
        <f>IF(TITLE_DATE_PR_CHANGE="",IF(TITLE_DATE_PR="","",TITLE_DATE_PR),TITLE_DATE_PR_CHANGE)</f>
        <v>45471</v>
      </c>
      <c r="W32" s="2548"/>
      <c r="X32" s="2548"/>
      <c r="Y32" s="2548"/>
      <c r="Z32" s="2548"/>
      <c r="AA32" s="2548"/>
      <c r="AB32" s="610"/>
      <c r="AC32" s="2548" t="str">
        <f>IF(TITLE_DATE_PR_CHANGE="",IF(TITLE_DATE_PR="","",TITLE_DATE_PR),TITLE_DATE_PR_CHANGE)</f>
        <v>45471</v>
      </c>
      <c r="AD32" s="2548"/>
      <c r="AE32" s="2548"/>
      <c r="AF32" s="2548"/>
      <c r="AG32" s="2548"/>
      <c r="AH32" s="2548"/>
      <c r="AI32" s="610"/>
      <c r="AJ32" s="610"/>
      <c r="AK32" s="564"/>
      <c r="AL32" s="652"/>
      <c r="AM32" s="652"/>
      <c r="AN32" s="652"/>
      <c r="AO32" s="652"/>
      <c r="AP32" s="652"/>
      <c r="AQ32" s="702">
        <v>0</v>
      </c>
    </row>
    <row s="14284" customFormat="1" customHeight="1" ht="18.75">
      <c r="A33" s="1652"/>
      <c r="B33" s="1652"/>
      <c r="C33" s="1652"/>
      <c r="D33" s="1652"/>
      <c r="E33" s="1652"/>
      <c r="F33" s="1652"/>
      <c r="G33" s="1652"/>
      <c r="H33" s="1652"/>
      <c r="I33" s="1652"/>
      <c r="J33" s="1652"/>
      <c r="K33" s="1652"/>
      <c r="L33" s="1653"/>
      <c r="M33" s="1652"/>
      <c r="N33" s="1652"/>
      <c r="O33" s="1652"/>
      <c r="S33" s="2534" t="s">
        <v>428</v>
      </c>
      <c r="T33" s="2534"/>
      <c r="U33" s="1656"/>
      <c r="V33" s="2535" t="str">
        <f>IF(TITLE_NUMBER_PR_CHANGE="",IF(TITLE_NUMBER_PR="","",TITLE_NUMBER_PR),TITLE_NUMBER_PR_CHANGE)</f>
        <v>50/18-01/261</v>
      </c>
      <c r="W33" s="2535"/>
      <c r="X33" s="2535"/>
      <c r="Y33" s="2535"/>
      <c r="Z33" s="2535"/>
      <c r="AA33" s="2535"/>
      <c r="AB33" s="610"/>
      <c r="AC33" s="2535" t="str">
        <f>IF(TITLE_NUMBER_PR_CHANGE="",IF(TITLE_NUMBER_PR="","",TITLE_NUMBER_PR),TITLE_NUMBER_PR_CHANGE)</f>
        <v>50/18-01/261</v>
      </c>
      <c r="AD33" s="2535"/>
      <c r="AE33" s="2535"/>
      <c r="AF33" s="2535"/>
      <c r="AG33" s="2535"/>
      <c r="AH33" s="2535"/>
      <c r="AI33" s="610"/>
      <c r="AJ33" s="610"/>
      <c r="AK33" s="564"/>
      <c r="AL33" s="652"/>
      <c r="AM33" s="652"/>
      <c r="AN33" s="652"/>
      <c r="AO33" s="652"/>
      <c r="AP33" s="652"/>
      <c r="AQ33" s="702">
        <v>0</v>
      </c>
    </row>
    <row s="14284" customFormat="1" customHeight="1" ht="1.05">
      <c r="A34" s="1652"/>
      <c r="B34" s="1652"/>
      <c r="C34" s="1652"/>
      <c r="D34" s="1652"/>
      <c r="E34" s="1652"/>
      <c r="F34" s="1652"/>
      <c r="G34" s="1652"/>
      <c r="H34" s="1652"/>
      <c r="I34" s="1652"/>
      <c r="J34" s="1652"/>
      <c r="K34" s="1652"/>
      <c r="L34" s="1653"/>
      <c r="M34" s="1652"/>
      <c r="N34" s="1652"/>
      <c r="O34" s="1652"/>
      <c r="S34" s="607"/>
      <c r="T34" s="607"/>
      <c r="U34" s="1772"/>
      <c r="V34" s="610"/>
      <c r="W34" s="610"/>
      <c r="X34" s="610"/>
      <c r="Y34" s="610"/>
      <c r="Z34" s="610"/>
      <c r="AA34" s="610"/>
      <c r="AB34" s="562" t="s">
        <v>429</v>
      </c>
      <c r="AC34" s="610"/>
      <c r="AD34" s="610"/>
      <c r="AE34" s="610"/>
      <c r="AF34" s="610"/>
      <c r="AG34" s="610"/>
      <c r="AH34" s="610"/>
      <c r="AI34" s="562" t="s">
        <v>429</v>
      </c>
      <c r="AL34" s="652"/>
      <c r="AM34" s="652"/>
      <c r="AN34" s="652"/>
      <c r="AO34" s="652"/>
      <c r="AP34" s="652"/>
      <c r="AQ34" s="702">
        <v>1</v>
      </c>
    </row>
    <row customHeight="1" ht="14.699999999999998">
      <c r="Q35" s="660"/>
      <c r="R35" s="660"/>
      <c r="S35" s="1559"/>
      <c r="T35" s="647"/>
      <c r="U35" s="1528"/>
      <c r="V35" s="2536"/>
      <c r="W35" s="2536"/>
      <c r="X35" s="2536"/>
      <c r="Y35" s="2536"/>
      <c r="Z35" s="2536"/>
      <c r="AA35" s="2536"/>
      <c r="AB35" s="2536"/>
      <c r="AC35" s="2536"/>
      <c r="AD35" s="2536"/>
      <c r="AE35" s="2536"/>
      <c r="AF35" s="2536"/>
      <c r="AG35" s="2536"/>
      <c r="AH35" s="2536"/>
      <c r="AI35" s="2536"/>
      <c r="AQ35" s="1439">
        <v>14</v>
      </c>
    </row>
    <row customHeight="1" ht="14.699999999999998">
      <c r="Q36" s="660"/>
      <c r="R36" s="660"/>
      <c r="S36" s="2411" t="s">
        <v>305</v>
      </c>
      <c r="T36" s="2411"/>
      <c r="U36" s="2411"/>
      <c r="V36" s="2411"/>
      <c r="W36" s="2411"/>
      <c r="X36" s="2411"/>
      <c r="Y36" s="2411"/>
      <c r="Z36" s="2411"/>
      <c r="AA36" s="2411"/>
      <c r="AB36" s="2411"/>
      <c r="AC36" s="2411"/>
      <c r="AD36" s="2411"/>
      <c r="AE36" s="2411"/>
      <c r="AF36" s="2411"/>
      <c r="AG36" s="2411"/>
      <c r="AH36" s="2411"/>
      <c r="AI36" s="2411"/>
      <c r="AJ36" s="2411"/>
      <c r="AK36" s="2411" t="s">
        <v>306</v>
      </c>
      <c r="AQ36" s="1439">
        <v>14</v>
      </c>
    </row>
    <row customHeight="1" ht="14.699999999999998">
      <c r="Q37" s="660"/>
      <c r="R37" s="660"/>
      <c r="S37" s="2557" t="s">
        <v>89</v>
      </c>
      <c r="T37" s="2493" t="s">
        <v>430</v>
      </c>
      <c r="U37" s="585"/>
      <c r="V37" s="2558" t="s">
        <v>431</v>
      </c>
      <c r="W37" s="2559"/>
      <c r="X37" s="2559"/>
      <c r="Y37" s="2559"/>
      <c r="Z37" s="2559"/>
      <c r="AA37" s="2560"/>
      <c r="AB37" s="2561" t="s">
        <v>432</v>
      </c>
      <c r="AC37" s="2558" t="s">
        <v>431</v>
      </c>
      <c r="AD37" s="2559"/>
      <c r="AE37" s="2559"/>
      <c r="AF37" s="2559"/>
      <c r="AG37" s="2559"/>
      <c r="AH37" s="2560"/>
      <c r="AI37" s="2561" t="s">
        <v>433</v>
      </c>
      <c r="AJ37" s="2564" t="s">
        <v>434</v>
      </c>
      <c r="AK37" s="2411"/>
      <c r="AQ37" s="1439">
        <v>14</v>
      </c>
    </row>
    <row customHeight="1" ht="35.699999999999996">
      <c r="Q38" s="660"/>
      <c r="R38" s="660"/>
      <c r="S38" s="2557"/>
      <c r="T38" s="2493"/>
      <c r="U38" s="1315"/>
      <c r="V38" s="1767" t="s">
        <v>497</v>
      </c>
      <c r="W38" s="2546" t="s">
        <v>437</v>
      </c>
      <c r="X38" s="2547"/>
      <c r="Y38" s="2546" t="s">
        <v>438</v>
      </c>
      <c r="Z38" s="2553"/>
      <c r="AA38" s="2547"/>
      <c r="AB38" s="2562"/>
      <c r="AC38" s="1767" t="s">
        <v>497</v>
      </c>
      <c r="AD38" s="2546" t="s">
        <v>437</v>
      </c>
      <c r="AE38" s="2547"/>
      <c r="AF38" s="2546" t="s">
        <v>438</v>
      </c>
      <c r="AG38" s="2553"/>
      <c r="AH38" s="2547"/>
      <c r="AI38" s="2562"/>
      <c r="AJ38" s="2565"/>
      <c r="AK38" s="2411"/>
      <c r="AQ38" s="1439">
        <v>34</v>
      </c>
    </row>
    <row customHeight="1" ht="90.3">
      <c r="A39" s="1654"/>
      <c r="B39" s="1654" t="s">
        <v>136</v>
      </c>
      <c r="C39" s="1654" t="s">
        <v>137</v>
      </c>
      <c r="D39" s="1654" t="s">
        <v>138</v>
      </c>
      <c r="E39" s="1648" t="s">
        <v>439</v>
      </c>
      <c r="F39" s="1648" t="s">
        <v>440</v>
      </c>
      <c r="G39" s="1648" t="s">
        <v>441</v>
      </c>
      <c r="H39" s="1648"/>
      <c r="I39" s="1648" t="s">
        <v>498</v>
      </c>
      <c r="J39" s="1648" t="s">
        <v>444</v>
      </c>
      <c r="K39" s="1648" t="s">
        <v>499</v>
      </c>
      <c r="L39" s="1648" t="s">
        <v>420</v>
      </c>
      <c r="Q39" s="660"/>
      <c r="R39" s="660"/>
      <c r="S39" s="2557"/>
      <c r="T39" s="2493"/>
      <c r="U39" s="586"/>
      <c r="V39" s="1767" t="s">
        <v>526</v>
      </c>
      <c r="W39" s="1506" t="s">
        <v>527</v>
      </c>
      <c r="X39" s="1506" t="s">
        <v>502</v>
      </c>
      <c r="Y39" s="1773" t="s">
        <v>448</v>
      </c>
      <c r="Z39" s="2554" t="s">
        <v>449</v>
      </c>
      <c r="AA39" s="2555"/>
      <c r="AB39" s="2563"/>
      <c r="AC39" s="1767" t="s">
        <v>526</v>
      </c>
      <c r="AD39" s="1506" t="s">
        <v>527</v>
      </c>
      <c r="AE39" s="1506" t="s">
        <v>502</v>
      </c>
      <c r="AF39" s="1773" t="s">
        <v>448</v>
      </c>
      <c r="AG39" s="2554" t="s">
        <v>449</v>
      </c>
      <c r="AH39" s="2555"/>
      <c r="AI39" s="2563"/>
      <c r="AJ39" s="2566"/>
      <c r="AK39" s="2411"/>
      <c r="AQ39" s="1439">
        <v>86</v>
      </c>
    </row>
    <row s="14730" customFormat="1" customHeight="1" ht="11.25" hidden="1">
      <c r="A40" s="1654"/>
      <c r="B40" s="1654"/>
      <c r="C40" s="1654"/>
      <c r="D40" s="1654"/>
      <c r="E40" s="1654"/>
      <c r="F40" s="1654"/>
      <c r="G40" s="1654"/>
      <c r="H40" s="1654"/>
      <c r="I40" s="1654"/>
      <c r="J40" s="1654"/>
      <c r="K40" s="1654"/>
      <c r="L40" s="1648"/>
      <c r="M40" s="1646"/>
      <c r="N40" s="1646"/>
      <c r="O40" s="1646"/>
      <c r="P40" s="1530"/>
      <c r="Q40" s="1531"/>
      <c r="R40" s="1538">
        <v>1</v>
      </c>
      <c r="S40" s="1561" t="s">
        <v>110</v>
      </c>
      <c r="T40" s="1539" t="s">
        <v>111</v>
      </c>
      <c r="U40" s="1529" t="str">
        <f>OFFSET(U40,0,-1)</f>
        <v>2</v>
      </c>
      <c r="V40" s="1766">
        <f>OFFSET(V40,0,-1)+1</f>
        <v>3</v>
      </c>
      <c r="W40" s="1766">
        <f>OFFSET(W40,0,-1)+1</f>
        <v>4</v>
      </c>
      <c r="X40" s="1766">
        <f>OFFSET(X40,0,-1)+1</f>
        <v>5</v>
      </c>
      <c r="Y40" s="1766">
        <f>OFFSET(Y40,0,-1)+1</f>
        <v>6</v>
      </c>
      <c r="Z40" s="2556">
        <f>OFFSET(Z40,0,-1)+1</f>
        <v>7</v>
      </c>
      <c r="AA40" s="2556"/>
      <c r="AB40" s="1766">
        <f>OFFSET(AB40,0,-2)+1</f>
        <v>8</v>
      </c>
      <c r="AC40" s="1766">
        <f>OFFSET(AC40,0,-1)+1</f>
        <v>9</v>
      </c>
      <c r="AD40" s="1766">
        <f>OFFSET(AD40,0,-1)+1</f>
        <v>10</v>
      </c>
      <c r="AE40" s="1766">
        <f>OFFSET(AE40,0,-1)+1</f>
        <v>11</v>
      </c>
      <c r="AF40" s="1766">
        <f>OFFSET(AF40,0,-1)+1</f>
        <v>12</v>
      </c>
      <c r="AG40" s="2556">
        <f>OFFSET(AG40,0,-1)+1</f>
        <v>13</v>
      </c>
      <c r="AH40" s="2556"/>
      <c r="AI40" s="1766">
        <f>OFFSET(AI40,0,-2)+1</f>
        <v>14</v>
      </c>
      <c r="AJ40" s="1529">
        <f>OFFSET(AJ40,0,-1)</f>
        <v>14</v>
      </c>
      <c r="AK40" s="1766">
        <f>OFFSET(AK40,0,-1)+1</f>
        <v>15</v>
      </c>
      <c r="AL40" s="795"/>
      <c r="AM40" s="795"/>
      <c r="AN40" s="795"/>
      <c r="AO40" s="795"/>
      <c r="AP40" s="795"/>
      <c r="AQ40" s="780">
        <v>0</v>
      </c>
    </row>
    <row customHeight="1" ht="24">
      <c r="A41" s="1647" t="s">
        <v>271</v>
      </c>
      <c r="B41" s="1647"/>
      <c r="C41" s="1647"/>
      <c r="D41" s="1647"/>
      <c r="E41" s="2542">
        <v>1</v>
      </c>
      <c r="F41" s="1647"/>
      <c r="G41" s="1647"/>
      <c r="H41" s="1647"/>
      <c r="I41" s="1647"/>
      <c r="J41" s="1647"/>
      <c r="K41" s="1647"/>
      <c r="L41" s="1648"/>
      <c r="M41" s="1649"/>
      <c r="N41" s="1649"/>
      <c r="O41" s="1649"/>
      <c r="P41" s="645"/>
      <c r="Q41" s="644"/>
      <c r="R41" s="639"/>
      <c r="S41" s="1777">
        <f>INDEX(PT_DIFFERENTIATION_NUM_NTAR,MATCH(A41,PT_DIFFERENTIATION_NTAR_ID,0))</f>
        <v>0</v>
      </c>
      <c r="T41" s="582" t="s">
        <v>124</v>
      </c>
      <c r="U41" s="584"/>
      <c r="V41" s="2526"/>
      <c r="W41" s="2527"/>
      <c r="X41" s="2527"/>
      <c r="Y41" s="2527"/>
      <c r="Z41" s="2527"/>
      <c r="AA41" s="2527"/>
      <c r="AB41" s="2528"/>
      <c r="AC41" s="2526" t="str">
        <f>INDEX(PT_DIFFERENTIATION_NTAR,MATCH(A41,PT_DIFFERENTIATION_NTAR_ID,0))</f>
        <v/>
      </c>
      <c r="AD41" s="2527"/>
      <c r="AE41" s="2527"/>
      <c r="AF41" s="2527"/>
      <c r="AG41" s="2527"/>
      <c r="AH41" s="2527"/>
      <c r="AI41" s="2527"/>
      <c r="AJ41" s="2528"/>
      <c r="AK41" s="154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784"/>
      <c r="AN41" s="784" t="str">
        <f>IF(T41="","",T41)</f>
        <v>Наименование тарифа</v>
      </c>
      <c r="AO41" s="784"/>
      <c r="AP41" s="784"/>
      <c r="AQ41" s="1439">
        <v>23</v>
      </c>
    </row>
    <row customHeight="1" ht="24">
      <c r="A42" s="1647" t="s">
        <v>271</v>
      </c>
      <c r="B42" s="1647" t="s">
        <v>272</v>
      </c>
      <c r="C42" s="1647"/>
      <c r="D42" s="1647"/>
      <c r="E42" s="2543"/>
      <c r="F42" s="2542">
        <v>1</v>
      </c>
      <c r="G42" s="1647"/>
      <c r="H42" s="1647"/>
      <c r="I42" s="1647"/>
      <c r="J42" s="1647"/>
      <c r="K42" s="1647"/>
      <c r="L42" s="1648"/>
      <c r="M42" s="1649"/>
      <c r="N42" s="1649"/>
      <c r="O42" s="1649"/>
      <c r="P42" s="1771"/>
      <c r="Q42" s="636"/>
      <c r="R42" s="637"/>
      <c r="S42" s="1777" t="str">
        <f>INDEX(PT_DIFFERENTIATION_NUM_TER,MATCH(B42,PT_DIFFERENTIATION_TER_ID,0))</f>
        <v>.</v>
      </c>
      <c r="T42" s="592" t="s">
        <v>402</v>
      </c>
      <c r="U42" s="584"/>
      <c r="V42" s="2526"/>
      <c r="W42" s="2527"/>
      <c r="X42" s="2527"/>
      <c r="Y42" s="2527"/>
      <c r="Z42" s="2527"/>
      <c r="AA42" s="2527"/>
      <c r="AB42" s="2528"/>
      <c r="AC42" s="2526" t="str">
        <f>INDEX(PT_DIFFERENTIATION_TER,MATCH(B42,PT_DIFFERENTIATION_TER_ID,0))</f>
        <v/>
      </c>
      <c r="AD42" s="2527"/>
      <c r="AE42" s="2527"/>
      <c r="AF42" s="2527"/>
      <c r="AG42" s="2527"/>
      <c r="AH42" s="2527"/>
      <c r="AI42" s="2527"/>
      <c r="AJ42" s="2528"/>
      <c r="AK42" s="1542" t="s">
        <v>403</v>
      </c>
      <c r="AM42" s="784"/>
      <c r="AN42" s="784" t="str">
        <f>IF(T42="","",T42)</f>
        <v>Территория действия тарифа</v>
      </c>
      <c r="AO42" s="784"/>
      <c r="AP42" s="784"/>
      <c r="AQ42" s="1439">
        <v>23</v>
      </c>
    </row>
    <row customHeight="1" ht="24">
      <c r="A43" s="1647" t="s">
        <v>271</v>
      </c>
      <c r="B43" s="1647" t="s">
        <v>272</v>
      </c>
      <c r="C43" s="1647" t="s">
        <v>273</v>
      </c>
      <c r="D43" s="1647"/>
      <c r="E43" s="2543"/>
      <c r="F43" s="2543"/>
      <c r="G43" s="2542">
        <v>1</v>
      </c>
      <c r="H43" s="1647"/>
      <c r="I43" s="1647"/>
      <c r="J43" s="1647"/>
      <c r="K43" s="1647"/>
      <c r="L43" s="1648"/>
      <c r="M43" s="1649"/>
      <c r="N43" s="1649"/>
      <c r="O43" s="1649"/>
      <c r="P43" s="638"/>
      <c r="Q43" s="636"/>
      <c r="R43" s="637"/>
      <c r="S43" s="1777" t="str">
        <f>INDEX(PT_DIFFERENTIATION_NUM_CS,MATCH(C43,PT_DIFFERENTIATION_CS_ID,0))</f>
        <v>..</v>
      </c>
      <c r="T43" s="593" t="s">
        <v>524</v>
      </c>
      <c r="U43" s="584"/>
      <c r="V43" s="2526"/>
      <c r="W43" s="2527"/>
      <c r="X43" s="2527"/>
      <c r="Y43" s="2527"/>
      <c r="Z43" s="2527"/>
      <c r="AA43" s="2527"/>
      <c r="AB43" s="2528"/>
      <c r="AC43" s="2526" t="str">
        <f>INDEX(PT_DIFFERENTIATION_CS,MATCH(C43,PT_DIFFERENTIATION_CS_ID,0))</f>
        <v/>
      </c>
      <c r="AD43" s="2527"/>
      <c r="AE43" s="2527"/>
      <c r="AF43" s="2527"/>
      <c r="AG43" s="2527"/>
      <c r="AH43" s="2527"/>
      <c r="AI43" s="2527"/>
      <c r="AJ43" s="2528"/>
      <c r="AK43" s="1542" t="s">
        <v>525</v>
      </c>
      <c r="AM43" s="784"/>
      <c r="AN43" s="784" t="str">
        <f>IF(T43="","",T43)</f>
        <v>Наименование централизованной системы водоотведения</v>
      </c>
      <c r="AO43" s="784"/>
      <c r="AP43" s="784"/>
      <c r="AQ43" s="1439">
        <v>23</v>
      </c>
    </row>
    <row customHeight="1" ht="24">
      <c r="A44" s="1647" t="s">
        <v>271</v>
      </c>
      <c r="B44" s="1647" t="s">
        <v>272</v>
      </c>
      <c r="C44" s="1647" t="s">
        <v>273</v>
      </c>
      <c r="D44" s="1647" t="s">
        <v>528</v>
      </c>
      <c r="E44" s="2543"/>
      <c r="F44" s="2543"/>
      <c r="G44" s="2543"/>
      <c r="H44" s="2543"/>
      <c r="I44" s="2540" t="str">
        <f>S43&amp;".1"</f>
        <v>...1</v>
      </c>
      <c r="J44" s="1647"/>
      <c r="K44" s="1647"/>
      <c r="L44" s="1648"/>
      <c r="P44" s="2541">
        <v>1</v>
      </c>
      <c r="Q44" s="1765"/>
      <c r="R44" s="640"/>
      <c r="S44" s="1777" t="str">
        <f>$I44</f>
        <v>...1</v>
      </c>
      <c r="T44" s="569" t="s">
        <v>491</v>
      </c>
      <c r="U44" s="584"/>
      <c r="V44" s="2634"/>
      <c r="W44" s="2635"/>
      <c r="X44" s="2635"/>
      <c r="Y44" s="2635"/>
      <c r="Z44" s="2635"/>
      <c r="AA44" s="2635"/>
      <c r="AB44" s="2636"/>
      <c r="AC44" s="2637"/>
      <c r="AD44" s="2638"/>
      <c r="AE44" s="2638"/>
      <c r="AF44" s="2638"/>
      <c r="AG44" s="2638"/>
      <c r="AH44" s="2638"/>
      <c r="AI44" s="2638"/>
      <c r="AJ44" s="2639"/>
      <c r="AK44" s="1542" t="s">
        <v>492</v>
      </c>
      <c r="AM44" s="784"/>
      <c r="AN44" s="784" t="str">
        <f>IF(T44="","",T44)</f>
        <v>Наименование признака дифференциации</v>
      </c>
      <c r="AO44" s="784"/>
      <c r="AP44" s="784"/>
      <c r="AQ44" s="1439">
        <v>23</v>
      </c>
    </row>
    <row customHeight="1" ht="24">
      <c r="A45" s="1647" t="s">
        <v>271</v>
      </c>
      <c r="B45" s="1647" t="s">
        <v>272</v>
      </c>
      <c r="C45" s="1647" t="s">
        <v>273</v>
      </c>
      <c r="D45" s="1647" t="s">
        <v>528</v>
      </c>
      <c r="E45" s="2543"/>
      <c r="F45" s="2543"/>
      <c r="G45" s="2543"/>
      <c r="H45" s="2543"/>
      <c r="I45" s="2570"/>
      <c r="J45" s="2540" t="str">
        <f>I44&amp;".1"</f>
        <v>...1.1</v>
      </c>
      <c r="K45" s="1647"/>
      <c r="L45" s="1648" t="s">
        <v>411</v>
      </c>
      <c r="P45" s="2541"/>
      <c r="Q45" s="2541">
        <v>1</v>
      </c>
      <c r="R45" s="641"/>
      <c r="S45" s="1777" t="str">
        <f>$J45</f>
        <v>...1.1</v>
      </c>
      <c r="T45" s="570" t="s">
        <v>412</v>
      </c>
      <c r="U45" s="584"/>
      <c r="V45" s="2529"/>
      <c r="W45" s="2530"/>
      <c r="X45" s="2530"/>
      <c r="Y45" s="2530"/>
      <c r="Z45" s="2530"/>
      <c r="AA45" s="2530"/>
      <c r="AB45" s="2531"/>
      <c r="AC45" s="2529"/>
      <c r="AD45" s="2530"/>
      <c r="AE45" s="2530"/>
      <c r="AF45" s="2530"/>
      <c r="AG45" s="2530"/>
      <c r="AH45" s="2530"/>
      <c r="AI45" s="2530"/>
      <c r="AJ45" s="2531"/>
      <c r="AK45" s="1591" t="s">
        <v>493</v>
      </c>
      <c r="AM45" s="784"/>
      <c r="AN45" s="784" t="str">
        <f>IF(T45="","",T45)</f>
        <v>Группа потребителей</v>
      </c>
      <c r="AO45" s="784"/>
      <c r="AP45" s="784"/>
      <c r="AQ45" s="1439">
        <v>23</v>
      </c>
    </row>
    <row customHeight="1" ht="24">
      <c r="A46" s="1647" t="s">
        <v>271</v>
      </c>
      <c r="B46" s="1647" t="s">
        <v>272</v>
      </c>
      <c r="C46" s="1647" t="s">
        <v>273</v>
      </c>
      <c r="D46" s="1647" t="s">
        <v>528</v>
      </c>
      <c r="E46" s="2543"/>
      <c r="F46" s="2543"/>
      <c r="G46" s="2543"/>
      <c r="H46" s="2543"/>
      <c r="I46" s="2570"/>
      <c r="J46" s="2570"/>
      <c r="K46" s="2540" t="str">
        <f>J45&amp;".1"</f>
        <v>...1.1.1</v>
      </c>
      <c r="L46" s="1648"/>
      <c r="P46" s="2541"/>
      <c r="Q46" s="2541"/>
      <c r="R46" s="641">
        <v>1</v>
      </c>
      <c r="S46" s="1777" t="str">
        <f>$K46</f>
        <v>...1.1.1</v>
      </c>
      <c r="T46" s="1721"/>
      <c r="U46" s="584"/>
      <c r="V46" s="1644"/>
      <c r="W46" s="1644"/>
      <c r="X46" s="1645"/>
      <c r="Y46" s="2551"/>
      <c r="Z46" s="2552" t="s">
        <v>67</v>
      </c>
      <c r="AA46" s="2551"/>
      <c r="AB46" s="2552" t="s">
        <v>67</v>
      </c>
      <c r="AC46" s="1035"/>
      <c r="AD46" s="1035"/>
      <c r="AE46" s="1541"/>
      <c r="AF46" s="2549"/>
      <c r="AG46" s="2391" t="s">
        <v>67</v>
      </c>
      <c r="AH46" s="2571"/>
      <c r="AI46" s="2391" t="s">
        <v>19</v>
      </c>
      <c r="AJ46" s="1722"/>
      <c r="AK46" s="263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795">
        <f>STRCHECKDATE(V47:AJ47)</f>
      </c>
      <c r="AM46" s="784"/>
      <c r="AN46" s="784" t="str">
        <f>IF(T46="","",T46)</f>
        <v/>
      </c>
      <c r="AO46" s="784"/>
      <c r="AP46" s="784"/>
      <c r="AQ46" s="1439">
        <v>23</v>
      </c>
    </row>
    <row customHeight="1" ht="0">
      <c r="A47" s="1647" t="s">
        <v>271</v>
      </c>
      <c r="B47" s="1647" t="s">
        <v>272</v>
      </c>
      <c r="C47" s="1647" t="s">
        <v>273</v>
      </c>
      <c r="D47" s="1647" t="s">
        <v>528</v>
      </c>
      <c r="E47" s="2543"/>
      <c r="F47" s="2543"/>
      <c r="G47" s="2543"/>
      <c r="H47" s="2543"/>
      <c r="I47" s="2570"/>
      <c r="J47" s="2570"/>
      <c r="K47" s="2540"/>
      <c r="L47" s="1648"/>
      <c r="P47" s="2541"/>
      <c r="Q47" s="2541"/>
      <c r="R47" s="641"/>
      <c r="S47" s="1774"/>
      <c r="T47" s="584"/>
      <c r="U47" s="584"/>
      <c r="V47" s="1644"/>
      <c r="W47" s="1644"/>
      <c r="X47" s="612" t="str">
        <f>Y46&amp;"-"&amp;AA46</f>
        <v>-</v>
      </c>
      <c r="Y47" s="2552"/>
      <c r="Z47" s="2552"/>
      <c r="AA47" s="2552"/>
      <c r="AB47" s="2552"/>
      <c r="AC47" s="609"/>
      <c r="AD47" s="609"/>
      <c r="AE47" s="612" t="str">
        <f>AF46&amp;"-"&amp;AH46</f>
        <v>-</v>
      </c>
      <c r="AF47" s="2550"/>
      <c r="AG47" s="2391"/>
      <c r="AH47" s="2572"/>
      <c r="AI47" s="2391"/>
      <c r="AJ47" s="1723"/>
      <c r="AK47" s="2633"/>
      <c r="AM47" s="784"/>
      <c r="AN47" s="784" t="str">
        <f>IF(T47="","",T47)</f>
        <v/>
      </c>
      <c r="AO47" s="784"/>
      <c r="AP47" s="784"/>
      <c r="AQ47" s="1439">
        <v>0</v>
      </c>
    </row>
    <row customHeight="1" ht="21">
      <c r="A48" s="1647" t="s">
        <v>271</v>
      </c>
      <c r="B48" s="1647" t="s">
        <v>272</v>
      </c>
      <c r="C48" s="1647" t="s">
        <v>273</v>
      </c>
      <c r="D48" s="1647" t="s">
        <v>528</v>
      </c>
      <c r="E48" s="2543"/>
      <c r="F48" s="2543"/>
      <c r="G48" s="2543"/>
      <c r="H48" s="2543"/>
      <c r="I48" s="2570"/>
      <c r="J48" s="2540"/>
      <c r="K48" s="1647"/>
      <c r="L48" s="1648"/>
      <c r="P48" s="2541"/>
      <c r="Q48" s="2541"/>
      <c r="R48" s="640"/>
      <c r="S48" s="1562"/>
      <c r="T48" s="571" t="s">
        <v>494</v>
      </c>
      <c r="U48" s="651"/>
      <c r="V48" s="651"/>
      <c r="W48" s="651"/>
      <c r="X48" s="651"/>
      <c r="Y48" s="651"/>
      <c r="Z48" s="651"/>
      <c r="AA48" s="651"/>
      <c r="AB48" s="651"/>
      <c r="AC48" s="651"/>
      <c r="AD48" s="651"/>
      <c r="AE48" s="651"/>
      <c r="AF48" s="651"/>
      <c r="AG48" s="651"/>
      <c r="AH48" s="651"/>
      <c r="AI48" s="651"/>
      <c r="AJ48" s="651"/>
      <c r="AK48" s="1542" t="s">
        <v>495</v>
      </c>
      <c r="AM48" s="784"/>
      <c r="AN48" s="784" t="str">
        <f>IF(T48="","",T48)</f>
        <v>Добавить значение признака дифференциации</v>
      </c>
      <c r="AO48" s="784"/>
      <c r="AP48" s="784"/>
      <c r="AQ48" s="1439">
        <v>20</v>
      </c>
    </row>
    <row customHeight="1" ht="22.049999999999997">
      <c r="A49" s="1647" t="s">
        <v>271</v>
      </c>
      <c r="B49" s="1647" t="s">
        <v>272</v>
      </c>
      <c r="C49" s="1647" t="s">
        <v>273</v>
      </c>
      <c r="D49" s="1647" t="s">
        <v>528</v>
      </c>
      <c r="E49" s="2543"/>
      <c r="F49" s="2543"/>
      <c r="G49" s="2543"/>
      <c r="H49" s="2543"/>
      <c r="I49" s="2540"/>
      <c r="J49" s="1647"/>
      <c r="K49" s="1647"/>
      <c r="L49" s="1648"/>
      <c r="P49" s="2541"/>
      <c r="Q49" s="1765"/>
      <c r="R49" s="640"/>
      <c r="S49" s="1562"/>
      <c r="T49" s="649" t="s">
        <v>417</v>
      </c>
      <c r="U49" s="651"/>
      <c r="V49" s="651"/>
      <c r="W49" s="651"/>
      <c r="X49" s="651"/>
      <c r="Y49" s="651"/>
      <c r="Z49" s="651"/>
      <c r="AA49" s="651"/>
      <c r="AB49" s="650"/>
      <c r="AC49" s="651"/>
      <c r="AD49" s="651"/>
      <c r="AE49" s="651"/>
      <c r="AF49" s="651"/>
      <c r="AG49" s="651"/>
      <c r="AH49" s="651"/>
      <c r="AI49" s="650"/>
      <c r="AJ49" s="651"/>
      <c r="AK49" s="1724"/>
      <c r="AM49" s="784"/>
      <c r="AN49" s="784" t="str">
        <f>IF(T49="","",T49)</f>
        <v>Добавить группу потребителей</v>
      </c>
      <c r="AO49" s="784"/>
      <c r="AP49" s="784"/>
      <c r="AQ49" s="1439">
        <v>21</v>
      </c>
    </row>
    <row customHeight="1" ht="22.049999999999997">
      <c r="A50" s="1647" t="s">
        <v>271</v>
      </c>
      <c r="B50" s="1647" t="s">
        <v>272</v>
      </c>
      <c r="C50" s="1647" t="s">
        <v>273</v>
      </c>
      <c r="D50" s="1647" t="s">
        <v>528</v>
      </c>
      <c r="E50" s="2543"/>
      <c r="F50" s="2543"/>
      <c r="G50" s="2543"/>
      <c r="H50" s="2542"/>
      <c r="I50" s="1647"/>
      <c r="J50" s="1647"/>
      <c r="K50" s="1647"/>
      <c r="L50" s="1648"/>
      <c r="M50" s="1649"/>
      <c r="N50" s="1649"/>
      <c r="O50" s="821"/>
      <c r="P50" s="644"/>
      <c r="Q50" s="659"/>
      <c r="R50" s="639"/>
      <c r="S50" s="1562"/>
      <c r="T50" s="656" t="s">
        <v>496</v>
      </c>
      <c r="U50" s="651"/>
      <c r="V50" s="651"/>
      <c r="W50" s="651"/>
      <c r="X50" s="651"/>
      <c r="Y50" s="651"/>
      <c r="Z50" s="651"/>
      <c r="AA50" s="651"/>
      <c r="AB50" s="650"/>
      <c r="AC50" s="651"/>
      <c r="AD50" s="651"/>
      <c r="AE50" s="651"/>
      <c r="AF50" s="651"/>
      <c r="AG50" s="651"/>
      <c r="AH50" s="651"/>
      <c r="AI50" s="650"/>
      <c r="AJ50" s="651"/>
      <c r="AK50" s="587"/>
      <c r="AM50" s="784"/>
      <c r="AN50" s="784" t="str">
        <f>IF(T50="","",T50)</f>
        <v>Добавить наименование признака дифференциации</v>
      </c>
      <c r="AO50" s="784"/>
      <c r="AP50" s="784"/>
      <c r="AQ50" s="1439">
        <v>21</v>
      </c>
    </row>
    <row s="14158" customFormat="1" customHeight="1" ht="0">
      <c r="A51" s="1627" t="s">
        <v>271</v>
      </c>
      <c r="B51" s="1627" t="s">
        <v>272</v>
      </c>
      <c r="C51" s="1598"/>
      <c r="D51" s="1598"/>
      <c r="E51" s="2543"/>
      <c r="F51" s="2542"/>
      <c r="G51" s="1598"/>
      <c r="H51" s="1598"/>
      <c r="I51" s="1598"/>
      <c r="J51" s="1598"/>
      <c r="K51" s="1598"/>
      <c r="L51" s="1778"/>
      <c r="M51" s="1605"/>
      <c r="N51" s="1605"/>
      <c r="P51" s="1600"/>
      <c r="Q51" s="1601"/>
      <c r="R51" s="1600"/>
      <c r="S51" s="1606"/>
      <c r="T51" s="1609" t="s">
        <v>170</v>
      </c>
      <c r="U51" s="1608"/>
      <c r="V51" s="1608"/>
      <c r="W51" s="1608"/>
      <c r="X51" s="1608"/>
      <c r="Y51" s="1608"/>
      <c r="Z51" s="1608"/>
      <c r="AA51" s="1608"/>
      <c r="AB51" s="1608"/>
      <c r="AC51" s="1608"/>
      <c r="AD51" s="1608"/>
      <c r="AE51" s="1608"/>
      <c r="AF51" s="1608"/>
      <c r="AG51" s="1608"/>
      <c r="AH51" s="1608"/>
      <c r="AI51" s="1608"/>
      <c r="AJ51" s="1608"/>
      <c r="AK51" s="1608"/>
      <c r="AM51" s="1073"/>
      <c r="AN51" s="1073" t="str">
        <f>IF(T51="","",T51)</f>
        <v>Добавить централизованную систему для дифференциации</v>
      </c>
      <c r="AO51" s="1073"/>
      <c r="AP51" s="1073"/>
      <c r="AQ51" s="802">
        <v>0</v>
      </c>
    </row>
    <row s="14158" customFormat="1" customHeight="1" ht="0">
      <c r="A52" s="1627" t="s">
        <v>271</v>
      </c>
      <c r="B52" s="1627"/>
      <c r="C52" s="1627"/>
      <c r="D52" s="1627"/>
      <c r="E52" s="2542"/>
      <c r="F52" s="1627"/>
      <c r="G52" s="1627"/>
      <c r="H52" s="1627"/>
      <c r="I52" s="1627"/>
      <c r="J52" s="1627"/>
      <c r="K52" s="1627"/>
      <c r="L52" s="1630"/>
      <c r="M52" s="1605"/>
      <c r="N52" s="1605"/>
      <c r="O52" s="802"/>
      <c r="P52" s="664"/>
      <c r="Q52" s="1628"/>
      <c r="R52" s="664"/>
      <c r="S52" s="1606"/>
      <c r="T52" s="1609" t="s">
        <v>171</v>
      </c>
      <c r="U52" s="1608"/>
      <c r="V52" s="1608"/>
      <c r="W52" s="1608"/>
      <c r="X52" s="1608"/>
      <c r="Y52" s="1608"/>
      <c r="Z52" s="1608"/>
      <c r="AA52" s="1608"/>
      <c r="AB52" s="1608"/>
      <c r="AC52" s="1608"/>
      <c r="AD52" s="1608"/>
      <c r="AE52" s="1608"/>
      <c r="AF52" s="1608"/>
      <c r="AG52" s="1608"/>
      <c r="AH52" s="1608"/>
      <c r="AI52" s="1608"/>
      <c r="AJ52" s="1608"/>
      <c r="AK52" s="1608"/>
      <c r="AM52" s="784"/>
      <c r="AN52" s="784" t="str">
        <f>IF(T52="","",T52)</f>
        <v>Добавить территорию для дифференциации</v>
      </c>
      <c r="AO52" s="784"/>
      <c r="AP52" s="784"/>
      <c r="AQ52" s="795">
        <v>0</v>
      </c>
    </row>
    <row s="14158" customFormat="1" customHeight="1" ht="0">
      <c r="A53" s="1598"/>
      <c r="B53" s="1598"/>
      <c r="C53" s="1598"/>
      <c r="D53" s="1598"/>
      <c r="E53" s="1627"/>
      <c r="F53" s="1598"/>
      <c r="G53" s="1598"/>
      <c r="H53" s="1598"/>
      <c r="I53" s="1598"/>
      <c r="J53" s="1598"/>
      <c r="K53" s="1598"/>
      <c r="L53" s="1778"/>
      <c r="M53" s="1605"/>
      <c r="N53" s="1605"/>
      <c r="P53" s="1600"/>
      <c r="Q53" s="1601"/>
      <c r="R53" s="1600"/>
      <c r="S53" s="1606"/>
      <c r="T53" s="1609" t="s">
        <v>172</v>
      </c>
      <c r="U53" s="1608"/>
      <c r="V53" s="1608"/>
      <c r="W53" s="1608"/>
      <c r="X53" s="1608"/>
      <c r="Y53" s="1608"/>
      <c r="Z53" s="1608"/>
      <c r="AA53" s="1608"/>
      <c r="AB53" s="1608"/>
      <c r="AC53" s="1608"/>
      <c r="AD53" s="1608"/>
      <c r="AE53" s="1608"/>
      <c r="AF53" s="1608"/>
      <c r="AG53" s="1608"/>
      <c r="AH53" s="1608"/>
      <c r="AI53" s="1608"/>
      <c r="AJ53" s="1608"/>
      <c r="AK53" s="1608"/>
      <c r="AM53" s="1073"/>
      <c r="AN53" s="1073" t="str">
        <f>IF(T53="","",T53)</f>
        <v>Добавить наименование тарифа</v>
      </c>
      <c r="AO53" s="1073"/>
      <c r="AP53" s="1073"/>
      <c r="AQ53" s="802">
        <v>0</v>
      </c>
    </row>
    <row customHeight="1" ht="11.549999999999999">
      <c r="M54" s="1444"/>
      <c r="N54" s="1444"/>
      <c r="O54" s="821"/>
      <c r="P54" s="1439"/>
      <c r="Q54" s="1439"/>
      <c r="R54" s="1439"/>
      <c r="S54" s="1439"/>
      <c r="AL54" s="1439"/>
      <c r="AM54" s="1439"/>
      <c r="AN54" s="1439"/>
      <c r="AO54" s="1439"/>
      <c r="AP54" s="1439"/>
      <c r="AQ54" s="1439">
        <v>11</v>
      </c>
    </row>
    <row customHeight="1" ht="14.699999999999998">
      <c r="O55" s="821"/>
      <c r="S55" s="1537"/>
      <c r="T55" s="2569"/>
      <c r="U55" s="2569"/>
      <c r="V55" s="2569"/>
      <c r="W55" s="2569"/>
      <c r="X55" s="2569"/>
      <c r="Y55" s="2569"/>
      <c r="Z55" s="2569"/>
      <c r="AA55" s="2569"/>
      <c r="AB55" s="2569"/>
      <c r="AC55" s="2569"/>
      <c r="AD55" s="2569"/>
      <c r="AE55" s="2569"/>
      <c r="AF55" s="2569"/>
      <c r="AG55" s="2569"/>
      <c r="AH55" s="2569"/>
      <c r="AI55" s="2569"/>
      <c r="AJ55" s="2569"/>
      <c r="AK55" s="2569"/>
      <c r="AQ55" s="1439">
        <v>14</v>
      </c>
    </row>
    <row customHeight="1" ht="14.699999999999998">
      <c r="O56" s="821"/>
      <c r="AQ56" s="1439">
        <v>14</v>
      </c>
    </row>
    <row customHeight="1" ht="14.699999999999998">
      <c r="O57" s="821"/>
      <c r="S57" s="1537"/>
      <c r="T57" s="2569"/>
      <c r="U57" s="2569"/>
      <c r="V57" s="2569"/>
      <c r="W57" s="2569"/>
      <c r="X57" s="2569"/>
      <c r="Y57" s="2569"/>
      <c r="Z57" s="2569"/>
      <c r="AA57" s="2569"/>
      <c r="AB57" s="2569"/>
      <c r="AC57" s="2569"/>
      <c r="AD57" s="2569"/>
      <c r="AE57" s="2569"/>
      <c r="AF57" s="2569"/>
      <c r="AG57" s="2569"/>
      <c r="AH57" s="2569"/>
      <c r="AI57" s="2569"/>
      <c r="AJ57" s="2569"/>
      <c r="AK57" s="2569"/>
      <c r="AQ57" s="1439">
        <v>14</v>
      </c>
    </row>
    <row customHeight="1" ht="22.5" hidden="1">
      <c r="A58" s="1444" t="s">
        <v>83</v>
      </c>
      <c r="B58" s="1444">
        <v>0</v>
      </c>
      <c r="C58" s="1444">
        <v>0</v>
      </c>
      <c r="D58" s="1444">
        <v>0</v>
      </c>
      <c r="E58" s="1444">
        <v>0</v>
      </c>
      <c r="F58" s="1444">
        <v>0</v>
      </c>
      <c r="G58" s="1444">
        <v>0</v>
      </c>
      <c r="H58" s="1444">
        <v>0</v>
      </c>
      <c r="I58" s="1444">
        <v>0</v>
      </c>
      <c r="J58" s="1444">
        <v>0</v>
      </c>
      <c r="K58" s="1444">
        <v>0</v>
      </c>
      <c r="L58" s="1762">
        <v>0</v>
      </c>
      <c r="M58" s="1646">
        <v>0</v>
      </c>
      <c r="N58" s="1646">
        <v>0</v>
      </c>
      <c r="O58" s="1646">
        <v>0</v>
      </c>
      <c r="P58" s="1757">
        <v>3</v>
      </c>
      <c r="Q58" s="628">
        <v>3</v>
      </c>
      <c r="R58" s="628">
        <v>3</v>
      </c>
      <c r="S58" s="865">
        <v>12</v>
      </c>
      <c r="T58" s="1439">
        <v>35</v>
      </c>
      <c r="U58" s="1439">
        <v>0</v>
      </c>
      <c r="V58" s="1439">
        <v>0</v>
      </c>
      <c r="W58" s="1439">
        <v>0</v>
      </c>
      <c r="X58" s="1439">
        <v>0</v>
      </c>
      <c r="Y58" s="1439">
        <v>0</v>
      </c>
      <c r="Z58" s="1439">
        <v>0</v>
      </c>
      <c r="AA58" s="1439">
        <v>0</v>
      </c>
      <c r="AB58" s="1439">
        <v>0</v>
      </c>
      <c r="AC58" s="1439">
        <v>24</v>
      </c>
      <c r="AD58" s="1439">
        <v>24</v>
      </c>
      <c r="AE58" s="1439">
        <v>24</v>
      </c>
      <c r="AF58" s="1439">
        <v>11</v>
      </c>
      <c r="AG58" s="1439">
        <v>3</v>
      </c>
      <c r="AH58" s="1439">
        <v>11</v>
      </c>
      <c r="AI58" s="1439">
        <v>0</v>
      </c>
      <c r="AJ58" s="1439">
        <v>4</v>
      </c>
      <c r="AK58" s="1439">
        <v>115</v>
      </c>
      <c r="AL58" s="795">
        <v>10</v>
      </c>
      <c r="AM58" s="795">
        <v>10</v>
      </c>
      <c r="AN58" s="795">
        <v>10</v>
      </c>
      <c r="AO58" s="795">
        <v>10</v>
      </c>
      <c r="AP58" s="795">
        <v>10</v>
      </c>
      <c r="AQ58" s="1439">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9A57055-6858-B57F-75D1-BDFB5EB5F6C8}"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4157" width="10.57421875" hidden="1"/>
    <col min="2" max="2" style="14157" width="11.00390625" hidden="1" customWidth="1"/>
    <col min="3" max="3" style="14157" width="10.57421875" hidden="1"/>
    <col min="4" max="4" style="14157" width="11.8515625" hidden="1" customWidth="1"/>
    <col min="5" max="5" style="14157" width="10.00390625" hidden="1" customWidth="1"/>
    <col min="6" max="6" style="14157" width="8.7109375" hidden="1" customWidth="1"/>
    <col min="7" max="7" style="14157" width="7.57421875" hidden="1" customWidth="1"/>
    <col min="8" max="8" style="14157" width="11.421875" hidden="1" customWidth="1"/>
    <col min="9" max="9" style="14157" width="14.140625" hidden="1" customWidth="1"/>
    <col min="10" max="10" style="14157" width="9.8515625" hidden="1" customWidth="1"/>
    <col min="11" max="11" style="14157" width="14.7109375" hidden="1" customWidth="1"/>
    <col min="12" max="12" style="14974" width="19.140625" hidden="1" customWidth="1"/>
    <col min="13" max="14" style="14975" width="12.28125" hidden="1" customWidth="1"/>
    <col min="15" max="15" style="14975" width="23.421875" hidden="1" customWidth="1"/>
    <col min="16" max="16" style="14976" width="3.00390625" customWidth="1"/>
    <col min="17" max="18" style="14977" width="3.00390625" customWidth="1"/>
    <col min="19" max="19" style="14978" width="12.00390625" customWidth="1"/>
    <col min="20" max="20" style="14077" width="35.00390625" customWidth="1"/>
    <col min="21" max="21" style="14077" width="0.140625" customWidth="1"/>
    <col min="22" max="24" style="14077" width="24.7109375" hidden="1" customWidth="1"/>
    <col min="25" max="25" style="14077" width="11.7109375" hidden="1" customWidth="1"/>
    <col min="26" max="26" style="14077" width="3.7109375" hidden="1" customWidth="1"/>
    <col min="27" max="27" style="14077" width="11.7109375" hidden="1" customWidth="1"/>
    <col min="28" max="28" style="14077" width="8.57421875" hidden="1" customWidth="1"/>
    <col min="29" max="29" style="14077" width="24.7109375" customWidth="1"/>
    <col min="30" max="31" style="14077" width="24.00390625" customWidth="1"/>
    <col min="32" max="32" style="14077" width="11.00390625" customWidth="1"/>
    <col min="33" max="33" style="14077" width="3.7109375" customWidth="1"/>
    <col min="34" max="34" style="14077" width="11.00390625" customWidth="1"/>
    <col min="35" max="35" style="14077" width="8.57421875" hidden="1" customWidth="1"/>
    <col min="36" max="36" style="14077" width="4.00390625" customWidth="1"/>
    <col min="37" max="37" style="14077" width="115.00390625" customWidth="1"/>
    <col min="38" max="42" style="14158" width="10.00390625" customWidth="1"/>
    <col min="43" max="43" style="14077" width="10.57421875" hidden="1"/>
  </cols>
  <sheetData>
    <row customHeight="1" ht="22.5" hidden="1">
      <c r="X1" s="611"/>
      <c r="Y1" s="611"/>
      <c r="AE1" s="611"/>
      <c r="AF1" s="611"/>
      <c r="AQ1" s="1439" t="s">
        <v>14</v>
      </c>
    </row>
    <row customHeight="1" ht="23.25" hidden="1">
      <c r="A2" s="1647"/>
      <c r="B2" s="1647"/>
      <c r="C2" s="1647"/>
      <c r="D2" s="1647"/>
      <c r="E2" s="2542">
        <v>1</v>
      </c>
      <c r="F2" s="1647"/>
      <c r="G2" s="1647"/>
      <c r="H2" s="1647"/>
      <c r="I2" s="1647"/>
      <c r="J2" s="1647"/>
      <c r="K2" s="1647"/>
      <c r="L2" s="1648"/>
      <c r="M2" s="1649"/>
      <c r="N2" s="1649"/>
      <c r="O2" s="1649"/>
      <c r="P2" s="645"/>
      <c r="Q2" s="644"/>
      <c r="R2" s="639"/>
      <c r="S2" s="1777">
        <f>INDEX(PT_DIFFERENTIATION_NUM_NTAR,MATCH(A2,PT_DIFFERENTIATION_NTAR_ID,0))</f>
      </c>
      <c r="T2" s="582" t="s">
        <v>124</v>
      </c>
      <c r="U2" s="584"/>
      <c r="V2" s="2526"/>
      <c r="W2" s="2527"/>
      <c r="X2" s="2527"/>
      <c r="Y2" s="2527"/>
      <c r="Z2" s="2527"/>
      <c r="AA2" s="2527"/>
      <c r="AB2" s="2528"/>
      <c r="AC2" s="2526">
        <f>INDEX(PT_DIFFERENTIATION_NTAR,MATCH(A2,PT_DIFFERENTIATION_NTAR_ID,0))</f>
      </c>
      <c r="AD2" s="2527"/>
      <c r="AE2" s="2527"/>
      <c r="AF2" s="2527"/>
      <c r="AG2" s="2527"/>
      <c r="AH2" s="2527"/>
      <c r="AI2" s="2527"/>
      <c r="AJ2" s="2528"/>
      <c r="AK2" s="154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784"/>
      <c r="AN2" s="784" t="str">
        <f>IF(T2="","",T2)</f>
        <v>Наименование тарифа</v>
      </c>
      <c r="AO2" s="784"/>
      <c r="AP2" s="784"/>
      <c r="AQ2" s="1439">
        <v>0</v>
      </c>
    </row>
    <row customHeight="1" ht="23.25" hidden="1">
      <c r="A3" s="1647"/>
      <c r="B3" s="1647"/>
      <c r="C3" s="1647"/>
      <c r="D3" s="1647"/>
      <c r="E3" s="2543"/>
      <c r="F3" s="2542">
        <v>1</v>
      </c>
      <c r="G3" s="1647"/>
      <c r="H3" s="1647"/>
      <c r="I3" s="1647"/>
      <c r="J3" s="1647"/>
      <c r="K3" s="1647"/>
      <c r="L3" s="1648"/>
      <c r="M3" s="1649"/>
      <c r="N3" s="1649"/>
      <c r="O3" s="1649"/>
      <c r="P3" s="1771"/>
      <c r="Q3" s="636"/>
      <c r="R3" s="637"/>
      <c r="S3" s="1777">
        <f>INDEX(PT_DIFFERENTIATION_NUM_TER,MATCH(B3,PT_DIFFERENTIATION_TER_ID,0))</f>
      </c>
      <c r="T3" s="592" t="s">
        <v>402</v>
      </c>
      <c r="U3" s="584"/>
      <c r="V3" s="2526"/>
      <c r="W3" s="2527"/>
      <c r="X3" s="2527"/>
      <c r="Y3" s="2527"/>
      <c r="Z3" s="2527"/>
      <c r="AA3" s="2527"/>
      <c r="AB3" s="2528"/>
      <c r="AC3" s="2526">
        <f>INDEX(PT_DIFFERENTIATION_TER,MATCH(B3,PT_DIFFERENTIATION_TER_ID,0))</f>
      </c>
      <c r="AD3" s="2527"/>
      <c r="AE3" s="2527"/>
      <c r="AF3" s="2527"/>
      <c r="AG3" s="2527"/>
      <c r="AH3" s="2527"/>
      <c r="AI3" s="2527"/>
      <c r="AJ3" s="2528"/>
      <c r="AK3" s="1542" t="s">
        <v>403</v>
      </c>
      <c r="AM3" s="784"/>
      <c r="AN3" s="784" t="str">
        <f>IF(T3="","",T3)</f>
        <v>Территория действия тарифа</v>
      </c>
      <c r="AO3" s="784"/>
      <c r="AP3" s="784"/>
      <c r="AQ3" s="1439">
        <v>0</v>
      </c>
    </row>
    <row customHeight="1" ht="23.25" hidden="1">
      <c r="A4" s="1647"/>
      <c r="B4" s="1647"/>
      <c r="C4" s="1647"/>
      <c r="D4" s="1647"/>
      <c r="E4" s="2543"/>
      <c r="F4" s="2543"/>
      <c r="G4" s="2542">
        <v>1</v>
      </c>
      <c r="H4" s="1647"/>
      <c r="I4" s="1647"/>
      <c r="J4" s="1647"/>
      <c r="K4" s="1647"/>
      <c r="L4" s="1648"/>
      <c r="M4" s="1649"/>
      <c r="N4" s="1649"/>
      <c r="O4" s="1649"/>
      <c r="P4" s="638"/>
      <c r="Q4" s="636"/>
      <c r="R4" s="637"/>
      <c r="S4" s="1777">
        <f>INDEX(PT_DIFFERENTIATION_NUM_CS,MATCH(C4,PT_DIFFERENTIATION_CS_ID,0))</f>
      </c>
      <c r="T4" s="593" t="s">
        <v>524</v>
      </c>
      <c r="U4" s="584"/>
      <c r="V4" s="2526"/>
      <c r="W4" s="2527"/>
      <c r="X4" s="2527"/>
      <c r="Y4" s="2527"/>
      <c r="Z4" s="2527"/>
      <c r="AA4" s="2527"/>
      <c r="AB4" s="2528"/>
      <c r="AC4" s="2526">
        <f>INDEX(PT_DIFFERENTIATION_CS,MATCH(C4,PT_DIFFERENTIATION_CS_ID,0))</f>
      </c>
      <c r="AD4" s="2527"/>
      <c r="AE4" s="2527"/>
      <c r="AF4" s="2527"/>
      <c r="AG4" s="2527"/>
      <c r="AH4" s="2527"/>
      <c r="AI4" s="2527"/>
      <c r="AJ4" s="2528"/>
      <c r="AK4" s="1542" t="s">
        <v>525</v>
      </c>
      <c r="AM4" s="784"/>
      <c r="AN4" s="784" t="str">
        <f>IF(T4="","",T4)</f>
        <v>Наименование централизованной системы водоотведения</v>
      </c>
      <c r="AO4" s="784"/>
      <c r="AP4" s="784"/>
      <c r="AQ4" s="1439">
        <v>0</v>
      </c>
    </row>
    <row customHeight="1" ht="23.25" hidden="1">
      <c r="A5" s="1647"/>
      <c r="B5" s="1647"/>
      <c r="C5" s="1647"/>
      <c r="D5" s="1647"/>
      <c r="E5" s="2543"/>
      <c r="F5" s="2543"/>
      <c r="G5" s="2543"/>
      <c r="H5" s="2543"/>
      <c r="I5" s="2540">
        <f>S4&amp;".1"</f>
      </c>
      <c r="J5" s="1647"/>
      <c r="K5" s="1647"/>
      <c r="L5" s="1648"/>
      <c r="P5" s="2541">
        <v>1</v>
      </c>
      <c r="Q5" s="1765"/>
      <c r="R5" s="640"/>
      <c r="S5" s="1777">
        <f>$I5</f>
      </c>
      <c r="T5" s="569" t="s">
        <v>491</v>
      </c>
      <c r="U5" s="584"/>
      <c r="V5" s="2634"/>
      <c r="W5" s="2635"/>
      <c r="X5" s="2635"/>
      <c r="Y5" s="2635"/>
      <c r="Z5" s="2635"/>
      <c r="AA5" s="2635"/>
      <c r="AB5" s="2636"/>
      <c r="AC5" s="2637"/>
      <c r="AD5" s="2638"/>
      <c r="AE5" s="2638"/>
      <c r="AF5" s="2638"/>
      <c r="AG5" s="2638"/>
      <c r="AH5" s="2638"/>
      <c r="AI5" s="2638"/>
      <c r="AJ5" s="2639"/>
      <c r="AK5" s="1542" t="s">
        <v>492</v>
      </c>
      <c r="AM5" s="784"/>
      <c r="AN5" s="784" t="str">
        <f>IF(T5="","",T5)</f>
        <v>Наименование признака дифференциации</v>
      </c>
      <c r="AO5" s="784"/>
      <c r="AP5" s="784"/>
      <c r="AQ5" s="1439">
        <v>0</v>
      </c>
    </row>
    <row customHeight="1" ht="23.25" hidden="1">
      <c r="A6" s="1647"/>
      <c r="B6" s="1647"/>
      <c r="C6" s="1647"/>
      <c r="D6" s="1647"/>
      <c r="E6" s="2543"/>
      <c r="F6" s="2543"/>
      <c r="G6" s="2543"/>
      <c r="H6" s="2543"/>
      <c r="I6" s="2570"/>
      <c r="J6" s="2540">
        <f>I5&amp;".1"</f>
      </c>
      <c r="K6" s="1647"/>
      <c r="L6" s="1648" t="s">
        <v>411</v>
      </c>
      <c r="P6" s="2541"/>
      <c r="Q6" s="2541">
        <v>1</v>
      </c>
      <c r="R6" s="641"/>
      <c r="S6" s="1777">
        <f>$J6</f>
      </c>
      <c r="T6" s="570" t="s">
        <v>412</v>
      </c>
      <c r="U6" s="584"/>
      <c r="V6" s="2529"/>
      <c r="W6" s="2530"/>
      <c r="X6" s="2530"/>
      <c r="Y6" s="2530"/>
      <c r="Z6" s="2530"/>
      <c r="AA6" s="2530"/>
      <c r="AB6" s="2531"/>
      <c r="AC6" s="2529"/>
      <c r="AD6" s="2530"/>
      <c r="AE6" s="2530"/>
      <c r="AF6" s="2530"/>
      <c r="AG6" s="2530"/>
      <c r="AH6" s="2530"/>
      <c r="AI6" s="2530"/>
      <c r="AJ6" s="2531"/>
      <c r="AK6" s="1591" t="s">
        <v>493</v>
      </c>
      <c r="AM6" s="784"/>
      <c r="AN6" s="784" t="str">
        <f>IF(T6="","",T6)</f>
        <v>Группа потребителей</v>
      </c>
      <c r="AO6" s="784"/>
      <c r="AP6" s="784"/>
      <c r="AQ6" s="1439">
        <v>0</v>
      </c>
    </row>
    <row customHeight="1" ht="23.25" hidden="1">
      <c r="A7" s="1647"/>
      <c r="B7" s="1647"/>
      <c r="C7" s="1647"/>
      <c r="D7" s="1647"/>
      <c r="E7" s="2543"/>
      <c r="F7" s="2543"/>
      <c r="G7" s="2543"/>
      <c r="H7" s="2543"/>
      <c r="I7" s="2570"/>
      <c r="J7" s="2570"/>
      <c r="K7" s="2540">
        <f>J6&amp;".1"</f>
      </c>
      <c r="L7" s="1648"/>
      <c r="P7" s="2541"/>
      <c r="Q7" s="2541"/>
      <c r="R7" s="641">
        <v>1</v>
      </c>
      <c r="S7" s="1777">
        <f>$K7</f>
      </c>
      <c r="T7" s="1721"/>
      <c r="U7" s="584"/>
      <c r="V7" s="1035"/>
      <c r="W7" s="1035"/>
      <c r="X7" s="1541"/>
      <c r="Y7" s="2549"/>
      <c r="Z7" s="2391" t="s">
        <v>67</v>
      </c>
      <c r="AA7" s="2549"/>
      <c r="AB7" s="2391" t="s">
        <v>67</v>
      </c>
      <c r="AC7" s="1035"/>
      <c r="AD7" s="1035"/>
      <c r="AE7" s="1541"/>
      <c r="AF7" s="2549"/>
      <c r="AG7" s="2391" t="s">
        <v>67</v>
      </c>
      <c r="AH7" s="2571"/>
      <c r="AI7" s="2391" t="s">
        <v>67</v>
      </c>
      <c r="AJ7" s="1722"/>
      <c r="AK7" s="263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795">
        <f>STRCHECKDATE(V8:AJ8)</f>
      </c>
      <c r="AM7" s="784"/>
      <c r="AN7" s="784" t="str">
        <f>IF(T7="","",T7)</f>
        <v/>
      </c>
      <c r="AO7" s="784"/>
      <c r="AP7" s="784"/>
      <c r="AQ7" s="1439">
        <v>0</v>
      </c>
    </row>
    <row customHeight="1" ht="14.25" hidden="1">
      <c r="A8" s="1647"/>
      <c r="B8" s="1647"/>
      <c r="C8" s="1647"/>
      <c r="D8" s="1647"/>
      <c r="E8" s="2543"/>
      <c r="F8" s="2543"/>
      <c r="G8" s="2543"/>
      <c r="H8" s="2543"/>
      <c r="I8" s="2570"/>
      <c r="J8" s="2570"/>
      <c r="K8" s="2540"/>
      <c r="L8" s="1648"/>
      <c r="P8" s="2541"/>
      <c r="Q8" s="2541"/>
      <c r="R8" s="641"/>
      <c r="S8" s="1774"/>
      <c r="T8" s="584"/>
      <c r="U8" s="584"/>
      <c r="V8" s="609"/>
      <c r="W8" s="609"/>
      <c r="X8" s="612" t="str">
        <f>Y7&amp;"-"&amp;AA7</f>
        <v>-</v>
      </c>
      <c r="Y8" s="2550"/>
      <c r="Z8" s="2391"/>
      <c r="AA8" s="2550"/>
      <c r="AB8" s="2391"/>
      <c r="AC8" s="609"/>
      <c r="AD8" s="609"/>
      <c r="AE8" s="612" t="str">
        <f>AF7&amp;"-"&amp;AH7</f>
        <v>-</v>
      </c>
      <c r="AF8" s="2550"/>
      <c r="AG8" s="2391"/>
      <c r="AH8" s="2572"/>
      <c r="AI8" s="2391"/>
      <c r="AJ8" s="1723"/>
      <c r="AK8" s="2633"/>
      <c r="AM8" s="784"/>
      <c r="AN8" s="784" t="str">
        <f>IF(T8="","",T8)</f>
        <v/>
      </c>
      <c r="AO8" s="784"/>
      <c r="AP8" s="784"/>
      <c r="AQ8" s="1439">
        <v>0</v>
      </c>
    </row>
    <row customHeight="1" ht="21" hidden="1">
      <c r="A9" s="1647"/>
      <c r="B9" s="1647"/>
      <c r="C9" s="1647"/>
      <c r="D9" s="1647"/>
      <c r="E9" s="2543"/>
      <c r="F9" s="2543"/>
      <c r="G9" s="2543"/>
      <c r="H9" s="2543"/>
      <c r="I9" s="2570"/>
      <c r="J9" s="2540"/>
      <c r="K9" s="1647"/>
      <c r="L9" s="1648"/>
      <c r="P9" s="2541"/>
      <c r="Q9" s="2541"/>
      <c r="R9" s="640"/>
      <c r="S9" s="1562"/>
      <c r="T9" s="571" t="s">
        <v>494</v>
      </c>
      <c r="U9" s="651"/>
      <c r="V9" s="651"/>
      <c r="W9" s="651"/>
      <c r="X9" s="651"/>
      <c r="Y9" s="651"/>
      <c r="Z9" s="651"/>
      <c r="AA9" s="651"/>
      <c r="AB9" s="651"/>
      <c r="AC9" s="651"/>
      <c r="AD9" s="651"/>
      <c r="AE9" s="651"/>
      <c r="AF9" s="651"/>
      <c r="AG9" s="651"/>
      <c r="AH9" s="651"/>
      <c r="AI9" s="651"/>
      <c r="AJ9" s="651"/>
      <c r="AK9" s="1542" t="s">
        <v>495</v>
      </c>
      <c r="AM9" s="784"/>
      <c r="AN9" s="784" t="str">
        <f>IF(T9="","",T9)</f>
        <v>Добавить значение признака дифференциации</v>
      </c>
      <c r="AO9" s="784"/>
      <c r="AP9" s="784"/>
      <c r="AQ9" s="1439">
        <v>0</v>
      </c>
    </row>
    <row customHeight="1" ht="21" hidden="1">
      <c r="A10" s="1647"/>
      <c r="B10" s="1647"/>
      <c r="C10" s="1647"/>
      <c r="D10" s="1647"/>
      <c r="E10" s="2543"/>
      <c r="F10" s="2543"/>
      <c r="G10" s="2543"/>
      <c r="H10" s="2543"/>
      <c r="I10" s="2540"/>
      <c r="J10" s="1647"/>
      <c r="K10" s="1647"/>
      <c r="L10" s="1648"/>
      <c r="P10" s="2541"/>
      <c r="Q10" s="1765"/>
      <c r="R10" s="640"/>
      <c r="S10" s="1562"/>
      <c r="T10" s="649" t="s">
        <v>417</v>
      </c>
      <c r="U10" s="651"/>
      <c r="V10" s="651"/>
      <c r="W10" s="651"/>
      <c r="X10" s="651"/>
      <c r="Y10" s="651"/>
      <c r="Z10" s="651"/>
      <c r="AA10" s="651"/>
      <c r="AB10" s="650"/>
      <c r="AC10" s="651"/>
      <c r="AD10" s="651"/>
      <c r="AE10" s="651"/>
      <c r="AF10" s="651"/>
      <c r="AG10" s="651"/>
      <c r="AH10" s="651"/>
      <c r="AI10" s="650"/>
      <c r="AJ10" s="651"/>
      <c r="AK10" s="1724"/>
      <c r="AM10" s="784"/>
      <c r="AN10" s="784" t="str">
        <f>IF(T10="","",T10)</f>
        <v>Добавить группу потребителей</v>
      </c>
      <c r="AO10" s="784"/>
      <c r="AP10" s="784"/>
      <c r="AQ10" s="1439">
        <v>0</v>
      </c>
    </row>
    <row customHeight="1" ht="21" hidden="1">
      <c r="A11" s="1647"/>
      <c r="B11" s="1647"/>
      <c r="C11" s="1647"/>
      <c r="D11" s="1647"/>
      <c r="E11" s="2543"/>
      <c r="F11" s="2543"/>
      <c r="G11" s="2543"/>
      <c r="H11" s="2542"/>
      <c r="I11" s="1647"/>
      <c r="J11" s="1647"/>
      <c r="K11" s="1647"/>
      <c r="L11" s="1648"/>
      <c r="M11" s="1649"/>
      <c r="N11" s="1649"/>
      <c r="O11" s="821"/>
      <c r="P11" s="644"/>
      <c r="Q11" s="659"/>
      <c r="R11" s="639"/>
      <c r="S11" s="1562"/>
      <c r="T11" s="656" t="s">
        <v>496</v>
      </c>
      <c r="U11" s="651"/>
      <c r="V11" s="651"/>
      <c r="W11" s="651"/>
      <c r="X11" s="651"/>
      <c r="Y11" s="651"/>
      <c r="Z11" s="651"/>
      <c r="AA11" s="651"/>
      <c r="AB11" s="650"/>
      <c r="AC11" s="651"/>
      <c r="AD11" s="651"/>
      <c r="AE11" s="651"/>
      <c r="AF11" s="651"/>
      <c r="AG11" s="651"/>
      <c r="AH11" s="651"/>
      <c r="AI11" s="650"/>
      <c r="AJ11" s="651"/>
      <c r="AK11" s="587"/>
      <c r="AM11" s="784"/>
      <c r="AN11" s="784" t="str">
        <f>IF(T11="","",T11)</f>
        <v>Добавить наименование признака дифференциации</v>
      </c>
      <c r="AO11" s="784"/>
      <c r="AP11" s="784"/>
      <c r="AQ11" s="1439">
        <v>0</v>
      </c>
    </row>
    <row s="14158" customFormat="1" customHeight="1" ht="14.25" hidden="1">
      <c r="A12" s="1627"/>
      <c r="B12" s="1627"/>
      <c r="C12" s="1598"/>
      <c r="D12" s="1598"/>
      <c r="E12" s="2543"/>
      <c r="F12" s="2542"/>
      <c r="G12" s="1598"/>
      <c r="H12" s="1598"/>
      <c r="I12" s="1598"/>
      <c r="J12" s="1598"/>
      <c r="K12" s="1598"/>
      <c r="L12" s="1778"/>
      <c r="M12" s="1605"/>
      <c r="N12" s="1605"/>
      <c r="P12" s="1600"/>
      <c r="Q12" s="1601"/>
      <c r="R12" s="1600"/>
      <c r="S12" s="1606"/>
      <c r="T12" s="1609" t="s">
        <v>170</v>
      </c>
      <c r="U12" s="1608"/>
      <c r="V12" s="1608"/>
      <c r="W12" s="1608"/>
      <c r="X12" s="1608"/>
      <c r="Y12" s="1608"/>
      <c r="Z12" s="1608"/>
      <c r="AA12" s="1608"/>
      <c r="AB12" s="1608"/>
      <c r="AC12" s="1608"/>
      <c r="AD12" s="1608"/>
      <c r="AE12" s="1608"/>
      <c r="AF12" s="1608"/>
      <c r="AG12" s="1608"/>
      <c r="AH12" s="1608"/>
      <c r="AI12" s="1608"/>
      <c r="AJ12" s="1608"/>
      <c r="AK12" s="1608"/>
      <c r="AM12" s="1073"/>
      <c r="AN12" s="1073" t="str">
        <f>IF(T12="","",T12)</f>
        <v>Добавить централизованную систему для дифференциации</v>
      </c>
      <c r="AO12" s="1073"/>
      <c r="AP12" s="1073"/>
      <c r="AQ12" s="802">
        <v>0</v>
      </c>
    </row>
    <row s="14158" customFormat="1" customHeight="1" ht="14.25" hidden="1">
      <c r="A13" s="1627"/>
      <c r="B13" s="1627"/>
      <c r="C13" s="1627"/>
      <c r="D13" s="1627"/>
      <c r="E13" s="2542"/>
      <c r="F13" s="1627"/>
      <c r="G13" s="1627"/>
      <c r="H13" s="1627"/>
      <c r="I13" s="1627"/>
      <c r="J13" s="1627"/>
      <c r="K13" s="1627"/>
      <c r="L13" s="1630"/>
      <c r="M13" s="1605"/>
      <c r="N13" s="1605"/>
      <c r="O13" s="802"/>
      <c r="P13" s="664"/>
      <c r="Q13" s="1628"/>
      <c r="R13" s="664"/>
      <c r="S13" s="1606"/>
      <c r="T13" s="1609" t="s">
        <v>171</v>
      </c>
      <c r="U13" s="1608"/>
      <c r="V13" s="1608"/>
      <c r="W13" s="1608"/>
      <c r="X13" s="1608"/>
      <c r="Y13" s="1608"/>
      <c r="Z13" s="1608"/>
      <c r="AA13" s="1608"/>
      <c r="AB13" s="1608"/>
      <c r="AC13" s="1608"/>
      <c r="AD13" s="1608"/>
      <c r="AE13" s="1608"/>
      <c r="AF13" s="1608"/>
      <c r="AG13" s="1608"/>
      <c r="AH13" s="1608"/>
      <c r="AI13" s="1608"/>
      <c r="AJ13" s="1608"/>
      <c r="AK13" s="1608"/>
      <c r="AM13" s="784"/>
      <c r="AN13" s="784" t="str">
        <f>IF(T13="","",T13)</f>
        <v>Добавить территорию для дифференциации</v>
      </c>
      <c r="AO13" s="784"/>
      <c r="AP13" s="784"/>
      <c r="AQ13" s="795">
        <v>0</v>
      </c>
    </row>
    <row customHeight="1" ht="14.25" hidden="1">
      <c r="AB14" s="611"/>
      <c r="AI14" s="611"/>
      <c r="AQ14" s="1439">
        <v>0</v>
      </c>
    </row>
    <row customHeight="1" ht="14.25" hidden="1">
      <c r="AC15" s="1644"/>
      <c r="AD15" s="1644"/>
      <c r="AE15" s="1645"/>
      <c r="AF15" s="2551"/>
      <c r="AG15" s="2552" t="s">
        <v>67</v>
      </c>
      <c r="AH15" s="2551"/>
      <c r="AI15" s="2552" t="s">
        <v>67</v>
      </c>
      <c r="AQ15" s="1439">
        <v>0</v>
      </c>
    </row>
    <row customHeight="1" ht="14.25" hidden="1">
      <c r="AC16" s="1644"/>
      <c r="AD16" s="1644"/>
      <c r="AE16" s="612" t="str">
        <f>AF15&amp;"-"&amp;AH15</f>
        <v>-</v>
      </c>
      <c r="AF16" s="2552"/>
      <c r="AG16" s="2552"/>
      <c r="AH16" s="2552"/>
      <c r="AI16" s="2552"/>
      <c r="AQ16" s="1439">
        <v>0</v>
      </c>
    </row>
    <row customHeight="1" ht="14.25" hidden="1">
      <c r="AI17" s="611"/>
      <c r="AQ17" s="1439">
        <v>0</v>
      </c>
    </row>
    <row s="14157" customFormat="1" customHeight="1" ht="22.5" hidden="1">
      <c r="L18" s="1762"/>
      <c r="M18" s="1646"/>
      <c r="N18" s="1646"/>
      <c r="O18" s="1651" t="s">
        <v>419</v>
      </c>
      <c r="P18" s="1646"/>
      <c r="Q18" s="1655"/>
      <c r="R18" s="1655"/>
      <c r="S18" s="1013"/>
      <c r="Y18" s="1651"/>
      <c r="AA18" s="1651"/>
      <c r="AB18" s="1650"/>
      <c r="AF18" s="1651"/>
      <c r="AH18" s="1651"/>
      <c r="AI18" s="1650"/>
      <c r="AL18" s="795"/>
      <c r="AM18" s="795"/>
      <c r="AN18" s="795"/>
      <c r="AO18" s="795"/>
      <c r="AP18" s="795"/>
      <c r="AQ18" s="1444">
        <v>0</v>
      </c>
    </row>
    <row s="14157" customFormat="1" customHeight="1" ht="14.25" hidden="1">
      <c r="L19" s="1762"/>
      <c r="M19" s="1646"/>
      <c r="N19" s="1646"/>
      <c r="O19" s="1646"/>
      <c r="P19" s="1646"/>
      <c r="Q19" s="1655"/>
      <c r="R19" s="1655"/>
      <c r="S19" s="1013"/>
      <c r="AB19" s="1650"/>
      <c r="AI19" s="1650"/>
      <c r="AL19" s="795"/>
      <c r="AM19" s="795"/>
      <c r="AN19" s="795"/>
      <c r="AO19" s="795"/>
      <c r="AP19" s="795"/>
      <c r="AQ19" s="1444">
        <v>0</v>
      </c>
    </row>
    <row s="14157" customFormat="1" customHeight="1" ht="12" hidden="1">
      <c r="L20" s="1762"/>
      <c r="M20" s="1646"/>
      <c r="N20" s="1646"/>
      <c r="O20" s="1648" t="s">
        <v>420</v>
      </c>
      <c r="P20" s="1646"/>
      <c r="Q20" s="1726"/>
      <c r="R20" s="1726"/>
      <c r="S20" s="1013"/>
      <c r="T20" s="1444" t="s">
        <v>421</v>
      </c>
      <c r="Z20" s="470" t="s">
        <v>422</v>
      </c>
      <c r="AB20" s="470" t="s">
        <v>423</v>
      </c>
      <c r="AC20" s="1444" t="s">
        <v>421</v>
      </c>
      <c r="AG20" s="470" t="s">
        <v>424</v>
      </c>
      <c r="AI20" s="470" t="s">
        <v>423</v>
      </c>
      <c r="AQ20" s="1444">
        <v>0</v>
      </c>
    </row>
    <row customHeight="1" ht="14.25" hidden="1">
      <c r="O21" s="1648"/>
      <c r="AQ21" s="1439">
        <v>0</v>
      </c>
    </row>
    <row customHeight="1" ht="14.25" hidden="1">
      <c r="O22" s="1648"/>
      <c r="AQ22" s="1439">
        <v>0</v>
      </c>
    </row>
    <row customHeight="1" ht="14.699999999999998">
      <c r="Q23" s="660"/>
      <c r="R23" s="660"/>
      <c r="S23" s="1559"/>
      <c r="T23" s="647"/>
      <c r="U23" s="647"/>
      <c r="V23" s="793"/>
      <c r="W23" s="793"/>
      <c r="X23" s="793"/>
      <c r="Y23" s="793"/>
      <c r="Z23" s="793"/>
      <c r="AA23" s="793"/>
      <c r="AB23" s="793"/>
      <c r="AC23" s="793"/>
      <c r="AD23" s="793"/>
      <c r="AE23" s="793"/>
      <c r="AF23" s="793"/>
      <c r="AG23" s="793"/>
      <c r="AH23" s="793"/>
      <c r="AI23" s="793"/>
      <c r="AQ23" s="1439">
        <v>14</v>
      </c>
    </row>
    <row customHeight="1" ht="14.699999999999998">
      <c r="Q24" s="660"/>
      <c r="R24" s="660"/>
      <c r="S24" s="2532"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532"/>
      <c r="U24" s="2532"/>
      <c r="V24" s="2532"/>
      <c r="W24" s="2532"/>
      <c r="X24" s="2532"/>
      <c r="Y24" s="2532"/>
      <c r="Z24" s="2532"/>
      <c r="AA24" s="2532"/>
      <c r="AB24" s="2532"/>
      <c r="AC24" s="2532"/>
      <c r="AD24" s="2532"/>
      <c r="AE24" s="2532"/>
      <c r="AF24" s="2532"/>
      <c r="AG24" s="2532"/>
      <c r="AH24" s="2532"/>
      <c r="AI24" s="1527"/>
      <c r="AQ24" s="1439">
        <v>14</v>
      </c>
    </row>
    <row customHeight="1" ht="14.699999999999998">
      <c r="Q25" s="660"/>
      <c r="R25" s="660"/>
      <c r="S25" s="2533" t="str">
        <f>IF(org=0,"Не определено",org)</f>
        <v>МУП г. Азова "Теплоэнерго"</v>
      </c>
      <c r="T25" s="2533"/>
      <c r="U25" s="2533"/>
      <c r="V25" s="2533"/>
      <c r="W25" s="2533"/>
      <c r="X25" s="2533"/>
      <c r="Y25" s="2533"/>
      <c r="Z25" s="2533"/>
      <c r="AA25" s="2533"/>
      <c r="AB25" s="2533"/>
      <c r="AC25" s="2533"/>
      <c r="AD25" s="2533"/>
      <c r="AE25" s="2533"/>
      <c r="AF25" s="2533"/>
      <c r="AG25" s="2533"/>
      <c r="AH25" s="2533"/>
      <c r="AI25" s="1527"/>
      <c r="AQ25" s="1439">
        <v>14</v>
      </c>
    </row>
    <row customHeight="1" ht="14.25" hidden="1">
      <c r="Q26" s="660"/>
      <c r="R26" s="660"/>
      <c r="S26" s="1559"/>
      <c r="T26" s="647"/>
      <c r="U26" s="647"/>
      <c r="V26" s="606"/>
      <c r="W26" s="606"/>
      <c r="X26" s="606"/>
      <c r="Y26" s="606"/>
      <c r="Z26" s="606"/>
      <c r="AA26" s="606"/>
      <c r="AB26" s="606"/>
      <c r="AC26" s="606"/>
      <c r="AD26" s="606"/>
      <c r="AE26" s="606"/>
      <c r="AF26" s="606"/>
      <c r="AG26" s="606"/>
      <c r="AH26" s="606"/>
      <c r="AI26" s="606"/>
      <c r="AJ26" s="793"/>
      <c r="AQ26" s="1439">
        <v>0</v>
      </c>
    </row>
    <row s="14284" customFormat="1" customHeight="1" ht="25.5" hidden="1">
      <c r="A27" s="1652"/>
      <c r="B27" s="1652"/>
      <c r="C27" s="1652"/>
      <c r="D27" s="1652"/>
      <c r="E27" s="1652"/>
      <c r="F27" s="1652"/>
      <c r="G27" s="1652"/>
      <c r="H27" s="1652"/>
      <c r="I27" s="1652"/>
      <c r="J27" s="1652"/>
      <c r="K27" s="1652"/>
      <c r="L27" s="1653"/>
      <c r="M27" s="1652"/>
      <c r="N27" s="1652"/>
      <c r="O27" s="1652"/>
      <c r="S27" s="2534" t="s">
        <v>42</v>
      </c>
      <c r="T27" s="2534"/>
      <c r="U27" s="1656"/>
      <c r="V27" s="2535" t="str">
        <f>IF(TITLE_NAME_OR_PR_CHANGE="",IF(TITLE_NAME_OR_PR="","",TITLE_NAME_OR_PR),TITLE_NAME_OR_PR_CHANGE)</f>
        <v/>
      </c>
      <c r="W27" s="2535"/>
      <c r="X27" s="2535"/>
      <c r="Y27" s="2535"/>
      <c r="Z27" s="2535"/>
      <c r="AA27" s="2535"/>
      <c r="AB27" s="610"/>
      <c r="AC27" s="2535" t="str">
        <f>IF(TITLE_NAME_OR_PR_CHANGE="",IF(TITLE_NAME_OR_PR="","",TITLE_NAME_OR_PR),TITLE_NAME_OR_PR_CHANGE)</f>
        <v/>
      </c>
      <c r="AD27" s="2535"/>
      <c r="AE27" s="2535"/>
      <c r="AF27" s="2535"/>
      <c r="AG27" s="2535"/>
      <c r="AH27" s="2535"/>
      <c r="AI27" s="610"/>
      <c r="AJ27" s="610"/>
      <c r="AK27" s="564"/>
      <c r="AL27" s="652"/>
      <c r="AM27" s="652"/>
      <c r="AN27" s="652"/>
      <c r="AO27" s="652"/>
      <c r="AP27" s="652"/>
      <c r="AQ27" s="702">
        <v>0</v>
      </c>
    </row>
    <row s="14284" customFormat="1" customHeight="1" ht="18.75" hidden="1">
      <c r="A28" s="1652"/>
      <c r="B28" s="1652"/>
      <c r="C28" s="1652"/>
      <c r="D28" s="1652"/>
      <c r="E28" s="1652"/>
      <c r="F28" s="1652"/>
      <c r="G28" s="1652"/>
      <c r="H28" s="1652"/>
      <c r="I28" s="1652"/>
      <c r="J28" s="1652"/>
      <c r="K28" s="1652"/>
      <c r="L28" s="1653"/>
      <c r="M28" s="1652"/>
      <c r="N28" s="1652"/>
      <c r="O28" s="1652"/>
      <c r="S28" s="2534" t="s">
        <v>425</v>
      </c>
      <c r="T28" s="2534"/>
      <c r="U28" s="1656"/>
      <c r="V28" s="2548" t="str">
        <f>IF(TITLE_DATE_PR_CHANGE="",IF(TITLE_DATE_PR="","",TITLE_DATE_PR),TITLE_DATE_PR_CHANGE)</f>
        <v>45471</v>
      </c>
      <c r="W28" s="2548"/>
      <c r="X28" s="2548"/>
      <c r="Y28" s="2548"/>
      <c r="Z28" s="2548"/>
      <c r="AA28" s="2548"/>
      <c r="AB28" s="610"/>
      <c r="AC28" s="2548" t="str">
        <f>IF(TITLE_DATE_PR_CHANGE="",IF(TITLE_DATE_PR="","",TITLE_DATE_PR),TITLE_DATE_PR_CHANGE)</f>
        <v>45471</v>
      </c>
      <c r="AD28" s="2548"/>
      <c r="AE28" s="2548"/>
      <c r="AF28" s="2548"/>
      <c r="AG28" s="2548"/>
      <c r="AH28" s="2548"/>
      <c r="AI28" s="610"/>
      <c r="AJ28" s="610"/>
      <c r="AK28" s="564"/>
      <c r="AL28" s="652"/>
      <c r="AM28" s="652"/>
      <c r="AN28" s="652"/>
      <c r="AO28" s="652"/>
      <c r="AP28" s="652"/>
      <c r="AQ28" s="702">
        <v>0</v>
      </c>
    </row>
    <row s="14284" customFormat="1" customHeight="1" ht="18.75" hidden="1">
      <c r="A29" s="1652"/>
      <c r="B29" s="1652"/>
      <c r="C29" s="1652"/>
      <c r="D29" s="1652"/>
      <c r="E29" s="1652"/>
      <c r="F29" s="1652"/>
      <c r="G29" s="1652"/>
      <c r="H29" s="1652"/>
      <c r="I29" s="1652"/>
      <c r="J29" s="1652"/>
      <c r="K29" s="1652"/>
      <c r="L29" s="1653"/>
      <c r="M29" s="1652"/>
      <c r="N29" s="1652"/>
      <c r="O29" s="1652"/>
      <c r="S29" s="2534" t="s">
        <v>426</v>
      </c>
      <c r="T29" s="2534"/>
      <c r="U29" s="1656"/>
      <c r="V29" s="2535" t="str">
        <f>IF(TITLE_NUMBER_PR_CHANGE="",IF(TITLE_NUMBER_PR="","",TITLE_NUMBER_PR),TITLE_NUMBER_PR_CHANGE)</f>
        <v>50/18-01/261</v>
      </c>
      <c r="W29" s="2535"/>
      <c r="X29" s="2535"/>
      <c r="Y29" s="2535"/>
      <c r="Z29" s="2535"/>
      <c r="AA29" s="2535"/>
      <c r="AB29" s="610"/>
      <c r="AC29" s="2535" t="str">
        <f>IF(TITLE_NUMBER_PR_CHANGE="",IF(TITLE_NUMBER_PR="","",TITLE_NUMBER_PR),TITLE_NUMBER_PR_CHANGE)</f>
        <v>50/18-01/261</v>
      </c>
      <c r="AD29" s="2535"/>
      <c r="AE29" s="2535"/>
      <c r="AF29" s="2535"/>
      <c r="AG29" s="2535"/>
      <c r="AH29" s="2535"/>
      <c r="AI29" s="610"/>
      <c r="AJ29" s="610"/>
      <c r="AK29" s="564"/>
      <c r="AL29" s="652"/>
      <c r="AM29" s="652"/>
      <c r="AN29" s="652"/>
      <c r="AO29" s="652"/>
      <c r="AP29" s="652"/>
      <c r="AQ29" s="702">
        <v>0</v>
      </c>
    </row>
    <row s="14284" customFormat="1" customHeight="1" ht="18.75" hidden="1">
      <c r="A30" s="1652"/>
      <c r="B30" s="1652"/>
      <c r="C30" s="1652"/>
      <c r="D30" s="1652"/>
      <c r="E30" s="1652"/>
      <c r="F30" s="1652"/>
      <c r="G30" s="1652"/>
      <c r="H30" s="1652"/>
      <c r="I30" s="1652"/>
      <c r="J30" s="1652"/>
      <c r="K30" s="1652"/>
      <c r="L30" s="1653"/>
      <c r="M30" s="1652"/>
      <c r="N30" s="1652"/>
      <c r="O30" s="1652"/>
      <c r="S30" s="2534" t="s">
        <v>43</v>
      </c>
      <c r="T30" s="2534"/>
      <c r="U30" s="1656"/>
      <c r="V30" s="2535" t="str">
        <f>IF(TITLE_IST_PUB_CHANGE="",IF(TITLE_IST_PUB="","",TITLE_IST_PUB),TITLE_IST_PUB_CHANGE)</f>
        <v/>
      </c>
      <c r="W30" s="2535"/>
      <c r="X30" s="2535"/>
      <c r="Y30" s="2535"/>
      <c r="Z30" s="2535"/>
      <c r="AA30" s="2535"/>
      <c r="AB30" s="610"/>
      <c r="AC30" s="2535" t="str">
        <f>IF(TITLE_IST_PUB_CHANGE="",IF(TITLE_IST_PUB="","",TITLE_IST_PUB),TITLE_IST_PUB_CHANGE)</f>
        <v/>
      </c>
      <c r="AD30" s="2535"/>
      <c r="AE30" s="2535"/>
      <c r="AF30" s="2535"/>
      <c r="AG30" s="2535"/>
      <c r="AH30" s="2535"/>
      <c r="AI30" s="610"/>
      <c r="AJ30" s="610"/>
      <c r="AK30" s="564"/>
      <c r="AL30" s="652"/>
      <c r="AM30" s="652"/>
      <c r="AN30" s="652"/>
      <c r="AO30" s="652"/>
      <c r="AP30" s="652"/>
      <c r="AQ30" s="702">
        <v>0</v>
      </c>
    </row>
    <row customHeight="1" ht="14.25">
      <c r="Q31" s="660"/>
      <c r="R31" s="660"/>
      <c r="S31" s="1559"/>
      <c r="T31" s="647"/>
      <c r="U31" s="647"/>
      <c r="V31" s="606"/>
      <c r="W31" s="606"/>
      <c r="X31" s="606"/>
      <c r="Y31" s="606"/>
      <c r="Z31" s="606"/>
      <c r="AA31" s="606"/>
      <c r="AB31" s="606"/>
      <c r="AC31" s="606"/>
      <c r="AD31" s="606"/>
      <c r="AE31" s="606"/>
      <c r="AF31" s="606"/>
      <c r="AG31" s="606"/>
      <c r="AH31" s="606"/>
      <c r="AI31" s="606"/>
      <c r="AJ31" s="793"/>
      <c r="AQ31" s="1439">
        <v>0</v>
      </c>
    </row>
    <row s="14284" customFormat="1" customHeight="1" ht="18.75">
      <c r="A32" s="1652"/>
      <c r="B32" s="1652"/>
      <c r="C32" s="1652"/>
      <c r="D32" s="1652"/>
      <c r="E32" s="1652"/>
      <c r="F32" s="1652"/>
      <c r="G32" s="1652"/>
      <c r="H32" s="1652"/>
      <c r="I32" s="1652"/>
      <c r="J32" s="1652"/>
      <c r="K32" s="1652"/>
      <c r="L32" s="1653"/>
      <c r="M32" s="1652"/>
      <c r="N32" s="1652"/>
      <c r="O32" s="1652"/>
      <c r="S32" s="2534" t="s">
        <v>427</v>
      </c>
      <c r="T32" s="2534"/>
      <c r="U32" s="1656"/>
      <c r="V32" s="2548" t="str">
        <f>IF(TITLE_DATE_PR_CHANGE="",IF(TITLE_DATE_PR="","",TITLE_DATE_PR),TITLE_DATE_PR_CHANGE)</f>
        <v>45471</v>
      </c>
      <c r="W32" s="2548"/>
      <c r="X32" s="2548"/>
      <c r="Y32" s="2548"/>
      <c r="Z32" s="2548"/>
      <c r="AA32" s="2548"/>
      <c r="AB32" s="610"/>
      <c r="AC32" s="2548" t="str">
        <f>IF(TITLE_DATE_PR_CHANGE="",IF(TITLE_DATE_PR="","",TITLE_DATE_PR),TITLE_DATE_PR_CHANGE)</f>
        <v>45471</v>
      </c>
      <c r="AD32" s="2548"/>
      <c r="AE32" s="2548"/>
      <c r="AF32" s="2548"/>
      <c r="AG32" s="2548"/>
      <c r="AH32" s="2548"/>
      <c r="AI32" s="610"/>
      <c r="AJ32" s="610"/>
      <c r="AK32" s="564"/>
      <c r="AL32" s="652"/>
      <c r="AM32" s="652"/>
      <c r="AN32" s="652"/>
      <c r="AO32" s="652"/>
      <c r="AP32" s="652"/>
      <c r="AQ32" s="702">
        <v>0</v>
      </c>
    </row>
    <row s="14284" customFormat="1" customHeight="1" ht="18.75">
      <c r="A33" s="1652"/>
      <c r="B33" s="1652"/>
      <c r="C33" s="1652"/>
      <c r="D33" s="1652"/>
      <c r="E33" s="1652"/>
      <c r="F33" s="1652"/>
      <c r="G33" s="1652"/>
      <c r="H33" s="1652"/>
      <c r="I33" s="1652"/>
      <c r="J33" s="1652"/>
      <c r="K33" s="1652"/>
      <c r="L33" s="1653"/>
      <c r="M33" s="1652"/>
      <c r="N33" s="1652"/>
      <c r="O33" s="1652"/>
      <c r="S33" s="2534" t="s">
        <v>428</v>
      </c>
      <c r="T33" s="2534"/>
      <c r="U33" s="1656"/>
      <c r="V33" s="2535" t="str">
        <f>IF(TITLE_NUMBER_PR_CHANGE="",IF(TITLE_NUMBER_PR="","",TITLE_NUMBER_PR),TITLE_NUMBER_PR_CHANGE)</f>
        <v>50/18-01/261</v>
      </c>
      <c r="W33" s="2535"/>
      <c r="X33" s="2535"/>
      <c r="Y33" s="2535"/>
      <c r="Z33" s="2535"/>
      <c r="AA33" s="2535"/>
      <c r="AB33" s="610"/>
      <c r="AC33" s="2535" t="str">
        <f>IF(TITLE_NUMBER_PR_CHANGE="",IF(TITLE_NUMBER_PR="","",TITLE_NUMBER_PR),TITLE_NUMBER_PR_CHANGE)</f>
        <v>50/18-01/261</v>
      </c>
      <c r="AD33" s="2535"/>
      <c r="AE33" s="2535"/>
      <c r="AF33" s="2535"/>
      <c r="AG33" s="2535"/>
      <c r="AH33" s="2535"/>
      <c r="AI33" s="610"/>
      <c r="AJ33" s="610"/>
      <c r="AK33" s="564"/>
      <c r="AL33" s="652"/>
      <c r="AM33" s="652"/>
      <c r="AN33" s="652"/>
      <c r="AO33" s="652"/>
      <c r="AP33" s="652"/>
      <c r="AQ33" s="702">
        <v>0</v>
      </c>
    </row>
    <row s="14284" customFormat="1" customHeight="1" ht="1.05">
      <c r="A34" s="1652"/>
      <c r="B34" s="1652"/>
      <c r="C34" s="1652"/>
      <c r="D34" s="1652"/>
      <c r="E34" s="1652"/>
      <c r="F34" s="1652"/>
      <c r="G34" s="1652"/>
      <c r="H34" s="1652"/>
      <c r="I34" s="1652"/>
      <c r="J34" s="1652"/>
      <c r="K34" s="1652"/>
      <c r="L34" s="1653"/>
      <c r="M34" s="1652"/>
      <c r="N34" s="1652"/>
      <c r="O34" s="1652"/>
      <c r="S34" s="607"/>
      <c r="T34" s="607"/>
      <c r="U34" s="1772"/>
      <c r="V34" s="610"/>
      <c r="W34" s="610"/>
      <c r="X34" s="610"/>
      <c r="Y34" s="610"/>
      <c r="Z34" s="610"/>
      <c r="AA34" s="610"/>
      <c r="AB34" s="562" t="s">
        <v>429</v>
      </c>
      <c r="AC34" s="610"/>
      <c r="AD34" s="610"/>
      <c r="AE34" s="610"/>
      <c r="AF34" s="610"/>
      <c r="AG34" s="610"/>
      <c r="AH34" s="610"/>
      <c r="AI34" s="562" t="s">
        <v>429</v>
      </c>
      <c r="AL34" s="652"/>
      <c r="AM34" s="652"/>
      <c r="AN34" s="652"/>
      <c r="AO34" s="652"/>
      <c r="AP34" s="652"/>
      <c r="AQ34" s="702">
        <v>1</v>
      </c>
    </row>
    <row customHeight="1" ht="14.699999999999998">
      <c r="Q35" s="660"/>
      <c r="R35" s="660"/>
      <c r="S35" s="1559"/>
      <c r="T35" s="647"/>
      <c r="U35" s="1528"/>
      <c r="V35" s="2536"/>
      <c r="W35" s="2536"/>
      <c r="X35" s="2536"/>
      <c r="Y35" s="2536"/>
      <c r="Z35" s="2536"/>
      <c r="AA35" s="2536"/>
      <c r="AB35" s="2536"/>
      <c r="AC35" s="2536"/>
      <c r="AD35" s="2536"/>
      <c r="AE35" s="2536"/>
      <c r="AF35" s="2536"/>
      <c r="AG35" s="2536"/>
      <c r="AH35" s="2536"/>
      <c r="AI35" s="2536"/>
      <c r="AQ35" s="1439">
        <v>14</v>
      </c>
    </row>
    <row customHeight="1" ht="14.699999999999998">
      <c r="Q36" s="660"/>
      <c r="R36" s="660"/>
      <c r="S36" s="2411" t="s">
        <v>305</v>
      </c>
      <c r="T36" s="2411"/>
      <c r="U36" s="2411"/>
      <c r="V36" s="2411"/>
      <c r="W36" s="2411"/>
      <c r="X36" s="2411"/>
      <c r="Y36" s="2411"/>
      <c r="Z36" s="2411"/>
      <c r="AA36" s="2411"/>
      <c r="AB36" s="2411"/>
      <c r="AC36" s="2411"/>
      <c r="AD36" s="2411"/>
      <c r="AE36" s="2411"/>
      <c r="AF36" s="2411"/>
      <c r="AG36" s="2411"/>
      <c r="AH36" s="2411"/>
      <c r="AI36" s="2411"/>
      <c r="AJ36" s="2411"/>
      <c r="AK36" s="2411" t="s">
        <v>306</v>
      </c>
      <c r="AQ36" s="1439">
        <v>14</v>
      </c>
    </row>
    <row customHeight="1" ht="14.699999999999998">
      <c r="Q37" s="660"/>
      <c r="R37" s="660"/>
      <c r="S37" s="2557" t="s">
        <v>89</v>
      </c>
      <c r="T37" s="2493" t="s">
        <v>430</v>
      </c>
      <c r="U37" s="585"/>
      <c r="V37" s="2558" t="s">
        <v>431</v>
      </c>
      <c r="W37" s="2559"/>
      <c r="X37" s="2559"/>
      <c r="Y37" s="2559"/>
      <c r="Z37" s="2559"/>
      <c r="AA37" s="2560"/>
      <c r="AB37" s="2561" t="s">
        <v>432</v>
      </c>
      <c r="AC37" s="2558" t="s">
        <v>431</v>
      </c>
      <c r="AD37" s="2559"/>
      <c r="AE37" s="2559"/>
      <c r="AF37" s="2559"/>
      <c r="AG37" s="2559"/>
      <c r="AH37" s="2560"/>
      <c r="AI37" s="2561" t="s">
        <v>433</v>
      </c>
      <c r="AJ37" s="2564" t="s">
        <v>434</v>
      </c>
      <c r="AK37" s="2411"/>
      <c r="AQ37" s="1439">
        <v>14</v>
      </c>
    </row>
    <row customHeight="1" ht="35.699999999999996">
      <c r="Q38" s="660"/>
      <c r="R38" s="660"/>
      <c r="S38" s="2557"/>
      <c r="T38" s="2493"/>
      <c r="U38" s="1315"/>
      <c r="V38" s="1767" t="s">
        <v>497</v>
      </c>
      <c r="W38" s="2546" t="s">
        <v>437</v>
      </c>
      <c r="X38" s="2547"/>
      <c r="Y38" s="2546" t="s">
        <v>438</v>
      </c>
      <c r="Z38" s="2553"/>
      <c r="AA38" s="2547"/>
      <c r="AB38" s="2562"/>
      <c r="AC38" s="1767" t="s">
        <v>497</v>
      </c>
      <c r="AD38" s="2546" t="s">
        <v>437</v>
      </c>
      <c r="AE38" s="2547"/>
      <c r="AF38" s="2546" t="s">
        <v>438</v>
      </c>
      <c r="AG38" s="2553"/>
      <c r="AH38" s="2547"/>
      <c r="AI38" s="2562"/>
      <c r="AJ38" s="2565"/>
      <c r="AK38" s="2411"/>
      <c r="AQ38" s="1439">
        <v>34</v>
      </c>
    </row>
    <row customHeight="1" ht="90.3">
      <c r="A39" s="1654"/>
      <c r="B39" s="1654" t="s">
        <v>136</v>
      </c>
      <c r="C39" s="1654" t="s">
        <v>137</v>
      </c>
      <c r="D39" s="1654" t="s">
        <v>138</v>
      </c>
      <c r="E39" s="1648" t="s">
        <v>439</v>
      </c>
      <c r="F39" s="1648" t="s">
        <v>440</v>
      </c>
      <c r="G39" s="1648" t="s">
        <v>441</v>
      </c>
      <c r="H39" s="1648"/>
      <c r="I39" s="1648" t="s">
        <v>498</v>
      </c>
      <c r="J39" s="1648" t="s">
        <v>444</v>
      </c>
      <c r="K39" s="1648" t="s">
        <v>499</v>
      </c>
      <c r="L39" s="1648" t="s">
        <v>420</v>
      </c>
      <c r="Q39" s="660"/>
      <c r="R39" s="660"/>
      <c r="S39" s="2557"/>
      <c r="T39" s="2493"/>
      <c r="U39" s="586"/>
      <c r="V39" s="1767" t="s">
        <v>526</v>
      </c>
      <c r="W39" s="1506" t="s">
        <v>527</v>
      </c>
      <c r="X39" s="1506" t="s">
        <v>502</v>
      </c>
      <c r="Y39" s="1773" t="s">
        <v>448</v>
      </c>
      <c r="Z39" s="2554" t="s">
        <v>449</v>
      </c>
      <c r="AA39" s="2555"/>
      <c r="AB39" s="2563"/>
      <c r="AC39" s="1767" t="s">
        <v>526</v>
      </c>
      <c r="AD39" s="1506" t="s">
        <v>527</v>
      </c>
      <c r="AE39" s="1506" t="s">
        <v>502</v>
      </c>
      <c r="AF39" s="1773" t="s">
        <v>448</v>
      </c>
      <c r="AG39" s="2554" t="s">
        <v>449</v>
      </c>
      <c r="AH39" s="2555"/>
      <c r="AI39" s="2563"/>
      <c r="AJ39" s="2566"/>
      <c r="AK39" s="2411"/>
      <c r="AQ39" s="1439">
        <v>86</v>
      </c>
    </row>
    <row s="14730" customFormat="1" customHeight="1" ht="0">
      <c r="A40" s="1654"/>
      <c r="B40" s="1654"/>
      <c r="C40" s="1654"/>
      <c r="D40" s="1654"/>
      <c r="E40" s="1654"/>
      <c r="F40" s="1654"/>
      <c r="G40" s="1654"/>
      <c r="H40" s="1654"/>
      <c r="I40" s="1654"/>
      <c r="J40" s="1654"/>
      <c r="K40" s="1654"/>
      <c r="L40" s="1648"/>
      <c r="M40" s="1646"/>
      <c r="N40" s="1646"/>
      <c r="O40" s="1646"/>
      <c r="P40" s="1530"/>
      <c r="Q40" s="1531"/>
      <c r="R40" s="1538">
        <v>1</v>
      </c>
      <c r="S40" s="1561" t="s">
        <v>110</v>
      </c>
      <c r="T40" s="1539" t="s">
        <v>111</v>
      </c>
      <c r="U40" s="1529" t="str">
        <f>OFFSET(U40,0,-1)</f>
        <v>2</v>
      </c>
      <c r="V40" s="1766">
        <f>OFFSET(V40,0,-1)+1</f>
        <v>3</v>
      </c>
      <c r="W40" s="1766">
        <f>OFFSET(W40,0,-1)+1</f>
        <v>4</v>
      </c>
      <c r="X40" s="1766">
        <f>OFFSET(X40,0,-1)+1</f>
        <v>5</v>
      </c>
      <c r="Y40" s="1766">
        <f>OFFSET(Y40,0,-1)+1</f>
        <v>6</v>
      </c>
      <c r="Z40" s="2556">
        <f>OFFSET(Z40,0,-1)+1</f>
        <v>7</v>
      </c>
      <c r="AA40" s="2556"/>
      <c r="AB40" s="1766">
        <f>OFFSET(AB40,0,-2)+1</f>
        <v>8</v>
      </c>
      <c r="AC40" s="1766">
        <f>OFFSET(AC40,0,-1)+1</f>
        <v>9</v>
      </c>
      <c r="AD40" s="1766">
        <f>OFFSET(AD40,0,-1)+1</f>
        <v>10</v>
      </c>
      <c r="AE40" s="1766">
        <f>OFFSET(AE40,0,-1)+1</f>
        <v>11</v>
      </c>
      <c r="AF40" s="1766">
        <f>OFFSET(AF40,0,-1)+1</f>
        <v>12</v>
      </c>
      <c r="AG40" s="2556">
        <f>OFFSET(AG40,0,-1)+1</f>
        <v>13</v>
      </c>
      <c r="AH40" s="2556"/>
      <c r="AI40" s="1766">
        <f>OFFSET(AI40,0,-2)+1</f>
        <v>14</v>
      </c>
      <c r="AJ40" s="1529">
        <f>OFFSET(AJ40,0,-1)</f>
        <v>14</v>
      </c>
      <c r="AK40" s="1766">
        <f>OFFSET(AK40,0,-1)+1</f>
        <v>15</v>
      </c>
      <c r="AL40" s="795"/>
      <c r="AM40" s="795"/>
      <c r="AN40" s="795"/>
      <c r="AO40" s="795"/>
      <c r="AP40" s="795"/>
      <c r="AQ40" s="780">
        <v>0</v>
      </c>
    </row>
    <row customHeight="1" ht="24">
      <c r="A41" s="1647" t="s">
        <v>276</v>
      </c>
      <c r="B41" s="1647"/>
      <c r="C41" s="1647"/>
      <c r="D41" s="1647"/>
      <c r="E41" s="2542">
        <v>1</v>
      </c>
      <c r="F41" s="1647"/>
      <c r="G41" s="1647"/>
      <c r="H41" s="1647"/>
      <c r="I41" s="1647"/>
      <c r="J41" s="1647"/>
      <c r="K41" s="1647"/>
      <c r="L41" s="1648"/>
      <c r="M41" s="1649"/>
      <c r="N41" s="1649"/>
      <c r="O41" s="1649"/>
      <c r="P41" s="645"/>
      <c r="Q41" s="644"/>
      <c r="R41" s="639"/>
      <c r="S41" s="1777">
        <f>INDEX(PT_DIFFERENTIATION_NUM_NTAR,MATCH(A41,PT_DIFFERENTIATION_NTAR_ID,0))</f>
        <v>0</v>
      </c>
      <c r="T41" s="582" t="s">
        <v>124</v>
      </c>
      <c r="U41" s="584"/>
      <c r="V41" s="2526"/>
      <c r="W41" s="2527"/>
      <c r="X41" s="2527"/>
      <c r="Y41" s="2527"/>
      <c r="Z41" s="2527"/>
      <c r="AA41" s="2527"/>
      <c r="AB41" s="2528"/>
      <c r="AC41" s="2526" t="str">
        <f>INDEX(PT_DIFFERENTIATION_NTAR,MATCH(A41,PT_DIFFERENTIATION_NTAR_ID,0))</f>
        <v/>
      </c>
      <c r="AD41" s="2527"/>
      <c r="AE41" s="2527"/>
      <c r="AF41" s="2527"/>
      <c r="AG41" s="2527"/>
      <c r="AH41" s="2527"/>
      <c r="AI41" s="2527"/>
      <c r="AJ41" s="2528"/>
      <c r="AK41" s="154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784"/>
      <c r="AN41" s="784" t="str">
        <f>IF(T41="","",T41)</f>
        <v>Наименование тарифа</v>
      </c>
      <c r="AO41" s="784"/>
      <c r="AP41" s="784"/>
      <c r="AQ41" s="1439">
        <v>23</v>
      </c>
    </row>
    <row customHeight="1" ht="24">
      <c r="A42" s="1647" t="s">
        <v>276</v>
      </c>
      <c r="B42" s="1647" t="s">
        <v>277</v>
      </c>
      <c r="C42" s="1647"/>
      <c r="D42" s="1647"/>
      <c r="E42" s="2543"/>
      <c r="F42" s="2542">
        <v>1</v>
      </c>
      <c r="G42" s="1647"/>
      <c r="H42" s="1647"/>
      <c r="I42" s="1647"/>
      <c r="J42" s="1647"/>
      <c r="K42" s="1647"/>
      <c r="L42" s="1648"/>
      <c r="M42" s="1649"/>
      <c r="N42" s="1649"/>
      <c r="O42" s="1649"/>
      <c r="P42" s="1771"/>
      <c r="Q42" s="636"/>
      <c r="R42" s="637"/>
      <c r="S42" s="1777" t="str">
        <f>INDEX(PT_DIFFERENTIATION_NUM_TER,MATCH(B42,PT_DIFFERENTIATION_TER_ID,0))</f>
        <v>.</v>
      </c>
      <c r="T42" s="592" t="s">
        <v>402</v>
      </c>
      <c r="U42" s="584"/>
      <c r="V42" s="2526"/>
      <c r="W42" s="2527"/>
      <c r="X42" s="2527"/>
      <c r="Y42" s="2527"/>
      <c r="Z42" s="2527"/>
      <c r="AA42" s="2527"/>
      <c r="AB42" s="2528"/>
      <c r="AC42" s="2526" t="str">
        <f>INDEX(PT_DIFFERENTIATION_TER,MATCH(B42,PT_DIFFERENTIATION_TER_ID,0))</f>
        <v/>
      </c>
      <c r="AD42" s="2527"/>
      <c r="AE42" s="2527"/>
      <c r="AF42" s="2527"/>
      <c r="AG42" s="2527"/>
      <c r="AH42" s="2527"/>
      <c r="AI42" s="2527"/>
      <c r="AJ42" s="2528"/>
      <c r="AK42" s="1542" t="s">
        <v>403</v>
      </c>
      <c r="AM42" s="784"/>
      <c r="AN42" s="784" t="str">
        <f>IF(T42="","",T42)</f>
        <v>Территория действия тарифа</v>
      </c>
      <c r="AO42" s="784"/>
      <c r="AP42" s="784"/>
      <c r="AQ42" s="1439">
        <v>23</v>
      </c>
    </row>
    <row customHeight="1" ht="24">
      <c r="A43" s="1647" t="s">
        <v>276</v>
      </c>
      <c r="B43" s="1647" t="s">
        <v>277</v>
      </c>
      <c r="C43" s="1647" t="s">
        <v>278</v>
      </c>
      <c r="D43" s="1647"/>
      <c r="E43" s="2543"/>
      <c r="F43" s="2543"/>
      <c r="G43" s="2542">
        <v>1</v>
      </c>
      <c r="H43" s="1647"/>
      <c r="I43" s="1647"/>
      <c r="J43" s="1647"/>
      <c r="K43" s="1647"/>
      <c r="L43" s="1648"/>
      <c r="M43" s="1649"/>
      <c r="N43" s="1649"/>
      <c r="O43" s="1649"/>
      <c r="P43" s="638"/>
      <c r="Q43" s="636"/>
      <c r="R43" s="637"/>
      <c r="S43" s="1777" t="str">
        <f>INDEX(PT_DIFFERENTIATION_NUM_CS,MATCH(C43,PT_DIFFERENTIATION_CS_ID,0))</f>
        <v>..</v>
      </c>
      <c r="T43" s="593" t="s">
        <v>524</v>
      </c>
      <c r="U43" s="584"/>
      <c r="V43" s="2526"/>
      <c r="W43" s="2527"/>
      <c r="X43" s="2527"/>
      <c r="Y43" s="2527"/>
      <c r="Z43" s="2527"/>
      <c r="AA43" s="2527"/>
      <c r="AB43" s="2528"/>
      <c r="AC43" s="2526" t="str">
        <f>INDEX(PT_DIFFERENTIATION_CS,MATCH(C43,PT_DIFFERENTIATION_CS_ID,0))</f>
        <v/>
      </c>
      <c r="AD43" s="2527"/>
      <c r="AE43" s="2527"/>
      <c r="AF43" s="2527"/>
      <c r="AG43" s="2527"/>
      <c r="AH43" s="2527"/>
      <c r="AI43" s="2527"/>
      <c r="AJ43" s="2528"/>
      <c r="AK43" s="1542" t="s">
        <v>525</v>
      </c>
      <c r="AM43" s="784"/>
      <c r="AN43" s="784" t="str">
        <f>IF(T43="","",T43)</f>
        <v>Наименование централизованной системы водоотведения</v>
      </c>
      <c r="AO43" s="784"/>
      <c r="AP43" s="784"/>
      <c r="AQ43" s="1439">
        <v>23</v>
      </c>
    </row>
    <row customHeight="1" ht="24">
      <c r="A44" s="1647" t="s">
        <v>276</v>
      </c>
      <c r="B44" s="1647" t="s">
        <v>277</v>
      </c>
      <c r="C44" s="1647" t="s">
        <v>278</v>
      </c>
      <c r="D44" s="1647" t="s">
        <v>529</v>
      </c>
      <c r="E44" s="2543"/>
      <c r="F44" s="2543"/>
      <c r="G44" s="2543"/>
      <c r="H44" s="2543"/>
      <c r="I44" s="2540" t="str">
        <f>S43&amp;".1"</f>
        <v>...1</v>
      </c>
      <c r="J44" s="1647"/>
      <c r="K44" s="1647"/>
      <c r="L44" s="1648"/>
      <c r="P44" s="2541">
        <v>1</v>
      </c>
      <c r="Q44" s="1765"/>
      <c r="R44" s="640"/>
      <c r="S44" s="1777" t="str">
        <f>$I44</f>
        <v>...1</v>
      </c>
      <c r="T44" s="569" t="s">
        <v>491</v>
      </c>
      <c r="U44" s="584"/>
      <c r="V44" s="2634"/>
      <c r="W44" s="2635"/>
      <c r="X44" s="2635"/>
      <c r="Y44" s="2635"/>
      <c r="Z44" s="2635"/>
      <c r="AA44" s="2635"/>
      <c r="AB44" s="2636"/>
      <c r="AC44" s="2637"/>
      <c r="AD44" s="2638"/>
      <c r="AE44" s="2638"/>
      <c r="AF44" s="2638"/>
      <c r="AG44" s="2638"/>
      <c r="AH44" s="2638"/>
      <c r="AI44" s="2638"/>
      <c r="AJ44" s="2639"/>
      <c r="AK44" s="1542" t="s">
        <v>492</v>
      </c>
      <c r="AM44" s="784"/>
      <c r="AN44" s="784" t="str">
        <f>IF(T44="","",T44)</f>
        <v>Наименование признака дифференциации</v>
      </c>
      <c r="AO44" s="784"/>
      <c r="AP44" s="784"/>
      <c r="AQ44" s="1439">
        <v>23</v>
      </c>
    </row>
    <row customHeight="1" ht="24">
      <c r="A45" s="1647" t="s">
        <v>276</v>
      </c>
      <c r="B45" s="1647" t="s">
        <v>277</v>
      </c>
      <c r="C45" s="1647" t="s">
        <v>278</v>
      </c>
      <c r="D45" s="1647" t="s">
        <v>529</v>
      </c>
      <c r="E45" s="2543"/>
      <c r="F45" s="2543"/>
      <c r="G45" s="2543"/>
      <c r="H45" s="2543"/>
      <c r="I45" s="2570"/>
      <c r="J45" s="2540" t="str">
        <f>I44&amp;".1"</f>
        <v>...1.1</v>
      </c>
      <c r="K45" s="1647"/>
      <c r="L45" s="1648" t="s">
        <v>411</v>
      </c>
      <c r="P45" s="2541"/>
      <c r="Q45" s="2541">
        <v>1</v>
      </c>
      <c r="R45" s="641"/>
      <c r="S45" s="1777" t="str">
        <f>$J45</f>
        <v>...1.1</v>
      </c>
      <c r="T45" s="570" t="s">
        <v>412</v>
      </c>
      <c r="U45" s="584"/>
      <c r="V45" s="2529"/>
      <c r="W45" s="2530"/>
      <c r="X45" s="2530"/>
      <c r="Y45" s="2530"/>
      <c r="Z45" s="2530"/>
      <c r="AA45" s="2530"/>
      <c r="AB45" s="2531"/>
      <c r="AC45" s="2529"/>
      <c r="AD45" s="2530"/>
      <c r="AE45" s="2530"/>
      <c r="AF45" s="2530"/>
      <c r="AG45" s="2530"/>
      <c r="AH45" s="2530"/>
      <c r="AI45" s="2530"/>
      <c r="AJ45" s="2531"/>
      <c r="AK45" s="1591" t="s">
        <v>493</v>
      </c>
      <c r="AM45" s="784"/>
      <c r="AN45" s="784" t="str">
        <f>IF(T45="","",T45)</f>
        <v>Группа потребителей</v>
      </c>
      <c r="AO45" s="784"/>
      <c r="AP45" s="784"/>
      <c r="AQ45" s="1439">
        <v>23</v>
      </c>
    </row>
    <row customHeight="1" ht="24">
      <c r="A46" s="1647" t="s">
        <v>276</v>
      </c>
      <c r="B46" s="1647" t="s">
        <v>277</v>
      </c>
      <c r="C46" s="1647" t="s">
        <v>278</v>
      </c>
      <c r="D46" s="1647" t="s">
        <v>529</v>
      </c>
      <c r="E46" s="2543"/>
      <c r="F46" s="2543"/>
      <c r="G46" s="2543"/>
      <c r="H46" s="2543"/>
      <c r="I46" s="2570"/>
      <c r="J46" s="2570"/>
      <c r="K46" s="2540" t="str">
        <f>J45&amp;".1"</f>
        <v>...1.1.1</v>
      </c>
      <c r="L46" s="1648"/>
      <c r="P46" s="2541"/>
      <c r="Q46" s="2541"/>
      <c r="R46" s="641">
        <v>1</v>
      </c>
      <c r="S46" s="1777" t="str">
        <f>$K46</f>
        <v>...1.1.1</v>
      </c>
      <c r="T46" s="1721"/>
      <c r="U46" s="584"/>
      <c r="V46" s="1644"/>
      <c r="W46" s="1644"/>
      <c r="X46" s="1645"/>
      <c r="Y46" s="2551"/>
      <c r="Z46" s="2552" t="s">
        <v>67</v>
      </c>
      <c r="AA46" s="2551"/>
      <c r="AB46" s="2552" t="s">
        <v>67</v>
      </c>
      <c r="AC46" s="1035"/>
      <c r="AD46" s="1035"/>
      <c r="AE46" s="1541"/>
      <c r="AF46" s="2549"/>
      <c r="AG46" s="2391" t="s">
        <v>67</v>
      </c>
      <c r="AH46" s="2571"/>
      <c r="AI46" s="2391" t="s">
        <v>19</v>
      </c>
      <c r="AJ46" s="1722"/>
      <c r="AK46" s="263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795">
        <f>STRCHECKDATE(V47:AJ47)</f>
      </c>
      <c r="AM46" s="784"/>
      <c r="AN46" s="784" t="str">
        <f>IF(T46="","",T46)</f>
        <v/>
      </c>
      <c r="AO46" s="784"/>
      <c r="AP46" s="784"/>
      <c r="AQ46" s="1439">
        <v>23</v>
      </c>
    </row>
    <row customHeight="1" ht="0">
      <c r="A47" s="1647" t="s">
        <v>276</v>
      </c>
      <c r="B47" s="1647" t="s">
        <v>277</v>
      </c>
      <c r="C47" s="1647" t="s">
        <v>278</v>
      </c>
      <c r="D47" s="1647" t="s">
        <v>529</v>
      </c>
      <c r="E47" s="2543"/>
      <c r="F47" s="2543"/>
      <c r="G47" s="2543"/>
      <c r="H47" s="2543"/>
      <c r="I47" s="2570"/>
      <c r="J47" s="2570"/>
      <c r="K47" s="2540"/>
      <c r="L47" s="1648"/>
      <c r="P47" s="2541"/>
      <c r="Q47" s="2541"/>
      <c r="R47" s="641"/>
      <c r="S47" s="1774"/>
      <c r="T47" s="584"/>
      <c r="U47" s="584"/>
      <c r="V47" s="1644"/>
      <c r="W47" s="1644"/>
      <c r="X47" s="612" t="str">
        <f>Y46&amp;"-"&amp;AA46</f>
        <v>-</v>
      </c>
      <c r="Y47" s="2552"/>
      <c r="Z47" s="2552"/>
      <c r="AA47" s="2552"/>
      <c r="AB47" s="2552"/>
      <c r="AC47" s="609"/>
      <c r="AD47" s="609"/>
      <c r="AE47" s="612" t="str">
        <f>AF46&amp;"-"&amp;AH46</f>
        <v>-</v>
      </c>
      <c r="AF47" s="2550"/>
      <c r="AG47" s="2391"/>
      <c r="AH47" s="2572"/>
      <c r="AI47" s="2391"/>
      <c r="AJ47" s="1723"/>
      <c r="AK47" s="2633"/>
      <c r="AM47" s="784"/>
      <c r="AN47" s="784" t="str">
        <f>IF(T47="","",T47)</f>
        <v/>
      </c>
      <c r="AO47" s="784"/>
      <c r="AP47" s="784"/>
      <c r="AQ47" s="1439">
        <v>0</v>
      </c>
    </row>
    <row customHeight="1" ht="21">
      <c r="A48" s="1647" t="s">
        <v>276</v>
      </c>
      <c r="B48" s="1647" t="s">
        <v>277</v>
      </c>
      <c r="C48" s="1647" t="s">
        <v>278</v>
      </c>
      <c r="D48" s="1647" t="s">
        <v>529</v>
      </c>
      <c r="E48" s="2543"/>
      <c r="F48" s="2543"/>
      <c r="G48" s="2543"/>
      <c r="H48" s="2543"/>
      <c r="I48" s="2570"/>
      <c r="J48" s="2540"/>
      <c r="K48" s="1647"/>
      <c r="L48" s="1648"/>
      <c r="P48" s="2541"/>
      <c r="Q48" s="2541"/>
      <c r="R48" s="640"/>
      <c r="S48" s="1562"/>
      <c r="T48" s="571" t="s">
        <v>494</v>
      </c>
      <c r="U48" s="651"/>
      <c r="V48" s="651"/>
      <c r="W48" s="651"/>
      <c r="X48" s="651"/>
      <c r="Y48" s="651"/>
      <c r="Z48" s="651"/>
      <c r="AA48" s="651"/>
      <c r="AB48" s="651"/>
      <c r="AC48" s="651"/>
      <c r="AD48" s="651"/>
      <c r="AE48" s="651"/>
      <c r="AF48" s="651"/>
      <c r="AG48" s="651"/>
      <c r="AH48" s="651"/>
      <c r="AI48" s="651"/>
      <c r="AJ48" s="651"/>
      <c r="AK48" s="1542" t="s">
        <v>495</v>
      </c>
      <c r="AM48" s="784"/>
      <c r="AN48" s="784" t="str">
        <f>IF(T48="","",T48)</f>
        <v>Добавить значение признака дифференциации</v>
      </c>
      <c r="AO48" s="784"/>
      <c r="AP48" s="784"/>
      <c r="AQ48" s="1439">
        <v>20</v>
      </c>
    </row>
    <row customHeight="1" ht="22.049999999999997">
      <c r="A49" s="1647" t="s">
        <v>276</v>
      </c>
      <c r="B49" s="1647" t="s">
        <v>277</v>
      </c>
      <c r="C49" s="1647" t="s">
        <v>278</v>
      </c>
      <c r="D49" s="1647" t="s">
        <v>529</v>
      </c>
      <c r="E49" s="2543"/>
      <c r="F49" s="2543"/>
      <c r="G49" s="2543"/>
      <c r="H49" s="2543"/>
      <c r="I49" s="2540"/>
      <c r="J49" s="1647"/>
      <c r="K49" s="1647"/>
      <c r="L49" s="1648"/>
      <c r="P49" s="2541"/>
      <c r="Q49" s="1765"/>
      <c r="R49" s="640"/>
      <c r="S49" s="1562"/>
      <c r="T49" s="649" t="s">
        <v>417</v>
      </c>
      <c r="U49" s="651"/>
      <c r="V49" s="651"/>
      <c r="W49" s="651"/>
      <c r="X49" s="651"/>
      <c r="Y49" s="651"/>
      <c r="Z49" s="651"/>
      <c r="AA49" s="651"/>
      <c r="AB49" s="650"/>
      <c r="AC49" s="651"/>
      <c r="AD49" s="651"/>
      <c r="AE49" s="651"/>
      <c r="AF49" s="651"/>
      <c r="AG49" s="651"/>
      <c r="AH49" s="651"/>
      <c r="AI49" s="650"/>
      <c r="AJ49" s="651"/>
      <c r="AK49" s="1724"/>
      <c r="AM49" s="784"/>
      <c r="AN49" s="784" t="str">
        <f>IF(T49="","",T49)</f>
        <v>Добавить группу потребителей</v>
      </c>
      <c r="AO49" s="784"/>
      <c r="AP49" s="784"/>
      <c r="AQ49" s="1439">
        <v>21</v>
      </c>
    </row>
    <row customHeight="1" ht="22.049999999999997">
      <c r="A50" s="1647" t="s">
        <v>276</v>
      </c>
      <c r="B50" s="1647" t="s">
        <v>277</v>
      </c>
      <c r="C50" s="1647" t="s">
        <v>278</v>
      </c>
      <c r="D50" s="1647" t="s">
        <v>529</v>
      </c>
      <c r="E50" s="2543"/>
      <c r="F50" s="2543"/>
      <c r="G50" s="2543"/>
      <c r="H50" s="2542"/>
      <c r="I50" s="1647"/>
      <c r="J50" s="1647"/>
      <c r="K50" s="1647"/>
      <c r="L50" s="1648"/>
      <c r="M50" s="1649"/>
      <c r="N50" s="1649"/>
      <c r="O50" s="821"/>
      <c r="P50" s="644"/>
      <c r="Q50" s="659"/>
      <c r="R50" s="639"/>
      <c r="S50" s="1562"/>
      <c r="T50" s="656" t="s">
        <v>496</v>
      </c>
      <c r="U50" s="651"/>
      <c r="V50" s="651"/>
      <c r="W50" s="651"/>
      <c r="X50" s="651"/>
      <c r="Y50" s="651"/>
      <c r="Z50" s="651"/>
      <c r="AA50" s="651"/>
      <c r="AB50" s="650"/>
      <c r="AC50" s="651"/>
      <c r="AD50" s="651"/>
      <c r="AE50" s="651"/>
      <c r="AF50" s="651"/>
      <c r="AG50" s="651"/>
      <c r="AH50" s="651"/>
      <c r="AI50" s="650"/>
      <c r="AJ50" s="651"/>
      <c r="AK50" s="587"/>
      <c r="AM50" s="784"/>
      <c r="AN50" s="784" t="str">
        <f>IF(T50="","",T50)</f>
        <v>Добавить наименование признака дифференциации</v>
      </c>
      <c r="AO50" s="784"/>
      <c r="AP50" s="784"/>
      <c r="AQ50" s="1439">
        <v>21</v>
      </c>
    </row>
    <row s="14158" customFormat="1" customHeight="1" ht="0">
      <c r="A51" s="1627" t="s">
        <v>276</v>
      </c>
      <c r="B51" s="1627" t="s">
        <v>277</v>
      </c>
      <c r="C51" s="1598"/>
      <c r="D51" s="1598"/>
      <c r="E51" s="2543"/>
      <c r="F51" s="2542"/>
      <c r="G51" s="1598"/>
      <c r="H51" s="1598"/>
      <c r="I51" s="1598"/>
      <c r="J51" s="1598"/>
      <c r="K51" s="1598"/>
      <c r="L51" s="1778"/>
      <c r="M51" s="1605"/>
      <c r="N51" s="1605"/>
      <c r="P51" s="1600"/>
      <c r="Q51" s="1601"/>
      <c r="R51" s="1600"/>
      <c r="S51" s="1606"/>
      <c r="T51" s="1609" t="s">
        <v>170</v>
      </c>
      <c r="U51" s="1608"/>
      <c r="V51" s="1608"/>
      <c r="W51" s="1608"/>
      <c r="X51" s="1608"/>
      <c r="Y51" s="1608"/>
      <c r="Z51" s="1608"/>
      <c r="AA51" s="1608"/>
      <c r="AB51" s="1608"/>
      <c r="AC51" s="1608"/>
      <c r="AD51" s="1608"/>
      <c r="AE51" s="1608"/>
      <c r="AF51" s="1608"/>
      <c r="AG51" s="1608"/>
      <c r="AH51" s="1608"/>
      <c r="AI51" s="1608"/>
      <c r="AJ51" s="1608"/>
      <c r="AK51" s="1608"/>
      <c r="AM51" s="1073"/>
      <c r="AN51" s="1073" t="str">
        <f>IF(T51="","",T51)</f>
        <v>Добавить централизованную систему для дифференциации</v>
      </c>
      <c r="AO51" s="1073"/>
      <c r="AP51" s="1073"/>
      <c r="AQ51" s="802">
        <v>0</v>
      </c>
    </row>
    <row s="14158" customFormat="1" customHeight="1" ht="0">
      <c r="A52" s="1627" t="s">
        <v>276</v>
      </c>
      <c r="B52" s="1627"/>
      <c r="C52" s="1627"/>
      <c r="D52" s="1627"/>
      <c r="E52" s="2542"/>
      <c r="F52" s="1627"/>
      <c r="G52" s="1627"/>
      <c r="H52" s="1627"/>
      <c r="I52" s="1627"/>
      <c r="J52" s="1627"/>
      <c r="K52" s="1627"/>
      <c r="L52" s="1630"/>
      <c r="M52" s="1605"/>
      <c r="N52" s="1605"/>
      <c r="O52" s="802"/>
      <c r="P52" s="664"/>
      <c r="Q52" s="1628"/>
      <c r="R52" s="664"/>
      <c r="S52" s="1606"/>
      <c r="T52" s="1609" t="s">
        <v>171</v>
      </c>
      <c r="U52" s="1608"/>
      <c r="V52" s="1608"/>
      <c r="W52" s="1608"/>
      <c r="X52" s="1608"/>
      <c r="Y52" s="1608"/>
      <c r="Z52" s="1608"/>
      <c r="AA52" s="1608"/>
      <c r="AB52" s="1608"/>
      <c r="AC52" s="1608"/>
      <c r="AD52" s="1608"/>
      <c r="AE52" s="1608"/>
      <c r="AF52" s="1608"/>
      <c r="AG52" s="1608"/>
      <c r="AH52" s="1608"/>
      <c r="AI52" s="1608"/>
      <c r="AJ52" s="1608"/>
      <c r="AK52" s="1608"/>
      <c r="AM52" s="784"/>
      <c r="AN52" s="784" t="str">
        <f>IF(T52="","",T52)</f>
        <v>Добавить территорию для дифференциации</v>
      </c>
      <c r="AO52" s="784"/>
      <c r="AP52" s="784"/>
      <c r="AQ52" s="795">
        <v>0</v>
      </c>
    </row>
    <row s="14158" customFormat="1" customHeight="1" ht="0">
      <c r="A53" s="1598"/>
      <c r="B53" s="1598"/>
      <c r="C53" s="1598"/>
      <c r="D53" s="1598"/>
      <c r="E53" s="1627"/>
      <c r="F53" s="1598"/>
      <c r="G53" s="1598"/>
      <c r="H53" s="1598"/>
      <c r="I53" s="1598"/>
      <c r="J53" s="1598"/>
      <c r="K53" s="1598"/>
      <c r="L53" s="1778"/>
      <c r="M53" s="1605"/>
      <c r="N53" s="1605"/>
      <c r="P53" s="1600"/>
      <c r="Q53" s="1601"/>
      <c r="R53" s="1600"/>
      <c r="S53" s="1606"/>
      <c r="T53" s="1609" t="s">
        <v>172</v>
      </c>
      <c r="U53" s="1608"/>
      <c r="V53" s="1608"/>
      <c r="W53" s="1608"/>
      <c r="X53" s="1608"/>
      <c r="Y53" s="1608"/>
      <c r="Z53" s="1608"/>
      <c r="AA53" s="1608"/>
      <c r="AB53" s="1608"/>
      <c r="AC53" s="1608"/>
      <c r="AD53" s="1608"/>
      <c r="AE53" s="1608"/>
      <c r="AF53" s="1608"/>
      <c r="AG53" s="1608"/>
      <c r="AH53" s="1608"/>
      <c r="AI53" s="1608"/>
      <c r="AJ53" s="1608"/>
      <c r="AK53" s="1608"/>
      <c r="AM53" s="1073"/>
      <c r="AN53" s="1073" t="str">
        <f>IF(T53="","",T53)</f>
        <v>Добавить наименование тарифа</v>
      </c>
      <c r="AO53" s="1073"/>
      <c r="AP53" s="1073"/>
      <c r="AQ53" s="802">
        <v>0</v>
      </c>
    </row>
    <row customHeight="1" ht="11.549999999999999">
      <c r="M54" s="1444"/>
      <c r="N54" s="1444"/>
      <c r="O54" s="821"/>
      <c r="P54" s="1439"/>
      <c r="Q54" s="1439"/>
      <c r="R54" s="1439"/>
      <c r="S54" s="1439"/>
      <c r="AL54" s="1439"/>
      <c r="AM54" s="1439"/>
      <c r="AN54" s="1439"/>
      <c r="AO54" s="1439"/>
      <c r="AP54" s="1439"/>
      <c r="AQ54" s="1439">
        <v>11</v>
      </c>
    </row>
    <row customHeight="1" ht="14.699999999999998">
      <c r="O55" s="821"/>
      <c r="S55" s="1537"/>
      <c r="T55" s="2569"/>
      <c r="U55" s="2569"/>
      <c r="V55" s="2569"/>
      <c r="W55" s="2569"/>
      <c r="X55" s="2569"/>
      <c r="Y55" s="2569"/>
      <c r="Z55" s="2569"/>
      <c r="AA55" s="2569"/>
      <c r="AB55" s="2569"/>
      <c r="AC55" s="2569"/>
      <c r="AD55" s="2569"/>
      <c r="AE55" s="2569"/>
      <c r="AF55" s="2569"/>
      <c r="AG55" s="2569"/>
      <c r="AH55" s="2569"/>
      <c r="AI55" s="2569"/>
      <c r="AJ55" s="2569"/>
      <c r="AK55" s="2569"/>
      <c r="AQ55" s="1439">
        <v>14</v>
      </c>
    </row>
    <row customHeight="1" ht="14.699999999999998">
      <c r="O56" s="821"/>
      <c r="AQ56" s="1439">
        <v>14</v>
      </c>
    </row>
    <row customHeight="1" ht="14.699999999999998">
      <c r="O57" s="821"/>
      <c r="S57" s="1537"/>
      <c r="T57" s="2569"/>
      <c r="U57" s="2569"/>
      <c r="V57" s="2569"/>
      <c r="W57" s="2569"/>
      <c r="X57" s="2569"/>
      <c r="Y57" s="2569"/>
      <c r="Z57" s="2569"/>
      <c r="AA57" s="2569"/>
      <c r="AB57" s="2569"/>
      <c r="AC57" s="2569"/>
      <c r="AD57" s="2569"/>
      <c r="AE57" s="2569"/>
      <c r="AF57" s="2569"/>
      <c r="AG57" s="2569"/>
      <c r="AH57" s="2569"/>
      <c r="AI57" s="2569"/>
      <c r="AJ57" s="2569"/>
      <c r="AK57" s="2569"/>
      <c r="AQ57" s="1439">
        <v>14</v>
      </c>
    </row>
    <row customHeight="1" ht="22.5" hidden="1">
      <c r="A58" s="1444" t="s">
        <v>83</v>
      </c>
      <c r="B58" s="1444">
        <v>0</v>
      </c>
      <c r="C58" s="1444">
        <v>0</v>
      </c>
      <c r="D58" s="1444">
        <v>0</v>
      </c>
      <c r="E58" s="1444">
        <v>0</v>
      </c>
      <c r="F58" s="1444">
        <v>0</v>
      </c>
      <c r="G58" s="1444">
        <v>0</v>
      </c>
      <c r="H58" s="1444">
        <v>0</v>
      </c>
      <c r="I58" s="1444">
        <v>0</v>
      </c>
      <c r="J58" s="1444">
        <v>0</v>
      </c>
      <c r="K58" s="1444">
        <v>0</v>
      </c>
      <c r="L58" s="1762">
        <v>0</v>
      </c>
      <c r="M58" s="1646">
        <v>0</v>
      </c>
      <c r="N58" s="1646">
        <v>0</v>
      </c>
      <c r="O58" s="1646">
        <v>0</v>
      </c>
      <c r="P58" s="1757">
        <v>3</v>
      </c>
      <c r="Q58" s="628">
        <v>3</v>
      </c>
      <c r="R58" s="628">
        <v>3</v>
      </c>
      <c r="S58" s="865">
        <v>12</v>
      </c>
      <c r="T58" s="1439">
        <v>35</v>
      </c>
      <c r="U58" s="1439">
        <v>0</v>
      </c>
      <c r="V58" s="1439">
        <v>0</v>
      </c>
      <c r="W58" s="1439">
        <v>0</v>
      </c>
      <c r="X58" s="1439">
        <v>0</v>
      </c>
      <c r="Y58" s="1439">
        <v>0</v>
      </c>
      <c r="Z58" s="1439">
        <v>0</v>
      </c>
      <c r="AA58" s="1439">
        <v>0</v>
      </c>
      <c r="AB58" s="1439">
        <v>0</v>
      </c>
      <c r="AC58" s="1439">
        <v>24</v>
      </c>
      <c r="AD58" s="1439">
        <v>24</v>
      </c>
      <c r="AE58" s="1439">
        <v>24</v>
      </c>
      <c r="AF58" s="1439">
        <v>11</v>
      </c>
      <c r="AG58" s="1439">
        <v>3</v>
      </c>
      <c r="AH58" s="1439">
        <v>11</v>
      </c>
      <c r="AI58" s="1439">
        <v>0</v>
      </c>
      <c r="AJ58" s="1439">
        <v>4</v>
      </c>
      <c r="AK58" s="1439">
        <v>115</v>
      </c>
      <c r="AL58" s="795">
        <v>10</v>
      </c>
      <c r="AM58" s="795">
        <v>10</v>
      </c>
      <c r="AN58" s="795">
        <v>10</v>
      </c>
      <c r="AO58" s="795">
        <v>10</v>
      </c>
      <c r="AP58" s="795">
        <v>10</v>
      </c>
      <c r="AQ58" s="1439">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F968957-B943-35E8-2CA6-8E895A9014F8}"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14157" width="11.57421875" hidden="1" customWidth="1"/>
    <col min="2" max="2" style="14157" width="11.00390625" hidden="1" customWidth="1"/>
    <col min="3" max="3" style="14157" width="10.57421875" hidden="1"/>
    <col min="4" max="4" style="14157" width="12.8515625" hidden="1" customWidth="1"/>
    <col min="5" max="5" style="14157" width="10.00390625" hidden="1" customWidth="1"/>
    <col min="6" max="6" style="14157" width="8.7109375" hidden="1" customWidth="1"/>
    <col min="7" max="7" style="14157" width="7.57421875" hidden="1" customWidth="1"/>
    <col min="8" max="8" style="14157" width="11.421875" hidden="1" customWidth="1"/>
    <col min="9" max="9" style="14157" width="12.00390625" hidden="1" customWidth="1"/>
    <col min="10" max="10" style="14157" width="9.8515625" hidden="1" customWidth="1"/>
    <col min="11" max="11" style="14157" width="11.421875" hidden="1" customWidth="1"/>
    <col min="12" max="12" style="14974" width="19.140625" hidden="1" customWidth="1"/>
    <col min="13" max="14" style="14975" width="12.28125" hidden="1" customWidth="1"/>
    <col min="15" max="15" style="14975" width="23.421875" hidden="1" customWidth="1"/>
    <col min="16" max="16" style="14975" width="3.7109375" hidden="1" customWidth="1"/>
    <col min="17" max="17" style="15266" width="3.7109375" hidden="1" customWidth="1"/>
    <col min="18" max="18" style="14977" width="3.00390625" customWidth="1"/>
    <col min="19" max="19" style="14978" width="12.00390625" customWidth="1"/>
    <col min="20" max="20" style="14077" width="31.00390625" customWidth="1"/>
    <col min="21" max="21" style="14077" width="0.140625" customWidth="1"/>
    <col min="22" max="25" style="14077" width="21.7109375" hidden="1" customWidth="1"/>
    <col min="26" max="26" style="14077" width="11.7109375" hidden="1" customWidth="1"/>
    <col min="27" max="27" style="14077" width="3.7109375" hidden="1" customWidth="1"/>
    <col min="28" max="28" style="14077" width="11.7109375" hidden="1" customWidth="1"/>
    <col min="29" max="29" style="14077" width="8.57421875" hidden="1" customWidth="1"/>
    <col min="30" max="30" style="14077" width="3.7109375" customWidth="1"/>
    <col min="31" max="32" style="14077" width="3.00390625" customWidth="1"/>
    <col min="33" max="33" style="14077" width="24.00390625" customWidth="1"/>
    <col min="34" max="34" style="14077" width="3.7109375" customWidth="1"/>
    <col min="35" max="36" style="14077" width="3.00390625" customWidth="1"/>
    <col min="37" max="37" style="14077" width="24.00390625" customWidth="1"/>
    <col min="38" max="38" style="14077" width="3.7109375" customWidth="1"/>
    <col min="39" max="40" style="14077" width="3.00390625" customWidth="1"/>
    <col min="41" max="41" style="14077" width="18.00390625" customWidth="1"/>
    <col min="42" max="42" style="14077" width="3.7109375" customWidth="1"/>
    <col min="43" max="44" style="14077" width="3.00390625" customWidth="1"/>
    <col min="45" max="45" style="14077" width="18.00390625" customWidth="1"/>
    <col min="46" max="49" style="14077" width="21.00390625" customWidth="1"/>
    <col min="50" max="50" style="14077" width="11.00390625" customWidth="1"/>
    <col min="51" max="51" style="14077" width="3.7109375" customWidth="1"/>
    <col min="52" max="52" style="14077" width="11.00390625" customWidth="1"/>
    <col min="53" max="53" style="14077" width="8.57421875" hidden="1" customWidth="1"/>
    <col min="54" max="54" style="14077" width="4.00390625" customWidth="1"/>
    <col min="55" max="55" style="14077" width="115.00390625" customWidth="1"/>
    <col min="56" max="60" style="14158" width="10.00390625" customWidth="1"/>
    <col min="61" max="61" style="14077" width="10.57421875" hidden="1"/>
  </cols>
  <sheetData>
    <row customHeight="1" ht="22.5" hidden="1">
      <c r="W1" s="611"/>
      <c r="Y1" s="611"/>
      <c r="Z1" s="611"/>
      <c r="AW1" s="611"/>
      <c r="AX1" s="611"/>
      <c r="BI1" s="1439" t="s">
        <v>14</v>
      </c>
    </row>
    <row customHeight="1" ht="21" hidden="1">
      <c r="A2" s="1647"/>
      <c r="B2" s="1647"/>
      <c r="C2" s="1647"/>
      <c r="D2" s="1647"/>
      <c r="E2" s="2542">
        <v>1</v>
      </c>
      <c r="F2" s="1647"/>
      <c r="G2" s="1647"/>
      <c r="H2" s="1647"/>
      <c r="I2" s="1647"/>
      <c r="J2" s="1647"/>
      <c r="K2" s="1647"/>
      <c r="L2" s="1648"/>
      <c r="M2" s="1649"/>
      <c r="N2" s="1649"/>
      <c r="O2" s="1649"/>
      <c r="P2" s="1693"/>
      <c r="Q2" s="1157"/>
      <c r="R2" s="639"/>
      <c r="S2" s="1777">
        <f>INDEX(PT_DIFFERENTIATION_NUM_NTAR,MATCH(A2,PT_DIFFERENTIATION_NTAR_ID,0))</f>
      </c>
      <c r="T2" s="582" t="s">
        <v>124</v>
      </c>
      <c r="U2" s="584"/>
      <c r="V2" s="2527"/>
      <c r="W2" s="2527"/>
      <c r="X2" s="2527"/>
      <c r="Y2" s="2527"/>
      <c r="Z2" s="2527"/>
      <c r="AA2" s="2527"/>
      <c r="AB2" s="2527"/>
      <c r="AC2" s="2528"/>
      <c r="AD2" s="2526">
        <f>INDEX(PT_DIFFERENTIATION_NTAR,MATCH(A2,PT_DIFFERENTIATION_NTAR_ID,0))</f>
      </c>
      <c r="AE2" s="2527"/>
      <c r="AF2" s="2527"/>
      <c r="AG2" s="2527"/>
      <c r="AH2" s="2527"/>
      <c r="AI2" s="2527"/>
      <c r="AJ2" s="2527"/>
      <c r="AK2" s="2527"/>
      <c r="AL2" s="2527"/>
      <c r="AM2" s="2527"/>
      <c r="AN2" s="2527"/>
      <c r="AO2" s="2527"/>
      <c r="AP2" s="2527"/>
      <c r="AQ2" s="2527"/>
      <c r="AR2" s="2527"/>
      <c r="AS2" s="2527"/>
      <c r="AT2" s="2527"/>
      <c r="AU2" s="2527"/>
      <c r="AV2" s="2527"/>
      <c r="AW2" s="2527"/>
      <c r="AX2" s="2527"/>
      <c r="AY2" s="2527"/>
      <c r="AZ2" s="2527"/>
      <c r="BA2" s="2527"/>
      <c r="BB2" s="2528"/>
      <c r="BC2" s="154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784"/>
      <c r="BF2" s="784" t="str">
        <f>IF(T2="","",T2)</f>
        <v>Наименование тарифа</v>
      </c>
      <c r="BG2" s="784"/>
      <c r="BH2" s="784"/>
      <c r="BI2" s="1439">
        <v>0</v>
      </c>
    </row>
    <row customHeight="1" ht="21" hidden="1">
      <c r="A3" s="1647"/>
      <c r="B3" s="1647"/>
      <c r="C3" s="1647"/>
      <c r="D3" s="1647"/>
      <c r="E3" s="2543"/>
      <c r="F3" s="2542">
        <v>1</v>
      </c>
      <c r="G3" s="1647"/>
      <c r="H3" s="1647"/>
      <c r="I3" s="1647"/>
      <c r="J3" s="1647"/>
      <c r="K3" s="1647"/>
      <c r="L3" s="1648"/>
      <c r="M3" s="1649"/>
      <c r="N3" s="1649"/>
      <c r="O3" s="1649"/>
      <c r="P3" s="1694"/>
      <c r="Q3" s="1695"/>
      <c r="R3" s="637"/>
      <c r="S3" s="1777">
        <f>INDEX(PT_DIFFERENTIATION_NUM_TER,MATCH(B3,PT_DIFFERENTIATION_TER_ID,0))</f>
      </c>
      <c r="T3" s="592" t="s">
        <v>402</v>
      </c>
      <c r="U3" s="584"/>
      <c r="V3" s="2527"/>
      <c r="W3" s="2527"/>
      <c r="X3" s="2527"/>
      <c r="Y3" s="2527"/>
      <c r="Z3" s="2527"/>
      <c r="AA3" s="2527"/>
      <c r="AB3" s="2527"/>
      <c r="AC3" s="2528"/>
      <c r="AD3" s="2526">
        <f>INDEX(PT_DIFFERENTIATION_TER,MATCH(B3,PT_DIFFERENTIATION_TER_ID,0))</f>
      </c>
      <c r="AE3" s="2527"/>
      <c r="AF3" s="2527"/>
      <c r="AG3" s="2527"/>
      <c r="AH3" s="2527"/>
      <c r="AI3" s="2527"/>
      <c r="AJ3" s="2527"/>
      <c r="AK3" s="2527"/>
      <c r="AL3" s="2527"/>
      <c r="AM3" s="2527"/>
      <c r="AN3" s="2527"/>
      <c r="AO3" s="2527"/>
      <c r="AP3" s="2527"/>
      <c r="AQ3" s="2527"/>
      <c r="AR3" s="2527"/>
      <c r="AS3" s="2527"/>
      <c r="AT3" s="2527"/>
      <c r="AU3" s="2527"/>
      <c r="AV3" s="2527"/>
      <c r="AW3" s="2527"/>
      <c r="AX3" s="2527"/>
      <c r="AY3" s="2527"/>
      <c r="AZ3" s="2527"/>
      <c r="BA3" s="2527"/>
      <c r="BB3" s="2528"/>
      <c r="BC3" s="1542" t="s">
        <v>403</v>
      </c>
      <c r="BE3" s="784"/>
      <c r="BF3" s="784" t="str">
        <f>IF(T3="","",T3)</f>
        <v>Территория действия тарифа</v>
      </c>
      <c r="BG3" s="784"/>
      <c r="BH3" s="784"/>
      <c r="BI3" s="1439">
        <v>0</v>
      </c>
    </row>
    <row customHeight="1" ht="33.75" hidden="1">
      <c r="A4" s="1647"/>
      <c r="B4" s="1647"/>
      <c r="C4" s="1647"/>
      <c r="D4" s="1647"/>
      <c r="E4" s="2543"/>
      <c r="F4" s="2543"/>
      <c r="G4" s="2542">
        <v>1</v>
      </c>
      <c r="H4" s="1647"/>
      <c r="I4" s="1647"/>
      <c r="J4" s="1647"/>
      <c r="K4" s="1647"/>
      <c r="L4" s="1648"/>
      <c r="M4" s="1649"/>
      <c r="N4" s="1649"/>
      <c r="O4" s="1649"/>
      <c r="P4" s="1696"/>
      <c r="Q4" s="1695"/>
      <c r="R4" s="637"/>
      <c r="S4" s="1777">
        <f>INDEX(PT_DIFFERENTIATION_NUM_CS,MATCH(C4,PT_DIFFERENTIATION_CS_ID,0))</f>
      </c>
      <c r="T4" s="593" t="s">
        <v>524</v>
      </c>
      <c r="U4" s="584"/>
      <c r="V4" s="2527"/>
      <c r="W4" s="2527"/>
      <c r="X4" s="2527"/>
      <c r="Y4" s="2527"/>
      <c r="Z4" s="2527"/>
      <c r="AA4" s="2527"/>
      <c r="AB4" s="2527"/>
      <c r="AC4" s="2528"/>
      <c r="AD4" s="2526">
        <f>INDEX(PT_DIFFERENTIATION_CS,MATCH(C4,PT_DIFFERENTIATION_CS_ID,0))</f>
      </c>
      <c r="AE4" s="2527"/>
      <c r="AF4" s="2527"/>
      <c r="AG4" s="2527"/>
      <c r="AH4" s="2527"/>
      <c r="AI4" s="2527"/>
      <c r="AJ4" s="2527"/>
      <c r="AK4" s="2527"/>
      <c r="AL4" s="2527"/>
      <c r="AM4" s="2527"/>
      <c r="AN4" s="2527"/>
      <c r="AO4" s="2527"/>
      <c r="AP4" s="2527"/>
      <c r="AQ4" s="2527"/>
      <c r="AR4" s="2527"/>
      <c r="AS4" s="2527"/>
      <c r="AT4" s="2527"/>
      <c r="AU4" s="2527"/>
      <c r="AV4" s="2527"/>
      <c r="AW4" s="2527"/>
      <c r="AX4" s="2527"/>
      <c r="AY4" s="2527"/>
      <c r="AZ4" s="2527"/>
      <c r="BA4" s="2527"/>
      <c r="BB4" s="2528"/>
      <c r="BC4" s="1542" t="s">
        <v>525</v>
      </c>
      <c r="BE4" s="784"/>
      <c r="BF4" s="784" t="str">
        <f>IF(T4="","",T4)</f>
        <v>Наименование централизованной системы водоотведения</v>
      </c>
      <c r="BG4" s="784"/>
      <c r="BH4" s="784"/>
      <c r="BI4" s="1439">
        <v>0</v>
      </c>
    </row>
    <row s="14158" customFormat="1" customHeight="1" ht="14.25" hidden="1">
      <c r="A5" s="1627"/>
      <c r="B5" s="1627"/>
      <c r="C5" s="1627"/>
      <c r="D5" s="1627"/>
      <c r="E5" s="2543"/>
      <c r="F5" s="2543"/>
      <c r="G5" s="2543"/>
      <c r="H5" s="2542">
        <v>1</v>
      </c>
      <c r="I5" s="1627"/>
      <c r="J5" s="1627"/>
      <c r="K5" s="1627"/>
      <c r="L5" s="1630"/>
      <c r="M5" s="1599"/>
      <c r="N5" s="1599"/>
      <c r="O5" s="1599"/>
      <c r="P5" s="1781"/>
      <c r="Q5" s="1782"/>
      <c r="R5" s="641"/>
      <c r="S5" s="1326"/>
      <c r="T5" s="1783"/>
      <c r="U5" s="1668"/>
      <c r="V5" s="2581"/>
      <c r="W5" s="2581"/>
      <c r="X5" s="2581"/>
      <c r="Y5" s="2581"/>
      <c r="Z5" s="2581"/>
      <c r="AA5" s="2581"/>
      <c r="AB5" s="2581"/>
      <c r="AC5" s="2582"/>
      <c r="AD5" s="2580"/>
      <c r="AE5" s="2581"/>
      <c r="AF5" s="2581"/>
      <c r="AG5" s="2581"/>
      <c r="AH5" s="2581"/>
      <c r="AI5" s="2581"/>
      <c r="AJ5" s="2581"/>
      <c r="AK5" s="2581"/>
      <c r="AL5" s="2581"/>
      <c r="AM5" s="2581"/>
      <c r="AN5" s="2581"/>
      <c r="AO5" s="2581"/>
      <c r="AP5" s="2581"/>
      <c r="AQ5" s="2581"/>
      <c r="AR5" s="2581"/>
      <c r="AS5" s="2581"/>
      <c r="AT5" s="2581"/>
      <c r="AU5" s="2581"/>
      <c r="AV5" s="2581"/>
      <c r="AW5" s="2581"/>
      <c r="AX5" s="2581"/>
      <c r="AY5" s="2581"/>
      <c r="AZ5" s="2581"/>
      <c r="BA5" s="2581"/>
      <c r="BB5" s="2582"/>
      <c r="BC5" s="1669" t="s">
        <v>407</v>
      </c>
      <c r="BE5" s="784"/>
      <c r="BF5" s="784" t="str">
        <f>IF(T5="","",T5)</f>
        <v/>
      </c>
      <c r="BG5" s="784"/>
      <c r="BH5" s="784"/>
      <c r="BI5" s="795">
        <v>0</v>
      </c>
    </row>
    <row s="14158" customFormat="1" customHeight="1" ht="14.25" hidden="1">
      <c r="A6" s="1627"/>
      <c r="B6" s="1627"/>
      <c r="C6" s="1627"/>
      <c r="D6" s="1627"/>
      <c r="E6" s="2543"/>
      <c r="F6" s="2543"/>
      <c r="G6" s="2543"/>
      <c r="H6" s="2543"/>
      <c r="I6" s="2540" t="str">
        <f>S5&amp;".1"</f>
        <v>.1</v>
      </c>
      <c r="J6" s="1627"/>
      <c r="K6" s="1627"/>
      <c r="L6" s="1630" t="s">
        <v>408</v>
      </c>
      <c r="M6" s="794"/>
      <c r="N6" s="794"/>
      <c r="O6" s="794"/>
      <c r="P6" s="2541">
        <v>1</v>
      </c>
      <c r="Q6" s="1765"/>
      <c r="R6" s="640"/>
      <c r="S6" s="1326"/>
      <c r="T6" s="1667"/>
      <c r="U6" s="1668"/>
      <c r="V6" s="2581"/>
      <c r="W6" s="2581"/>
      <c r="X6" s="2581"/>
      <c r="Y6" s="2581"/>
      <c r="Z6" s="2581"/>
      <c r="AA6" s="2581"/>
      <c r="AB6" s="2581"/>
      <c r="AC6" s="2582"/>
      <c r="AD6" s="2580"/>
      <c r="AE6" s="2581"/>
      <c r="AF6" s="2581"/>
      <c r="AG6" s="2581"/>
      <c r="AH6" s="2581"/>
      <c r="AI6" s="2581"/>
      <c r="AJ6" s="2581"/>
      <c r="AK6" s="2581"/>
      <c r="AL6" s="2581"/>
      <c r="AM6" s="2581"/>
      <c r="AN6" s="2581"/>
      <c r="AO6" s="2581"/>
      <c r="AP6" s="2581"/>
      <c r="AQ6" s="2581"/>
      <c r="AR6" s="2581"/>
      <c r="AS6" s="2581"/>
      <c r="AT6" s="2581"/>
      <c r="AU6" s="2581"/>
      <c r="AV6" s="2581"/>
      <c r="AW6" s="2581"/>
      <c r="AX6" s="2581"/>
      <c r="AY6" s="2581"/>
      <c r="AZ6" s="2581"/>
      <c r="BA6" s="2581"/>
      <c r="BB6" s="2582"/>
      <c r="BC6" s="1669"/>
      <c r="BE6" s="784"/>
      <c r="BF6" s="784" t="str">
        <f>IF(T6="","",T6)</f>
        <v/>
      </c>
      <c r="BG6" s="784"/>
      <c r="BH6" s="784"/>
      <c r="BI6" s="795">
        <v>0</v>
      </c>
    </row>
    <row s="14158" customFormat="1" customHeight="1" ht="14.25" hidden="1">
      <c r="A7" s="1627"/>
      <c r="B7" s="1627"/>
      <c r="C7" s="1627"/>
      <c r="D7" s="1627"/>
      <c r="E7" s="2543"/>
      <c r="F7" s="2543"/>
      <c r="G7" s="2543"/>
      <c r="H7" s="2543"/>
      <c r="I7" s="2570"/>
      <c r="J7" s="2540" t="str">
        <f>S5&amp;".1"</f>
        <v>.1</v>
      </c>
      <c r="K7" s="1627"/>
      <c r="L7" s="1630"/>
      <c r="M7" s="794"/>
      <c r="N7" s="794"/>
      <c r="O7" s="794"/>
      <c r="P7" s="2541"/>
      <c r="Q7" s="2541">
        <v>1</v>
      </c>
      <c r="R7" s="641"/>
      <c r="S7" s="1326"/>
      <c r="T7" s="1683"/>
      <c r="U7" s="1668"/>
      <c r="V7" s="2581"/>
      <c r="W7" s="2581"/>
      <c r="X7" s="2581"/>
      <c r="Y7" s="2581"/>
      <c r="Z7" s="2581"/>
      <c r="AA7" s="2581"/>
      <c r="AB7" s="2581"/>
      <c r="AC7" s="2582"/>
      <c r="AD7" s="2580"/>
      <c r="AE7" s="2581"/>
      <c r="AF7" s="2581"/>
      <c r="AG7" s="2581"/>
      <c r="AH7" s="2581"/>
      <c r="AI7" s="2581"/>
      <c r="AJ7" s="2581"/>
      <c r="AK7" s="2581"/>
      <c r="AL7" s="2581"/>
      <c r="AM7" s="2581"/>
      <c r="AN7" s="2581"/>
      <c r="AO7" s="2581"/>
      <c r="AP7" s="2581"/>
      <c r="AQ7" s="2581"/>
      <c r="AR7" s="2581"/>
      <c r="AS7" s="2581"/>
      <c r="AT7" s="2581"/>
      <c r="AU7" s="2581"/>
      <c r="AV7" s="2581"/>
      <c r="AW7" s="2581"/>
      <c r="AX7" s="2581"/>
      <c r="AY7" s="2581"/>
      <c r="AZ7" s="2581"/>
      <c r="BA7" s="2581"/>
      <c r="BB7" s="2582"/>
      <c r="BC7" s="1669"/>
      <c r="BE7" s="784"/>
      <c r="BF7" s="784" t="str">
        <f>IF(T7="","",T7)</f>
        <v/>
      </c>
      <c r="BG7" s="784"/>
      <c r="BH7" s="784"/>
      <c r="BI7" s="795">
        <v>0</v>
      </c>
    </row>
    <row customHeight="1" ht="11.25" hidden="1">
      <c r="A8" s="1647"/>
      <c r="B8" s="1647"/>
      <c r="C8" s="1647"/>
      <c r="D8" s="1647"/>
      <c r="E8" s="2543"/>
      <c r="F8" s="2543"/>
      <c r="G8" s="2543"/>
      <c r="H8" s="2543"/>
      <c r="I8" s="2570"/>
      <c r="J8" s="2570"/>
      <c r="K8" s="2540">
        <f>S4&amp;".1"</f>
      </c>
      <c r="L8" s="1648"/>
      <c r="P8" s="2541"/>
      <c r="Q8" s="2541"/>
      <c r="R8" s="2631">
        <v>1</v>
      </c>
      <c r="S8" s="2625">
        <f>$K8</f>
      </c>
      <c r="T8" s="2644"/>
      <c r="U8" s="584"/>
      <c r="V8" s="1035"/>
      <c r="W8" s="1541"/>
      <c r="X8" s="1035"/>
      <c r="Y8" s="1541"/>
      <c r="Z8" s="2018"/>
      <c r="AA8" s="1753" t="s">
        <v>67</v>
      </c>
      <c r="AB8" s="2018"/>
      <c r="AC8" s="1753" t="s">
        <v>67</v>
      </c>
      <c r="AD8" s="2469" t="s">
        <v>67</v>
      </c>
      <c r="AE8" s="2610"/>
      <c r="AF8" s="2489">
        <v>1</v>
      </c>
      <c r="AG8" s="2647"/>
      <c r="AH8" s="2391" t="s">
        <v>67</v>
      </c>
      <c r="AI8" s="2610"/>
      <c r="AJ8" s="2489">
        <v>1</v>
      </c>
      <c r="AK8" s="2611" t="s">
        <v>28</v>
      </c>
      <c r="AL8" s="2391" t="s">
        <v>67</v>
      </c>
      <c r="AM8" s="2476"/>
      <c r="AN8" s="2489">
        <v>1</v>
      </c>
      <c r="AO8" s="2641"/>
      <c r="AP8" s="2642" t="s">
        <v>67</v>
      </c>
      <c r="AQ8" s="595"/>
      <c r="AR8" s="1770">
        <v>1</v>
      </c>
      <c r="AS8" s="1776" t="s">
        <v>28</v>
      </c>
      <c r="AT8" s="1035"/>
      <c r="AU8" s="1541"/>
      <c r="AV8" s="1035"/>
      <c r="AW8" s="1541"/>
      <c r="AX8" s="2018"/>
      <c r="AY8" s="1753" t="s">
        <v>67</v>
      </c>
      <c r="AZ8" s="2018"/>
      <c r="BA8" s="1753" t="s">
        <v>67</v>
      </c>
      <c r="BB8" s="1632"/>
      <c r="BC8" s="2537" t="s">
        <v>509</v>
      </c>
      <c r="BE8" s="784"/>
      <c r="BF8" s="784" t="str">
        <f>IF(T8="","",T8)</f>
        <v/>
      </c>
      <c r="BG8" s="784"/>
      <c r="BH8" s="784"/>
      <c r="BI8" s="1439">
        <v>0</v>
      </c>
    </row>
    <row customHeight="1" ht="11.25" hidden="1">
      <c r="A9" s="1647"/>
      <c r="B9" s="1647"/>
      <c r="C9" s="1647"/>
      <c r="D9" s="1647"/>
      <c r="E9" s="2543"/>
      <c r="F9" s="2543"/>
      <c r="G9" s="2543"/>
      <c r="H9" s="2543"/>
      <c r="I9" s="2570"/>
      <c r="J9" s="2570"/>
      <c r="K9" s="2540"/>
      <c r="L9" s="1648"/>
      <c r="P9" s="2541"/>
      <c r="Q9" s="2541"/>
      <c r="R9" s="2631"/>
      <c r="S9" s="2626"/>
      <c r="T9" s="2645"/>
      <c r="U9" s="584"/>
      <c r="V9" s="1677"/>
      <c r="W9" s="1780"/>
      <c r="X9" s="1677"/>
      <c r="Y9" s="1780"/>
      <c r="Z9" s="1677"/>
      <c r="AA9" s="1677"/>
      <c r="AB9" s="1677"/>
      <c r="AC9" s="1677"/>
      <c r="AD9" s="2470"/>
      <c r="AE9" s="2610"/>
      <c r="AF9" s="2489"/>
      <c r="AG9" s="2647"/>
      <c r="AH9" s="2391"/>
      <c r="AI9" s="2610"/>
      <c r="AJ9" s="2489"/>
      <c r="AK9" s="2611"/>
      <c r="AL9" s="2391"/>
      <c r="AM9" s="2484"/>
      <c r="AN9" s="2489"/>
      <c r="AO9" s="2641"/>
      <c r="AP9" s="2643"/>
      <c r="AQ9" s="600"/>
      <c r="AR9" s="700"/>
      <c r="AS9" s="700" t="s">
        <v>510</v>
      </c>
      <c r="AT9" s="1677"/>
      <c r="AU9" s="1780"/>
      <c r="AV9" s="1677"/>
      <c r="AW9" s="1780"/>
      <c r="AX9" s="1677"/>
      <c r="AY9" s="1677"/>
      <c r="AZ9" s="1677"/>
      <c r="BA9" s="1677"/>
      <c r="BB9" s="1681"/>
      <c r="BC9" s="2538"/>
      <c r="BE9" s="784"/>
      <c r="BF9" s="784"/>
      <c r="BG9" s="784"/>
      <c r="BH9" s="784"/>
      <c r="BI9" s="1439">
        <v>0</v>
      </c>
    </row>
    <row customHeight="1" ht="11.25" hidden="1">
      <c r="A10" s="1647"/>
      <c r="B10" s="1647"/>
      <c r="C10" s="1647"/>
      <c r="D10" s="1647"/>
      <c r="E10" s="2543"/>
      <c r="F10" s="2543"/>
      <c r="G10" s="2543"/>
      <c r="H10" s="2543"/>
      <c r="I10" s="2570"/>
      <c r="J10" s="2570"/>
      <c r="K10" s="2540"/>
      <c r="L10" s="1648"/>
      <c r="P10" s="2541"/>
      <c r="Q10" s="2541"/>
      <c r="R10" s="2631"/>
      <c r="S10" s="2626"/>
      <c r="T10" s="2645"/>
      <c r="U10" s="584"/>
      <c r="V10" s="1677"/>
      <c r="W10" s="1780"/>
      <c r="X10" s="1677"/>
      <c r="Y10" s="1780"/>
      <c r="Z10" s="1677"/>
      <c r="AA10" s="1677"/>
      <c r="AB10" s="1677"/>
      <c r="AC10" s="1677"/>
      <c r="AD10" s="2470"/>
      <c r="AE10" s="2610"/>
      <c r="AF10" s="2489"/>
      <c r="AG10" s="2647"/>
      <c r="AH10" s="2391"/>
      <c r="AI10" s="2610"/>
      <c r="AJ10" s="2489"/>
      <c r="AK10" s="2611"/>
      <c r="AL10" s="2391"/>
      <c r="AM10" s="600"/>
      <c r="AN10" s="1784"/>
      <c r="AO10" s="1784" t="s">
        <v>530</v>
      </c>
      <c r="AP10" s="700"/>
      <c r="AQ10" s="700"/>
      <c r="AR10" s="700"/>
      <c r="AS10" s="1677"/>
      <c r="AT10" s="1677"/>
      <c r="AU10" s="1780"/>
      <c r="AV10" s="1677"/>
      <c r="AW10" s="1780"/>
      <c r="AX10" s="1677"/>
      <c r="AY10" s="1677"/>
      <c r="AZ10" s="1677"/>
      <c r="BA10" s="1677"/>
      <c r="BB10" s="1681"/>
      <c r="BC10" s="2538"/>
      <c r="BE10" s="784"/>
      <c r="BF10" s="784"/>
      <c r="BG10" s="784"/>
      <c r="BH10" s="784"/>
      <c r="BI10" s="1439">
        <v>0</v>
      </c>
    </row>
    <row customHeight="1" ht="11.25" hidden="1">
      <c r="A11" s="1647"/>
      <c r="B11" s="1647"/>
      <c r="C11" s="1647"/>
      <c r="D11" s="1647"/>
      <c r="E11" s="2543"/>
      <c r="F11" s="2543"/>
      <c r="G11" s="2543"/>
      <c r="H11" s="2543"/>
      <c r="I11" s="2570"/>
      <c r="J11" s="2570"/>
      <c r="K11" s="2540"/>
      <c r="L11" s="1648"/>
      <c r="P11" s="2541"/>
      <c r="Q11" s="2541"/>
      <c r="R11" s="2631"/>
      <c r="S11" s="2626"/>
      <c r="T11" s="2645"/>
      <c r="U11" s="584"/>
      <c r="V11" s="1677"/>
      <c r="W11" s="1780"/>
      <c r="X11" s="1677"/>
      <c r="Y11" s="1780"/>
      <c r="Z11" s="1677"/>
      <c r="AA11" s="1677"/>
      <c r="AB11" s="1677"/>
      <c r="AC11" s="1677"/>
      <c r="AD11" s="2470"/>
      <c r="AE11" s="2610"/>
      <c r="AF11" s="2489"/>
      <c r="AG11" s="2647"/>
      <c r="AH11" s="2391"/>
      <c r="AI11" s="578"/>
      <c r="AJ11" s="699"/>
      <c r="AK11" s="597" t="s">
        <v>531</v>
      </c>
      <c r="AL11" s="1677"/>
      <c r="AM11" s="1677"/>
      <c r="AN11" s="1677"/>
      <c r="AO11" s="1677"/>
      <c r="AP11" s="1677"/>
      <c r="AQ11" s="1677"/>
      <c r="AR11" s="1677"/>
      <c r="AS11" s="1677"/>
      <c r="AT11" s="1677"/>
      <c r="AU11" s="1780"/>
      <c r="AV11" s="1677"/>
      <c r="AW11" s="1780"/>
      <c r="AX11" s="1677"/>
      <c r="AY11" s="1677"/>
      <c r="AZ11" s="1677"/>
      <c r="BA11" s="1677"/>
      <c r="BB11" s="1681"/>
      <c r="BC11" s="2538"/>
      <c r="BE11" s="784"/>
      <c r="BF11" s="784"/>
      <c r="BG11" s="784"/>
      <c r="BH11" s="784"/>
      <c r="BI11" s="1439">
        <v>0</v>
      </c>
    </row>
    <row customHeight="1" ht="11.25" hidden="1">
      <c r="A12" s="1647"/>
      <c r="B12" s="1647"/>
      <c r="C12" s="1647"/>
      <c r="D12" s="1647"/>
      <c r="E12" s="2543"/>
      <c r="F12" s="2543"/>
      <c r="G12" s="2543"/>
      <c r="H12" s="2543"/>
      <c r="I12" s="2570"/>
      <c r="J12" s="2570"/>
      <c r="K12" s="2540"/>
      <c r="L12" s="1648"/>
      <c r="P12" s="2541"/>
      <c r="Q12" s="2541"/>
      <c r="R12" s="2631"/>
      <c r="S12" s="2627"/>
      <c r="T12" s="2646"/>
      <c r="U12" s="584"/>
      <c r="V12" s="1677"/>
      <c r="W12" s="1678" t="str">
        <f>Z8&amp;"-"&amp;AB8</f>
        <v>-</v>
      </c>
      <c r="X12" s="1677"/>
      <c r="Y12" s="1678" t="str">
        <f>AB8&amp;"-"&amp;AD8</f>
        <v>-да</v>
      </c>
      <c r="Z12" s="1677"/>
      <c r="AA12" s="1677"/>
      <c r="AB12" s="1677"/>
      <c r="AC12" s="1677"/>
      <c r="AD12" s="2396"/>
      <c r="AE12" s="596"/>
      <c r="AF12" s="598"/>
      <c r="AG12" s="700" t="s">
        <v>513</v>
      </c>
      <c r="AH12" s="1677"/>
      <c r="AI12" s="1677"/>
      <c r="AJ12" s="1677"/>
      <c r="AK12" s="1677"/>
      <c r="AL12" s="1677"/>
      <c r="AM12" s="1677"/>
      <c r="AN12" s="1677"/>
      <c r="AO12" s="1677"/>
      <c r="AP12" s="1677"/>
      <c r="AQ12" s="1677"/>
      <c r="AR12" s="1677"/>
      <c r="AS12" s="1677"/>
      <c r="AT12" s="1677"/>
      <c r="AU12" s="1678" t="str">
        <f>AX8&amp;"-"&amp;AZ8</f>
        <v>-</v>
      </c>
      <c r="AV12" s="1677"/>
      <c r="AW12" s="1678" t="str">
        <f>AZ8&amp;"-"&amp;BB8</f>
        <v>-</v>
      </c>
      <c r="AX12" s="1677"/>
      <c r="AY12" s="1677"/>
      <c r="AZ12" s="1677"/>
      <c r="BA12" s="1677"/>
      <c r="BB12" s="1680" t="str">
        <f>BE8&amp;"-"&amp;BG8</f>
        <v>-</v>
      </c>
      <c r="BC12" s="2538"/>
      <c r="BE12" s="784"/>
      <c r="BF12" s="784" t="str">
        <f>IF(T12="","",T12)</f>
        <v/>
      </c>
      <c r="BG12" s="784"/>
      <c r="BH12" s="784"/>
      <c r="BI12" s="1439">
        <v>0</v>
      </c>
    </row>
    <row customHeight="1" ht="11.25" hidden="1">
      <c r="A13" s="1647"/>
      <c r="B13" s="1647"/>
      <c r="C13" s="1647"/>
      <c r="D13" s="1647"/>
      <c r="E13" s="2543"/>
      <c r="F13" s="2543"/>
      <c r="G13" s="2543"/>
      <c r="H13" s="2543"/>
      <c r="I13" s="2570"/>
      <c r="J13" s="2540"/>
      <c r="K13" s="1647"/>
      <c r="L13" s="1648"/>
      <c r="P13" s="2541"/>
      <c r="Q13" s="2541"/>
      <c r="R13" s="640"/>
      <c r="S13" s="1562"/>
      <c r="T13" s="571" t="s">
        <v>476</v>
      </c>
      <c r="U13" s="651"/>
      <c r="V13" s="651"/>
      <c r="W13" s="651"/>
      <c r="X13" s="651"/>
      <c r="Y13" s="651"/>
      <c r="Z13" s="651"/>
      <c r="AA13" s="651"/>
      <c r="AB13" s="651"/>
      <c r="AC13" s="651"/>
      <c r="AD13" s="1789"/>
      <c r="AE13" s="651"/>
      <c r="AF13" s="651"/>
      <c r="AG13" s="651"/>
      <c r="AH13" s="651"/>
      <c r="AI13" s="651"/>
      <c r="AJ13" s="651"/>
      <c r="AK13" s="651"/>
      <c r="AL13" s="651"/>
      <c r="AM13" s="651"/>
      <c r="AN13" s="651"/>
      <c r="AO13" s="651"/>
      <c r="AP13" s="651"/>
      <c r="AQ13" s="651"/>
      <c r="AR13" s="651"/>
      <c r="AS13" s="651"/>
      <c r="AT13" s="651"/>
      <c r="AU13" s="651"/>
      <c r="AV13" s="651"/>
      <c r="AW13" s="651"/>
      <c r="AX13" s="651"/>
      <c r="AY13" s="651"/>
      <c r="AZ13" s="651"/>
      <c r="BA13" s="651"/>
      <c r="BB13" s="608"/>
      <c r="BC13" s="2539"/>
      <c r="BE13" s="784"/>
      <c r="BF13" s="784" t="str">
        <f>IF(T13="","",T13)</f>
        <v>Добавить строку</v>
      </c>
      <c r="BG13" s="784"/>
      <c r="BH13" s="784"/>
      <c r="BI13" s="1439">
        <v>0</v>
      </c>
    </row>
    <row s="14158" customFormat="1" customHeight="1" ht="14.25" hidden="1">
      <c r="A14" s="1627"/>
      <c r="B14" s="1627"/>
      <c r="C14" s="1627"/>
      <c r="D14" s="1627"/>
      <c r="E14" s="2543"/>
      <c r="F14" s="2543"/>
      <c r="G14" s="2543"/>
      <c r="H14" s="2543"/>
      <c r="I14" s="2540"/>
      <c r="J14" s="1627"/>
      <c r="K14" s="1627"/>
      <c r="L14" s="1630"/>
      <c r="M14" s="794"/>
      <c r="N14" s="794"/>
      <c r="O14" s="794"/>
      <c r="P14" s="2541"/>
      <c r="Q14" s="1765"/>
      <c r="R14" s="640"/>
      <c r="S14" s="1670"/>
      <c r="T14" s="1671"/>
      <c r="U14" s="1672"/>
      <c r="V14" s="1672"/>
      <c r="W14" s="1672"/>
      <c r="X14" s="1672"/>
      <c r="Y14" s="1672"/>
      <c r="Z14" s="1672"/>
      <c r="AA14" s="1672"/>
      <c r="AB14" s="1672"/>
      <c r="AC14" s="1672"/>
      <c r="AD14" s="1672"/>
      <c r="AE14" s="1672"/>
      <c r="AF14" s="1672"/>
      <c r="AG14" s="1672"/>
      <c r="AH14" s="1672"/>
      <c r="AI14" s="1672"/>
      <c r="AJ14" s="1672"/>
      <c r="AK14" s="1672"/>
      <c r="AL14" s="1672"/>
      <c r="AM14" s="1672"/>
      <c r="AN14" s="1672"/>
      <c r="AO14" s="1672"/>
      <c r="AP14" s="1672"/>
      <c r="AQ14" s="1672"/>
      <c r="AR14" s="1672"/>
      <c r="AS14" s="1672"/>
      <c r="AT14" s="1672"/>
      <c r="AU14" s="1672"/>
      <c r="AV14" s="1672"/>
      <c r="AW14" s="1672"/>
      <c r="AX14" s="1672"/>
      <c r="AY14" s="1672"/>
      <c r="AZ14" s="1672"/>
      <c r="BA14" s="1672"/>
      <c r="BB14" s="1672"/>
      <c r="BC14" s="1673"/>
      <c r="BE14" s="784"/>
      <c r="BF14" s="784" t="str">
        <f>IF(T14="","",T14)</f>
        <v/>
      </c>
      <c r="BG14" s="784"/>
      <c r="BH14" s="784"/>
      <c r="BI14" s="795">
        <v>0</v>
      </c>
    </row>
    <row s="14158" customFormat="1" customHeight="1" ht="14.25" hidden="1">
      <c r="A15" s="1627"/>
      <c r="B15" s="1627"/>
      <c r="C15" s="1627"/>
      <c r="D15" s="1627"/>
      <c r="E15" s="2543"/>
      <c r="F15" s="2543"/>
      <c r="G15" s="2543"/>
      <c r="H15" s="2542"/>
      <c r="I15" s="1627"/>
      <c r="J15" s="1627"/>
      <c r="K15" s="1627"/>
      <c r="L15" s="1630"/>
      <c r="M15" s="1599"/>
      <c r="N15" s="1599"/>
      <c r="O15" s="802"/>
      <c r="P15" s="664"/>
      <c r="Q15" s="1628"/>
      <c r="R15" s="1685"/>
      <c r="S15" s="1670"/>
      <c r="T15" s="1671"/>
      <c r="U15" s="1672"/>
      <c r="V15" s="1672"/>
      <c r="W15" s="1672"/>
      <c r="X15" s="1672"/>
      <c r="Y15" s="1672"/>
      <c r="Z15" s="1672"/>
      <c r="AA15" s="1672"/>
      <c r="AB15" s="1672"/>
      <c r="AC15" s="1672"/>
      <c r="AD15" s="1672"/>
      <c r="AE15" s="1672"/>
      <c r="AF15" s="1672"/>
      <c r="AG15" s="1672"/>
      <c r="AH15" s="1672"/>
      <c r="AI15" s="1672"/>
      <c r="AJ15" s="1672"/>
      <c r="AK15" s="1672"/>
      <c r="AL15" s="1672"/>
      <c r="AM15" s="1672"/>
      <c r="AN15" s="1672"/>
      <c r="AO15" s="1672"/>
      <c r="AP15" s="1672"/>
      <c r="AQ15" s="1672"/>
      <c r="AR15" s="1672"/>
      <c r="AS15" s="1672"/>
      <c r="AT15" s="1672"/>
      <c r="AU15" s="1672"/>
      <c r="AV15" s="1672"/>
      <c r="AW15" s="1672"/>
      <c r="AX15" s="1672"/>
      <c r="AY15" s="1672"/>
      <c r="AZ15" s="1672"/>
      <c r="BA15" s="1672"/>
      <c r="BB15" s="1672"/>
      <c r="BC15" s="1673"/>
      <c r="BE15" s="784"/>
      <c r="BF15" s="784" t="str">
        <f>IF(T15="","",T15)</f>
        <v/>
      </c>
      <c r="BG15" s="784"/>
      <c r="BH15" s="784"/>
      <c r="BI15" s="795">
        <v>0</v>
      </c>
    </row>
    <row s="14158" customFormat="1" customHeight="1" ht="14.25" hidden="1">
      <c r="A16" s="1627"/>
      <c r="B16" s="1627"/>
      <c r="C16" s="1627"/>
      <c r="D16" s="1598"/>
      <c r="E16" s="2543"/>
      <c r="F16" s="2543"/>
      <c r="G16" s="2542"/>
      <c r="H16" s="1598"/>
      <c r="I16" s="1598"/>
      <c r="J16" s="1598"/>
      <c r="K16" s="1598"/>
      <c r="L16" s="1778"/>
      <c r="M16" s="1599"/>
      <c r="N16" s="1599"/>
      <c r="P16" s="1600"/>
      <c r="Q16" s="1601"/>
      <c r="R16" s="1600"/>
      <c r="S16" s="1606"/>
      <c r="T16" s="1609"/>
      <c r="U16" s="1608"/>
      <c r="V16" s="1608"/>
      <c r="W16" s="1608"/>
      <c r="X16" s="1608"/>
      <c r="Y16" s="1608"/>
      <c r="Z16" s="1608"/>
      <c r="AA16" s="1608"/>
      <c r="AB16" s="1608"/>
      <c r="AC16" s="1608"/>
      <c r="AD16" s="1608"/>
      <c r="AE16" s="1608"/>
      <c r="AF16" s="1608"/>
      <c r="AG16" s="1608"/>
      <c r="AH16" s="1608"/>
      <c r="AI16" s="1608"/>
      <c r="AJ16" s="1608"/>
      <c r="AK16" s="1608"/>
      <c r="AL16" s="1608"/>
      <c r="AM16" s="1608"/>
      <c r="AN16" s="1608"/>
      <c r="AO16" s="1608"/>
      <c r="AP16" s="1608"/>
      <c r="AQ16" s="1608"/>
      <c r="AR16" s="1608"/>
      <c r="AS16" s="1608"/>
      <c r="AT16" s="1608"/>
      <c r="AU16" s="1608"/>
      <c r="AV16" s="1608"/>
      <c r="AW16" s="1608"/>
      <c r="AX16" s="1608"/>
      <c r="AY16" s="1608"/>
      <c r="AZ16" s="1608"/>
      <c r="BA16" s="1608"/>
      <c r="BB16" s="1608"/>
      <c r="BC16" s="1608"/>
      <c r="BE16" s="1073"/>
      <c r="BF16" s="1073" t="str">
        <f>IF(T16="","",T16)</f>
        <v/>
      </c>
      <c r="BG16" s="1073"/>
      <c r="BH16" s="1073"/>
      <c r="BI16" s="802">
        <v>0</v>
      </c>
    </row>
    <row s="14158" customFormat="1" customHeight="1" ht="14.25" hidden="1">
      <c r="A17" s="1627"/>
      <c r="B17" s="1627"/>
      <c r="C17" s="1598"/>
      <c r="D17" s="1598"/>
      <c r="E17" s="2543"/>
      <c r="F17" s="2542"/>
      <c r="G17" s="1598"/>
      <c r="H17" s="1598"/>
      <c r="I17" s="1598"/>
      <c r="J17" s="1598"/>
      <c r="K17" s="1598"/>
      <c r="L17" s="1778"/>
      <c r="M17" s="1605"/>
      <c r="N17" s="1605"/>
      <c r="P17" s="1600"/>
      <c r="Q17" s="1601"/>
      <c r="R17" s="1600"/>
      <c r="S17" s="1606"/>
      <c r="T17" s="1609" t="s">
        <v>170</v>
      </c>
      <c r="U17" s="1608"/>
      <c r="V17" s="1608"/>
      <c r="W17" s="1608"/>
      <c r="X17" s="1608"/>
      <c r="Y17" s="1608"/>
      <c r="Z17" s="1608"/>
      <c r="AA17" s="1608"/>
      <c r="AB17" s="1608"/>
      <c r="AC17" s="1608"/>
      <c r="AD17" s="1608"/>
      <c r="AE17" s="1608"/>
      <c r="AF17" s="1608"/>
      <c r="AG17" s="1608"/>
      <c r="AH17" s="1608"/>
      <c r="AI17" s="1608"/>
      <c r="AJ17" s="1608"/>
      <c r="AK17" s="1608"/>
      <c r="AL17" s="1608"/>
      <c r="AM17" s="1608"/>
      <c r="AN17" s="1608"/>
      <c r="AO17" s="1608"/>
      <c r="AP17" s="1608"/>
      <c r="AQ17" s="1608"/>
      <c r="AR17" s="1608"/>
      <c r="AS17" s="1608"/>
      <c r="AT17" s="1608"/>
      <c r="AU17" s="1608"/>
      <c r="AV17" s="1608"/>
      <c r="AW17" s="1608"/>
      <c r="AX17" s="1608"/>
      <c r="AY17" s="1608"/>
      <c r="AZ17" s="1608"/>
      <c r="BA17" s="1608"/>
      <c r="BB17" s="1608"/>
      <c r="BC17" s="1608"/>
      <c r="BE17" s="1073"/>
      <c r="BF17" s="1073" t="str">
        <f>IF(T17="","",T17)</f>
        <v>Добавить централизованную систему для дифференциации</v>
      </c>
      <c r="BG17" s="1073"/>
      <c r="BH17" s="1073"/>
      <c r="BI17" s="802">
        <v>0</v>
      </c>
    </row>
    <row s="14158" customFormat="1" customHeight="1" ht="14.25" hidden="1">
      <c r="A18" s="1627"/>
      <c r="B18" s="1627"/>
      <c r="C18" s="1627"/>
      <c r="D18" s="1627"/>
      <c r="E18" s="2542"/>
      <c r="F18" s="1627"/>
      <c r="G18" s="1627"/>
      <c r="H18" s="1627"/>
      <c r="I18" s="1627"/>
      <c r="J18" s="1627"/>
      <c r="K18" s="1627"/>
      <c r="L18" s="1630"/>
      <c r="M18" s="1605"/>
      <c r="N18" s="1605"/>
      <c r="O18" s="802"/>
      <c r="P18" s="664"/>
      <c r="Q18" s="1628"/>
      <c r="R18" s="664"/>
      <c r="S18" s="1606"/>
      <c r="T18" s="1609" t="s">
        <v>171</v>
      </c>
      <c r="U18" s="1608"/>
      <c r="V18" s="1608"/>
      <c r="W18" s="1608"/>
      <c r="X18" s="1608"/>
      <c r="Y18" s="1608"/>
      <c r="Z18" s="1608"/>
      <c r="AA18" s="1608"/>
      <c r="AB18" s="1608"/>
      <c r="AC18" s="1608"/>
      <c r="AD18" s="1608"/>
      <c r="AE18" s="1608"/>
      <c r="AF18" s="1608"/>
      <c r="AG18" s="1608"/>
      <c r="AH18" s="1608"/>
      <c r="AI18" s="1608"/>
      <c r="AJ18" s="1608"/>
      <c r="AK18" s="1608"/>
      <c r="AL18" s="1608"/>
      <c r="AM18" s="1608"/>
      <c r="AN18" s="1608"/>
      <c r="AO18" s="1608"/>
      <c r="AP18" s="1608"/>
      <c r="AQ18" s="1608"/>
      <c r="AR18" s="1608"/>
      <c r="AS18" s="1608"/>
      <c r="AT18" s="1608"/>
      <c r="AU18" s="1608"/>
      <c r="AV18" s="1608"/>
      <c r="AW18" s="1608"/>
      <c r="AX18" s="1608"/>
      <c r="AY18" s="1608"/>
      <c r="AZ18" s="1608"/>
      <c r="BA18" s="1608"/>
      <c r="BB18" s="1608"/>
      <c r="BC18" s="1608"/>
      <c r="BE18" s="784"/>
      <c r="BF18" s="784" t="str">
        <f>IF(T18="","",T18)</f>
        <v>Добавить территорию для дифференциации</v>
      </c>
      <c r="BG18" s="784"/>
      <c r="BH18" s="784"/>
      <c r="BI18" s="795">
        <v>0</v>
      </c>
    </row>
    <row customHeight="1" ht="14.25" hidden="1">
      <c r="AC19" s="611"/>
      <c r="BA19" s="611"/>
      <c r="BI19" s="1439">
        <v>0</v>
      </c>
    </row>
    <row customHeight="1" ht="14.25" hidden="1">
      <c r="AD20" s="1608" t="s">
        <v>19</v>
      </c>
      <c r="AE20" s="1785"/>
      <c r="AF20" s="832">
        <v>1</v>
      </c>
      <c r="AG20" s="1786"/>
      <c r="AH20" s="1608" t="s">
        <v>19</v>
      </c>
      <c r="AI20" s="1785"/>
      <c r="AJ20" s="832">
        <v>1</v>
      </c>
      <c r="AK20" s="1786"/>
      <c r="AL20" s="1608" t="s">
        <v>19</v>
      </c>
      <c r="AM20" s="1787"/>
      <c r="AN20" s="832">
        <v>1</v>
      </c>
      <c r="AO20" s="1788"/>
      <c r="AP20" s="1608" t="s">
        <v>19</v>
      </c>
      <c r="AQ20" s="1787"/>
      <c r="AR20" s="832">
        <v>1</v>
      </c>
      <c r="AS20" s="1788"/>
      <c r="AT20" s="609"/>
      <c r="AU20" s="668"/>
      <c r="AV20" s="609"/>
      <c r="AW20" s="668"/>
      <c r="AX20" s="2020"/>
      <c r="AY20" s="1769" t="s">
        <v>67</v>
      </c>
      <c r="AZ20" s="2020"/>
      <c r="BA20" s="1769" t="s">
        <v>67</v>
      </c>
      <c r="BI20" s="1439">
        <v>0</v>
      </c>
    </row>
    <row customHeight="1" ht="14.25" hidden="1">
      <c r="BD21" s="780"/>
      <c r="BE21" s="780"/>
      <c r="BF21" s="780"/>
      <c r="BG21" s="780"/>
      <c r="BH21" s="780"/>
      <c r="BI21" s="1439">
        <v>0</v>
      </c>
    </row>
    <row customHeight="1" ht="14.25" hidden="1">
      <c r="O22" s="1651" t="s">
        <v>419</v>
      </c>
      <c r="Z22" s="1629"/>
      <c r="AB22" s="1629"/>
      <c r="AC22" s="611"/>
      <c r="AX22" s="1629"/>
      <c r="AZ22" s="1629"/>
      <c r="BA22" s="611"/>
      <c r="BD22" s="780"/>
      <c r="BE22" s="780"/>
      <c r="BF22" s="780"/>
      <c r="BG22" s="780"/>
      <c r="BH22" s="780"/>
      <c r="BI22" s="1439">
        <v>0</v>
      </c>
    </row>
    <row customHeight="1" ht="14.25" hidden="1">
      <c r="AC23" s="611"/>
      <c r="BA23" s="611"/>
      <c r="BD23" s="780"/>
      <c r="BE23" s="780"/>
      <c r="BF23" s="780"/>
      <c r="BG23" s="780"/>
      <c r="BH23" s="780"/>
      <c r="BI23" s="1439">
        <v>0</v>
      </c>
    </row>
    <row s="15237" customFormat="1" customHeight="1" ht="14.25" hidden="1">
      <c r="M24" s="1792"/>
      <c r="N24" s="1792"/>
      <c r="O24" s="1793" t="s">
        <v>420</v>
      </c>
      <c r="P24" s="1792"/>
      <c r="Q24" s="1794"/>
      <c r="R24" s="1794"/>
      <c r="AA24" s="1791" t="s">
        <v>422</v>
      </c>
      <c r="AC24" s="1791" t="s">
        <v>423</v>
      </c>
      <c r="AD24" s="1791" t="s">
        <v>477</v>
      </c>
      <c r="AH24" s="1791" t="s">
        <v>477</v>
      </c>
      <c r="AK24" s="1791" t="s">
        <v>514</v>
      </c>
      <c r="AL24" s="1791" t="s">
        <v>477</v>
      </c>
      <c r="AP24" s="1791" t="s">
        <v>477</v>
      </c>
      <c r="AY24" s="1791" t="s">
        <v>422</v>
      </c>
      <c r="BA24" s="1791" t="s">
        <v>423</v>
      </c>
      <c r="BD24" s="1795"/>
      <c r="BE24" s="1795"/>
      <c r="BF24" s="1795"/>
      <c r="BG24" s="1795"/>
      <c r="BH24" s="1795"/>
      <c r="BI24" s="1791">
        <v>0</v>
      </c>
    </row>
    <row customHeight="1" ht="14.25" hidden="1">
      <c r="O25" s="1648"/>
      <c r="BD25" s="780"/>
      <c r="BE25" s="780"/>
      <c r="BF25" s="780"/>
      <c r="BG25" s="780"/>
      <c r="BH25" s="780"/>
      <c r="BI25" s="1439">
        <v>0</v>
      </c>
    </row>
    <row customHeight="1" ht="14.25" hidden="1">
      <c r="O26" s="1648"/>
      <c r="BD26" s="780"/>
      <c r="BE26" s="780"/>
      <c r="BF26" s="780"/>
      <c r="BG26" s="780"/>
      <c r="BH26" s="780"/>
      <c r="BI26" s="1439">
        <v>0</v>
      </c>
    </row>
    <row customHeight="1" ht="14.699999999999998">
      <c r="Q27" s="575"/>
      <c r="R27" s="660"/>
      <c r="S27" s="1559"/>
      <c r="T27" s="647"/>
      <c r="U27" s="647"/>
      <c r="V27" s="793"/>
      <c r="W27" s="793"/>
      <c r="X27" s="793"/>
      <c r="Y27" s="793"/>
      <c r="Z27" s="793"/>
      <c r="AA27" s="793"/>
      <c r="AB27" s="793"/>
      <c r="AC27" s="793"/>
      <c r="AD27" s="793"/>
      <c r="AE27" s="793"/>
      <c r="AF27" s="793"/>
      <c r="AG27" s="793"/>
      <c r="AH27" s="793"/>
      <c r="AI27" s="793"/>
      <c r="AJ27" s="793"/>
      <c r="AK27" s="793"/>
      <c r="AL27" s="793"/>
      <c r="AM27" s="793"/>
      <c r="AN27" s="793"/>
      <c r="AO27" s="793"/>
      <c r="AP27" s="793"/>
      <c r="AQ27" s="793"/>
      <c r="AR27" s="793"/>
      <c r="AS27" s="793"/>
      <c r="AT27" s="793"/>
      <c r="AU27" s="793"/>
      <c r="AV27" s="793"/>
      <c r="AW27" s="793"/>
      <c r="AX27" s="793"/>
      <c r="AY27" s="793"/>
      <c r="AZ27" s="793"/>
      <c r="BA27" s="793"/>
      <c r="BI27" s="1439">
        <v>14</v>
      </c>
    </row>
    <row customHeight="1" ht="14.699999999999998">
      <c r="Q28" s="575"/>
      <c r="R28" s="660"/>
      <c r="S28" s="2532" t="str">
        <f>IF(TEMPLATE_GROUP="P",PT_P_FORM_VOTV_5_NAME_FORM,PT_R_FORM_VOTV_17_NAME_FORM)</f>
        <v>Форма 14. Информация о предложении организации водоотведения расчетной величины тарифов на подключение к централизованной системе водоотведения</v>
      </c>
      <c r="T28" s="2532"/>
      <c r="U28" s="2532"/>
      <c r="V28" s="2532"/>
      <c r="W28" s="2532"/>
      <c r="X28" s="2532"/>
      <c r="Y28" s="2532"/>
      <c r="Z28" s="2532"/>
      <c r="AA28" s="2532"/>
      <c r="AB28" s="2532"/>
      <c r="AC28" s="2532"/>
      <c r="AD28" s="2532"/>
      <c r="AE28" s="2532"/>
      <c r="AF28" s="2532"/>
      <c r="AG28" s="2532"/>
      <c r="AH28" s="2532"/>
      <c r="AI28" s="2532"/>
      <c r="AJ28" s="2532"/>
      <c r="AK28" s="2532"/>
      <c r="AL28" s="2532"/>
      <c r="AM28" s="2532"/>
      <c r="AN28" s="2532"/>
      <c r="AO28" s="2532"/>
      <c r="AP28" s="2532"/>
      <c r="AQ28" s="2532"/>
      <c r="AR28" s="2532"/>
      <c r="AS28" s="2532"/>
      <c r="AT28" s="2532"/>
      <c r="AU28" s="2532"/>
      <c r="AV28" s="2532"/>
      <c r="AW28" s="2532"/>
      <c r="AX28" s="2532"/>
      <c r="AY28" s="2532"/>
      <c r="AZ28" s="2532"/>
      <c r="BA28" s="1527"/>
      <c r="BI28" s="1439">
        <v>14</v>
      </c>
    </row>
    <row customHeight="1" ht="14.699999999999998">
      <c r="Q29" s="575"/>
      <c r="R29" s="660"/>
      <c r="S29" s="2533" t="str">
        <f>IF(org=0,"Не определено",org)</f>
        <v>МУП г. Азова "Теплоэнерго"</v>
      </c>
      <c r="T29" s="2533"/>
      <c r="U29" s="2533"/>
      <c r="V29" s="2533"/>
      <c r="W29" s="2533"/>
      <c r="X29" s="2533"/>
      <c r="Y29" s="2533"/>
      <c r="Z29" s="2533"/>
      <c r="AA29" s="2533"/>
      <c r="AB29" s="2533"/>
      <c r="AC29" s="2533"/>
      <c r="AD29" s="2533"/>
      <c r="AE29" s="2533"/>
      <c r="AF29" s="2533"/>
      <c r="AG29" s="2533"/>
      <c r="AH29" s="2533"/>
      <c r="AI29" s="2533"/>
      <c r="AJ29" s="2533"/>
      <c r="AK29" s="2533"/>
      <c r="AL29" s="2533"/>
      <c r="AM29" s="2533"/>
      <c r="AN29" s="2533"/>
      <c r="AO29" s="2533"/>
      <c r="AP29" s="2533"/>
      <c r="AQ29" s="2533"/>
      <c r="AR29" s="2533"/>
      <c r="AS29" s="2533"/>
      <c r="AT29" s="2533"/>
      <c r="AU29" s="2533"/>
      <c r="AV29" s="2533"/>
      <c r="AW29" s="2533"/>
      <c r="AX29" s="2533"/>
      <c r="AY29" s="2533"/>
      <c r="AZ29" s="2533"/>
      <c r="BA29" s="1527"/>
      <c r="BI29" s="1439">
        <v>14</v>
      </c>
    </row>
    <row customHeight="1" ht="14.25" hidden="1">
      <c r="Q30" s="575"/>
      <c r="R30" s="660"/>
      <c r="S30" s="1559"/>
      <c r="T30" s="647"/>
      <c r="U30" s="647"/>
      <c r="V30" s="606"/>
      <c r="W30" s="606"/>
      <c r="X30" s="606"/>
      <c r="Y30" s="606"/>
      <c r="Z30" s="606"/>
      <c r="AA30" s="606"/>
      <c r="AB30" s="606"/>
      <c r="AC30" s="606"/>
      <c r="AD30" s="606"/>
      <c r="AE30" s="606"/>
      <c r="AF30" s="606"/>
      <c r="AG30" s="606"/>
      <c r="AH30" s="606"/>
      <c r="AI30" s="606"/>
      <c r="AJ30" s="606"/>
      <c r="AK30" s="606"/>
      <c r="AL30" s="606"/>
      <c r="AM30" s="606"/>
      <c r="AN30" s="606"/>
      <c r="AO30" s="606"/>
      <c r="AP30" s="606"/>
      <c r="AQ30" s="606"/>
      <c r="AR30" s="606"/>
      <c r="AS30" s="606"/>
      <c r="AT30" s="606"/>
      <c r="AU30" s="606"/>
      <c r="AV30" s="606"/>
      <c r="AW30" s="606"/>
      <c r="AX30" s="606"/>
      <c r="AY30" s="606"/>
      <c r="AZ30" s="606"/>
      <c r="BA30" s="606"/>
      <c r="BB30" s="793"/>
      <c r="BI30" s="1439">
        <v>0</v>
      </c>
    </row>
    <row s="14284" customFormat="1" customHeight="1" ht="25.5" hidden="1">
      <c r="A31" s="1652"/>
      <c r="B31" s="1652"/>
      <c r="C31" s="1652"/>
      <c r="D31" s="1652"/>
      <c r="E31" s="1652"/>
      <c r="F31" s="1652"/>
      <c r="G31" s="1652"/>
      <c r="H31" s="1652"/>
      <c r="I31" s="1652"/>
      <c r="J31" s="1652"/>
      <c r="K31" s="1652"/>
      <c r="L31" s="1653"/>
      <c r="M31" s="1652"/>
      <c r="N31" s="1652"/>
      <c r="O31" s="1652"/>
      <c r="P31" s="1652"/>
      <c r="Q31" s="1652"/>
      <c r="S31" s="2534" t="s">
        <v>42</v>
      </c>
      <c r="T31" s="2534"/>
      <c r="U31" s="1656"/>
      <c r="V31" s="2535" t="str">
        <f>IF(TITLE_NAME_OR_PR_CHANGE="",IF(TITLE_NAME_OR_PR="","",TITLE_NAME_OR_PR),TITLE_NAME_OR_PR_CHANGE)</f>
        <v/>
      </c>
      <c r="W31" s="2535"/>
      <c r="X31" s="2535"/>
      <c r="Y31" s="2535"/>
      <c r="Z31" s="2535"/>
      <c r="AA31" s="2535"/>
      <c r="AB31" s="2535"/>
      <c r="AC31" s="610"/>
      <c r="AD31" s="2535" t="str">
        <f>IF(TITLE_NAME_OR_PR_CHANGE="",IF(TITLE_NAME_OR_PR="","",TITLE_NAME_OR_PR),TITLE_NAME_OR_PR_CHANGE)</f>
        <v/>
      </c>
      <c r="AE31" s="2535"/>
      <c r="AF31" s="2535"/>
      <c r="AG31" s="2535"/>
      <c r="AH31" s="2535"/>
      <c r="AI31" s="2535"/>
      <c r="AJ31" s="2535"/>
      <c r="AK31" s="2535"/>
      <c r="AL31" s="2535"/>
      <c r="AM31" s="2535"/>
      <c r="AN31" s="2535"/>
      <c r="AO31" s="2535"/>
      <c r="AP31" s="2535"/>
      <c r="AQ31" s="2535"/>
      <c r="AR31" s="2535"/>
      <c r="AS31" s="2535"/>
      <c r="AT31" s="2535"/>
      <c r="AU31" s="2535"/>
      <c r="AV31" s="2535"/>
      <c r="AW31" s="2535"/>
      <c r="AX31" s="2535"/>
      <c r="AY31" s="2535"/>
      <c r="AZ31" s="2535"/>
      <c r="BA31" s="610"/>
      <c r="BB31" s="610"/>
      <c r="BC31" s="564"/>
      <c r="BD31" s="652"/>
      <c r="BE31" s="652"/>
      <c r="BF31" s="652"/>
      <c r="BG31" s="652"/>
      <c r="BH31" s="652"/>
      <c r="BI31" s="702">
        <v>0</v>
      </c>
    </row>
    <row s="14284" customFormat="1" customHeight="1" ht="18.75" hidden="1">
      <c r="A32" s="1652"/>
      <c r="B32" s="1652"/>
      <c r="C32" s="1652"/>
      <c r="D32" s="1652"/>
      <c r="E32" s="1652"/>
      <c r="F32" s="1652"/>
      <c r="G32" s="1652"/>
      <c r="H32" s="1652"/>
      <c r="I32" s="1652"/>
      <c r="J32" s="1652"/>
      <c r="K32" s="1652"/>
      <c r="L32" s="1653"/>
      <c r="M32" s="1652"/>
      <c r="N32" s="1652"/>
      <c r="O32" s="1652"/>
      <c r="P32" s="1652"/>
      <c r="Q32" s="1652"/>
      <c r="S32" s="2534" t="s">
        <v>425</v>
      </c>
      <c r="T32" s="2534"/>
      <c r="U32" s="1656"/>
      <c r="V32" s="2548" t="str">
        <f>IF(TITLE_DATE_PR_CHANGE="",IF(TITLE_DATE_PR="","",TITLE_DATE_PR),TITLE_DATE_PR_CHANGE)</f>
        <v>45471</v>
      </c>
      <c r="W32" s="2548"/>
      <c r="X32" s="2548"/>
      <c r="Y32" s="2548"/>
      <c r="Z32" s="2548"/>
      <c r="AA32" s="2548"/>
      <c r="AB32" s="2548"/>
      <c r="AC32" s="610"/>
      <c r="AD32" s="2548" t="str">
        <f>IF(TITLE_DATE_PR_CHANGE="",IF(TITLE_DATE_PR="","",TITLE_DATE_PR),TITLE_DATE_PR_CHANGE)</f>
        <v>45471</v>
      </c>
      <c r="AE32" s="2548"/>
      <c r="AF32" s="2548"/>
      <c r="AG32" s="2548"/>
      <c r="AH32" s="2548"/>
      <c r="AI32" s="2548"/>
      <c r="AJ32" s="2548"/>
      <c r="AK32" s="2548"/>
      <c r="AL32" s="2548"/>
      <c r="AM32" s="2548"/>
      <c r="AN32" s="2548"/>
      <c r="AO32" s="2548"/>
      <c r="AP32" s="2548"/>
      <c r="AQ32" s="2548"/>
      <c r="AR32" s="2548"/>
      <c r="AS32" s="2548"/>
      <c r="AT32" s="2548"/>
      <c r="AU32" s="2548"/>
      <c r="AV32" s="2548"/>
      <c r="AW32" s="2548"/>
      <c r="AX32" s="2548"/>
      <c r="AY32" s="2548"/>
      <c r="AZ32" s="2548"/>
      <c r="BA32" s="610"/>
      <c r="BB32" s="610"/>
      <c r="BC32" s="564"/>
      <c r="BD32" s="652"/>
      <c r="BE32" s="652"/>
      <c r="BF32" s="652"/>
      <c r="BG32" s="652"/>
      <c r="BH32" s="652"/>
      <c r="BI32" s="702">
        <v>0</v>
      </c>
    </row>
    <row s="14284" customFormat="1" customHeight="1" ht="18.75" hidden="1">
      <c r="A33" s="1652"/>
      <c r="B33" s="1652"/>
      <c r="C33" s="1652"/>
      <c r="D33" s="1652"/>
      <c r="E33" s="1652"/>
      <c r="F33" s="1652"/>
      <c r="G33" s="1652"/>
      <c r="H33" s="1652"/>
      <c r="I33" s="1652"/>
      <c r="J33" s="1652"/>
      <c r="K33" s="1652"/>
      <c r="L33" s="1653"/>
      <c r="M33" s="1652"/>
      <c r="N33" s="1652"/>
      <c r="O33" s="1652"/>
      <c r="P33" s="1652"/>
      <c r="Q33" s="1652"/>
      <c r="S33" s="2534" t="s">
        <v>426</v>
      </c>
      <c r="T33" s="2534"/>
      <c r="U33" s="1656"/>
      <c r="V33" s="2535" t="str">
        <f>IF(TITLE_NUMBER_PR_CHANGE="",IF(TITLE_NUMBER_PR="","",TITLE_NUMBER_PR),TITLE_NUMBER_PR_CHANGE)</f>
        <v>50/18-01/261</v>
      </c>
      <c r="W33" s="2535"/>
      <c r="X33" s="2535"/>
      <c r="Y33" s="2535"/>
      <c r="Z33" s="2535"/>
      <c r="AA33" s="2535"/>
      <c r="AB33" s="2535"/>
      <c r="AC33" s="610"/>
      <c r="AD33" s="2535" t="str">
        <f>IF(TITLE_NUMBER_PR_CHANGE="",IF(TITLE_NUMBER_PR="","",TITLE_NUMBER_PR),TITLE_NUMBER_PR_CHANGE)</f>
        <v>50/18-01/261</v>
      </c>
      <c r="AE33" s="2535"/>
      <c r="AF33" s="2535"/>
      <c r="AG33" s="2535"/>
      <c r="AH33" s="2535"/>
      <c r="AI33" s="2535"/>
      <c r="AJ33" s="2535"/>
      <c r="AK33" s="2535"/>
      <c r="AL33" s="2535"/>
      <c r="AM33" s="2535"/>
      <c r="AN33" s="2535"/>
      <c r="AO33" s="2535"/>
      <c r="AP33" s="2535"/>
      <c r="AQ33" s="2535"/>
      <c r="AR33" s="2535"/>
      <c r="AS33" s="2535"/>
      <c r="AT33" s="2535"/>
      <c r="AU33" s="2535"/>
      <c r="AV33" s="2535"/>
      <c r="AW33" s="2535"/>
      <c r="AX33" s="2535"/>
      <c r="AY33" s="2535"/>
      <c r="AZ33" s="2535"/>
      <c r="BA33" s="610"/>
      <c r="BB33" s="610"/>
      <c r="BC33" s="564"/>
      <c r="BD33" s="652"/>
      <c r="BE33" s="652"/>
      <c r="BF33" s="652"/>
      <c r="BG33" s="652"/>
      <c r="BH33" s="652"/>
      <c r="BI33" s="702">
        <v>0</v>
      </c>
    </row>
    <row s="14284" customFormat="1" customHeight="1" ht="18.75" hidden="1">
      <c r="A34" s="1652"/>
      <c r="B34" s="1652"/>
      <c r="C34" s="1652"/>
      <c r="D34" s="1652"/>
      <c r="E34" s="1652"/>
      <c r="F34" s="1652"/>
      <c r="G34" s="1652"/>
      <c r="H34" s="1652"/>
      <c r="I34" s="1652"/>
      <c r="J34" s="1652"/>
      <c r="K34" s="1652"/>
      <c r="L34" s="1653"/>
      <c r="M34" s="1652"/>
      <c r="N34" s="1652"/>
      <c r="O34" s="1652"/>
      <c r="P34" s="1652"/>
      <c r="Q34" s="1652"/>
      <c r="S34" s="2534" t="s">
        <v>43</v>
      </c>
      <c r="T34" s="2534"/>
      <c r="U34" s="1656"/>
      <c r="V34" s="2535" t="str">
        <f>IF(TITLE_IST_PUB_CHANGE="",IF(TITLE_IST_PUB="","",TITLE_IST_PUB),TITLE_IST_PUB_CHANGE)</f>
        <v/>
      </c>
      <c r="W34" s="2535"/>
      <c r="X34" s="2535"/>
      <c r="Y34" s="2535"/>
      <c r="Z34" s="2535"/>
      <c r="AA34" s="2535"/>
      <c r="AB34" s="2535"/>
      <c r="AC34" s="610"/>
      <c r="AD34" s="2535" t="str">
        <f>IF(TITLE_IST_PUB_CHANGE="",IF(TITLE_IST_PUB="","",TITLE_IST_PUB),TITLE_IST_PUB_CHANGE)</f>
        <v/>
      </c>
      <c r="AE34" s="2535"/>
      <c r="AF34" s="2535"/>
      <c r="AG34" s="2535"/>
      <c r="AH34" s="2535"/>
      <c r="AI34" s="2535"/>
      <c r="AJ34" s="2535"/>
      <c r="AK34" s="2535"/>
      <c r="AL34" s="2535"/>
      <c r="AM34" s="2535"/>
      <c r="AN34" s="2535"/>
      <c r="AO34" s="2535"/>
      <c r="AP34" s="2535"/>
      <c r="AQ34" s="2535"/>
      <c r="AR34" s="2535"/>
      <c r="AS34" s="2535"/>
      <c r="AT34" s="2535"/>
      <c r="AU34" s="2535"/>
      <c r="AV34" s="2535"/>
      <c r="AW34" s="2535"/>
      <c r="AX34" s="2535"/>
      <c r="AY34" s="2535"/>
      <c r="AZ34" s="2535"/>
      <c r="BA34" s="610"/>
      <c r="BB34" s="610"/>
      <c r="BC34" s="564"/>
      <c r="BD34" s="652"/>
      <c r="BE34" s="652"/>
      <c r="BF34" s="652"/>
      <c r="BG34" s="652"/>
      <c r="BH34" s="652"/>
      <c r="BI34" s="702">
        <v>0</v>
      </c>
    </row>
    <row customHeight="1" ht="14.25">
      <c r="Q35" s="575"/>
      <c r="R35" s="660"/>
      <c r="S35" s="1559"/>
      <c r="T35" s="647"/>
      <c r="U35" s="647"/>
      <c r="V35" s="606"/>
      <c r="W35" s="606"/>
      <c r="X35" s="606"/>
      <c r="Y35" s="606"/>
      <c r="Z35" s="606"/>
      <c r="AA35" s="606"/>
      <c r="AB35" s="606"/>
      <c r="AC35" s="606"/>
      <c r="AD35" s="606"/>
      <c r="AE35" s="606"/>
      <c r="AF35" s="606"/>
      <c r="AG35" s="606"/>
      <c r="AH35" s="606"/>
      <c r="AI35" s="606"/>
      <c r="AJ35" s="606"/>
      <c r="AK35" s="606"/>
      <c r="AL35" s="606"/>
      <c r="AM35" s="606"/>
      <c r="AN35" s="606"/>
      <c r="AO35" s="606"/>
      <c r="AP35" s="606"/>
      <c r="AQ35" s="606"/>
      <c r="AR35" s="606"/>
      <c r="AS35" s="606"/>
      <c r="AT35" s="606"/>
      <c r="AU35" s="606"/>
      <c r="AV35" s="606"/>
      <c r="AW35" s="606"/>
      <c r="AX35" s="606"/>
      <c r="AY35" s="606"/>
      <c r="AZ35" s="606"/>
      <c r="BA35" s="606"/>
      <c r="BB35" s="793"/>
      <c r="BI35" s="1439">
        <v>0</v>
      </c>
    </row>
    <row s="14284" customFormat="1" customHeight="1" ht="18.75">
      <c r="A36" s="1652"/>
      <c r="B36" s="1652"/>
      <c r="C36" s="1652"/>
      <c r="D36" s="1652"/>
      <c r="E36" s="1652"/>
      <c r="F36" s="1652"/>
      <c r="G36" s="1652"/>
      <c r="H36" s="1652"/>
      <c r="I36" s="1652"/>
      <c r="J36" s="1652"/>
      <c r="K36" s="1652"/>
      <c r="L36" s="1653"/>
      <c r="M36" s="1652"/>
      <c r="N36" s="1652"/>
      <c r="O36" s="1652"/>
      <c r="P36" s="1652"/>
      <c r="Q36" s="1652"/>
      <c r="S36" s="2534" t="s">
        <v>425</v>
      </c>
      <c r="T36" s="2534"/>
      <c r="U36" s="1656"/>
      <c r="V36" s="2548" t="str">
        <f>IF(TITLE_DATE_PR_CHANGE="",IF(TITLE_DATE_PR="","",TITLE_DATE_PR),TITLE_DATE_PR_CHANGE)</f>
        <v>45471</v>
      </c>
      <c r="W36" s="2548"/>
      <c r="X36" s="2548"/>
      <c r="Y36" s="2548"/>
      <c r="Z36" s="2548"/>
      <c r="AA36" s="2548"/>
      <c r="AB36" s="2548"/>
      <c r="AC36" s="610"/>
      <c r="AD36" s="2548" t="str">
        <f>IF(TITLE_DATE_PR_CHANGE="",IF(TITLE_DATE_PR="","",TITLE_DATE_PR),TITLE_DATE_PR_CHANGE)</f>
        <v>45471</v>
      </c>
      <c r="AE36" s="2548"/>
      <c r="AF36" s="2548"/>
      <c r="AG36" s="2548"/>
      <c r="AH36" s="2548"/>
      <c r="AI36" s="2548"/>
      <c r="AJ36" s="2548"/>
      <c r="AK36" s="2548"/>
      <c r="AL36" s="2548"/>
      <c r="AM36" s="2548"/>
      <c r="AN36" s="2548"/>
      <c r="AO36" s="2548"/>
      <c r="AP36" s="2548"/>
      <c r="AQ36" s="2548"/>
      <c r="AR36" s="2548"/>
      <c r="AS36" s="2548"/>
      <c r="AT36" s="2548"/>
      <c r="AU36" s="2548"/>
      <c r="AV36" s="2548"/>
      <c r="AW36" s="2548"/>
      <c r="AX36" s="2548"/>
      <c r="AY36" s="2548"/>
      <c r="AZ36" s="2548"/>
      <c r="BA36" s="610"/>
      <c r="BB36" s="610"/>
      <c r="BC36" s="564"/>
      <c r="BD36" s="652"/>
      <c r="BE36" s="652"/>
      <c r="BF36" s="652"/>
      <c r="BG36" s="652"/>
      <c r="BH36" s="652"/>
      <c r="BI36" s="702">
        <v>0</v>
      </c>
    </row>
    <row s="14284" customFormat="1" customHeight="1" ht="18.75">
      <c r="A37" s="1652"/>
      <c r="B37" s="1652"/>
      <c r="C37" s="1652"/>
      <c r="D37" s="1652"/>
      <c r="E37" s="1652"/>
      <c r="F37" s="1652"/>
      <c r="G37" s="1652"/>
      <c r="H37" s="1652"/>
      <c r="I37" s="1652"/>
      <c r="J37" s="1652"/>
      <c r="K37" s="1652"/>
      <c r="L37" s="1653"/>
      <c r="M37" s="1652"/>
      <c r="N37" s="1652"/>
      <c r="O37" s="1652"/>
      <c r="P37" s="1652"/>
      <c r="Q37" s="1652"/>
      <c r="S37" s="2534" t="s">
        <v>426</v>
      </c>
      <c r="T37" s="2534"/>
      <c r="U37" s="1656"/>
      <c r="V37" s="2535" t="str">
        <f>IF(TITLE_NUMBER_PR_CHANGE="",IF(TITLE_NUMBER_PR="","",TITLE_NUMBER_PR),TITLE_NUMBER_PR_CHANGE)</f>
        <v>50/18-01/261</v>
      </c>
      <c r="W37" s="2535"/>
      <c r="X37" s="2535"/>
      <c r="Y37" s="2535"/>
      <c r="Z37" s="2535"/>
      <c r="AA37" s="2535"/>
      <c r="AB37" s="2535"/>
      <c r="AC37" s="610"/>
      <c r="AD37" s="2535" t="str">
        <f>IF(TITLE_NUMBER_PR_CHANGE="",IF(TITLE_NUMBER_PR="","",TITLE_NUMBER_PR),TITLE_NUMBER_PR_CHANGE)</f>
        <v>50/18-01/261</v>
      </c>
      <c r="AE37" s="2535"/>
      <c r="AF37" s="2535"/>
      <c r="AG37" s="2535"/>
      <c r="AH37" s="2535"/>
      <c r="AI37" s="2535"/>
      <c r="AJ37" s="2535"/>
      <c r="AK37" s="2535"/>
      <c r="AL37" s="2535"/>
      <c r="AM37" s="2535"/>
      <c r="AN37" s="2535"/>
      <c r="AO37" s="2535"/>
      <c r="AP37" s="2535"/>
      <c r="AQ37" s="2535"/>
      <c r="AR37" s="2535"/>
      <c r="AS37" s="2535"/>
      <c r="AT37" s="2535"/>
      <c r="AU37" s="2535"/>
      <c r="AV37" s="2535"/>
      <c r="AW37" s="2535"/>
      <c r="AX37" s="2535"/>
      <c r="AY37" s="2535"/>
      <c r="AZ37" s="2535"/>
      <c r="BA37" s="610"/>
      <c r="BB37" s="610"/>
      <c r="BC37" s="564"/>
      <c r="BD37" s="652"/>
      <c r="BE37" s="652"/>
      <c r="BF37" s="652"/>
      <c r="BG37" s="652"/>
      <c r="BH37" s="652"/>
      <c r="BI37" s="702">
        <v>0</v>
      </c>
    </row>
    <row s="14284" customFormat="1" customHeight="1" ht="0">
      <c r="A38" s="1652"/>
      <c r="B38" s="1652"/>
      <c r="C38" s="1652"/>
      <c r="D38" s="1652"/>
      <c r="E38" s="1652"/>
      <c r="F38" s="1652"/>
      <c r="G38" s="1652"/>
      <c r="H38" s="1652"/>
      <c r="I38" s="1652"/>
      <c r="J38" s="1652"/>
      <c r="K38" s="1652"/>
      <c r="L38" s="1653"/>
      <c r="M38" s="1652"/>
      <c r="N38" s="1652"/>
      <c r="O38" s="1652"/>
      <c r="P38" s="1652"/>
      <c r="Q38" s="1652"/>
      <c r="S38" s="607"/>
      <c r="T38" s="607"/>
      <c r="U38" s="1772"/>
      <c r="V38" s="610"/>
      <c r="W38" s="610"/>
      <c r="X38" s="610"/>
      <c r="Y38" s="610"/>
      <c r="Z38" s="610"/>
      <c r="AA38" s="610"/>
      <c r="AB38" s="610"/>
      <c r="AC38" s="562" t="s">
        <v>429</v>
      </c>
      <c r="AD38" s="610"/>
      <c r="AE38" s="610"/>
      <c r="AF38" s="610"/>
      <c r="AG38" s="610"/>
      <c r="AH38" s="610"/>
      <c r="AI38" s="610"/>
      <c r="AJ38" s="610"/>
      <c r="AK38" s="610"/>
      <c r="AL38" s="610"/>
      <c r="AM38" s="610"/>
      <c r="AN38" s="610"/>
      <c r="AO38" s="610"/>
      <c r="AP38" s="610"/>
      <c r="AQ38" s="610"/>
      <c r="AR38" s="610"/>
      <c r="AS38" s="610"/>
      <c r="AT38" s="610"/>
      <c r="AU38" s="610"/>
      <c r="AV38" s="610"/>
      <c r="AW38" s="610"/>
      <c r="AX38" s="610"/>
      <c r="AY38" s="610"/>
      <c r="AZ38" s="610"/>
      <c r="BA38" s="562" t="s">
        <v>429</v>
      </c>
      <c r="BD38" s="652"/>
      <c r="BE38" s="652"/>
      <c r="BF38" s="652"/>
      <c r="BG38" s="652"/>
      <c r="BH38" s="652"/>
      <c r="BI38" s="702">
        <v>0</v>
      </c>
    </row>
    <row customHeight="1" ht="14.699999999999998">
      <c r="Q39" s="575"/>
      <c r="R39" s="660"/>
      <c r="S39" s="1559"/>
      <c r="T39" s="647"/>
      <c r="U39" s="1528"/>
      <c r="V39" s="2536"/>
      <c r="W39" s="2536"/>
      <c r="X39" s="2536"/>
      <c r="Y39" s="2536"/>
      <c r="Z39" s="2536"/>
      <c r="AA39" s="2536"/>
      <c r="AB39" s="2536"/>
      <c r="AC39" s="2536"/>
      <c r="AD39" s="2536"/>
      <c r="AE39" s="2536"/>
      <c r="AF39" s="2536"/>
      <c r="AG39" s="2536"/>
      <c r="AH39" s="2536"/>
      <c r="AI39" s="2536"/>
      <c r="AJ39" s="2536"/>
      <c r="AK39" s="2536"/>
      <c r="AL39" s="2536"/>
      <c r="AM39" s="2536"/>
      <c r="AN39" s="2536"/>
      <c r="AO39" s="2536"/>
      <c r="AP39" s="2536"/>
      <c r="AQ39" s="2536"/>
      <c r="AR39" s="2536"/>
      <c r="AS39" s="2536"/>
      <c r="AT39" s="2536"/>
      <c r="AU39" s="2536"/>
      <c r="AV39" s="2536"/>
      <c r="AW39" s="2536"/>
      <c r="AX39" s="2536"/>
      <c r="AY39" s="2536"/>
      <c r="AZ39" s="2536"/>
      <c r="BA39" s="2536"/>
      <c r="BI39" s="1439">
        <v>14</v>
      </c>
    </row>
    <row customHeight="1" ht="14.699999999999998">
      <c r="Q40" s="575"/>
      <c r="R40" s="660"/>
      <c r="S40" s="2411" t="s">
        <v>305</v>
      </c>
      <c r="T40" s="2411"/>
      <c r="U40" s="2411"/>
      <c r="V40" s="2411"/>
      <c r="W40" s="2411"/>
      <c r="X40" s="2411"/>
      <c r="Y40" s="2411"/>
      <c r="Z40" s="2411"/>
      <c r="AA40" s="2411"/>
      <c r="AB40" s="2411"/>
      <c r="AC40" s="2411"/>
      <c r="AD40" s="2411"/>
      <c r="AE40" s="2411"/>
      <c r="AF40" s="2411"/>
      <c r="AG40" s="2411"/>
      <c r="AH40" s="2411"/>
      <c r="AI40" s="2411"/>
      <c r="AJ40" s="2411"/>
      <c r="AK40" s="2411"/>
      <c r="AL40" s="2411"/>
      <c r="AM40" s="2411"/>
      <c r="AN40" s="2411"/>
      <c r="AO40" s="2411"/>
      <c r="AP40" s="2411"/>
      <c r="AQ40" s="2411"/>
      <c r="AR40" s="2411"/>
      <c r="AS40" s="2411"/>
      <c r="AT40" s="2411"/>
      <c r="AU40" s="2411"/>
      <c r="AV40" s="2411"/>
      <c r="AW40" s="2411"/>
      <c r="AX40" s="2411"/>
      <c r="AY40" s="2411"/>
      <c r="AZ40" s="2411"/>
      <c r="BA40" s="2411"/>
      <c r="BB40" s="2411"/>
      <c r="BC40" s="2411" t="s">
        <v>306</v>
      </c>
      <c r="BI40" s="1439">
        <v>14</v>
      </c>
    </row>
    <row customHeight="1" ht="14.699999999999998">
      <c r="Q41" s="575"/>
      <c r="R41" s="660"/>
      <c r="S41" s="2557" t="s">
        <v>89</v>
      </c>
      <c r="T41" s="2493" t="s">
        <v>515</v>
      </c>
      <c r="U41" s="585"/>
      <c r="V41" s="2558" t="s">
        <v>431</v>
      </c>
      <c r="W41" s="2559"/>
      <c r="X41" s="2559"/>
      <c r="Y41" s="2559"/>
      <c r="Z41" s="2559"/>
      <c r="AA41" s="2559"/>
      <c r="AB41" s="2560"/>
      <c r="AC41" s="2561" t="s">
        <v>432</v>
      </c>
      <c r="AD41" s="2612" t="s">
        <v>532</v>
      </c>
      <c r="AE41" s="2575"/>
      <c r="AF41" s="2575"/>
      <c r="AG41" s="2613"/>
      <c r="AH41" s="2612" t="s">
        <v>533</v>
      </c>
      <c r="AI41" s="2575"/>
      <c r="AJ41" s="2575"/>
      <c r="AK41" s="2613"/>
      <c r="AL41" s="2612" t="s">
        <v>534</v>
      </c>
      <c r="AM41" s="2575"/>
      <c r="AN41" s="2575"/>
      <c r="AO41" s="2613"/>
      <c r="AP41" s="2612" t="s">
        <v>519</v>
      </c>
      <c r="AQ41" s="2575"/>
      <c r="AR41" s="2575"/>
      <c r="AS41" s="2613"/>
      <c r="AT41" s="2558" t="s">
        <v>431</v>
      </c>
      <c r="AU41" s="2559"/>
      <c r="AV41" s="2559"/>
      <c r="AW41" s="2559"/>
      <c r="AX41" s="2559"/>
      <c r="AY41" s="2559"/>
      <c r="AZ41" s="2560"/>
      <c r="BA41" s="2561" t="s">
        <v>432</v>
      </c>
      <c r="BB41" s="2564" t="s">
        <v>434</v>
      </c>
      <c r="BC41" s="2411"/>
      <c r="BI41" s="1439">
        <v>14</v>
      </c>
    </row>
    <row customHeight="1" ht="35.699999999999996">
      <c r="Q42" s="575"/>
      <c r="R42" s="660"/>
      <c r="S42" s="2557"/>
      <c r="T42" s="2493"/>
      <c r="U42" s="1315"/>
      <c r="V42" s="2476" t="s">
        <v>520</v>
      </c>
      <c r="W42" s="2477"/>
      <c r="X42" s="2476" t="s">
        <v>521</v>
      </c>
      <c r="Y42" s="2477"/>
      <c r="Z42" s="2578" t="s">
        <v>522</v>
      </c>
      <c r="AA42" s="2597"/>
      <c r="AB42" s="2598"/>
      <c r="AC42" s="2562"/>
      <c r="AD42" s="2614"/>
      <c r="AE42" s="2615"/>
      <c r="AF42" s="2615"/>
      <c r="AG42" s="2616"/>
      <c r="AH42" s="2614"/>
      <c r="AI42" s="2615"/>
      <c r="AJ42" s="2615"/>
      <c r="AK42" s="2616"/>
      <c r="AL42" s="2614"/>
      <c r="AM42" s="2615"/>
      <c r="AN42" s="2615"/>
      <c r="AO42" s="2616"/>
      <c r="AP42" s="2614"/>
      <c r="AQ42" s="2615"/>
      <c r="AR42" s="2615"/>
      <c r="AS42" s="2616"/>
      <c r="AT42" s="2476" t="s">
        <v>535</v>
      </c>
      <c r="AU42" s="2477"/>
      <c r="AV42" s="2476" t="s">
        <v>536</v>
      </c>
      <c r="AW42" s="2477"/>
      <c r="AX42" s="2578" t="s">
        <v>522</v>
      </c>
      <c r="AY42" s="2597"/>
      <c r="AZ42" s="2598"/>
      <c r="BA42" s="2562"/>
      <c r="BB42" s="2565"/>
      <c r="BC42" s="2411"/>
      <c r="BI42" s="1439">
        <v>34</v>
      </c>
    </row>
    <row customHeight="1" ht="14.699999999999998">
      <c r="Q43" s="575"/>
      <c r="R43" s="660"/>
      <c r="S43" s="2557"/>
      <c r="T43" s="2493"/>
      <c r="U43" s="1315"/>
      <c r="V43" s="2484"/>
      <c r="W43" s="2485"/>
      <c r="X43" s="2484"/>
      <c r="Y43" s="2485"/>
      <c r="Z43" s="2579"/>
      <c r="AA43" s="2599"/>
      <c r="AB43" s="2600"/>
      <c r="AC43" s="2562"/>
      <c r="AD43" s="2614"/>
      <c r="AE43" s="2615"/>
      <c r="AF43" s="2615"/>
      <c r="AG43" s="2616"/>
      <c r="AH43" s="2614"/>
      <c r="AI43" s="2615"/>
      <c r="AJ43" s="2615"/>
      <c r="AK43" s="2616"/>
      <c r="AL43" s="2614"/>
      <c r="AM43" s="2615"/>
      <c r="AN43" s="2615"/>
      <c r="AO43" s="2616"/>
      <c r="AP43" s="2614"/>
      <c r="AQ43" s="2615"/>
      <c r="AR43" s="2615"/>
      <c r="AS43" s="2616"/>
      <c r="AT43" s="2484"/>
      <c r="AU43" s="2485"/>
      <c r="AV43" s="2484"/>
      <c r="AW43" s="2485"/>
      <c r="AX43" s="2579"/>
      <c r="AY43" s="2599"/>
      <c r="AZ43" s="2600"/>
      <c r="BA43" s="2562"/>
      <c r="BB43" s="2565"/>
      <c r="BC43" s="2411"/>
      <c r="BI43" s="1439">
        <v>14</v>
      </c>
    </row>
    <row customHeight="1" ht="14.699999999999998">
      <c r="A44" s="1654"/>
      <c r="B44" s="1654" t="s">
        <v>136</v>
      </c>
      <c r="C44" s="1654" t="s">
        <v>137</v>
      </c>
      <c r="D44" s="1654" t="s">
        <v>138</v>
      </c>
      <c r="E44" s="1648" t="s">
        <v>439</v>
      </c>
      <c r="F44" s="1648" t="s">
        <v>440</v>
      </c>
      <c r="G44" s="1648" t="s">
        <v>441</v>
      </c>
      <c r="H44" s="1648" t="s">
        <v>442</v>
      </c>
      <c r="I44" s="1648" t="s">
        <v>443</v>
      </c>
      <c r="J44" s="1648" t="s">
        <v>444</v>
      </c>
      <c r="K44" s="1648" t="s">
        <v>445</v>
      </c>
      <c r="L44" s="1648" t="s">
        <v>420</v>
      </c>
      <c r="Q44" s="575"/>
      <c r="R44" s="660"/>
      <c r="S44" s="2557"/>
      <c r="T44" s="2493"/>
      <c r="U44" s="586"/>
      <c r="V44" s="1763" t="s">
        <v>486</v>
      </c>
      <c r="W44" s="1763" t="s">
        <v>487</v>
      </c>
      <c r="X44" s="1763" t="s">
        <v>486</v>
      </c>
      <c r="Y44" s="1763" t="s">
        <v>487</v>
      </c>
      <c r="Z44" s="1773" t="s">
        <v>448</v>
      </c>
      <c r="AA44" s="2554" t="s">
        <v>449</v>
      </c>
      <c r="AB44" s="2555"/>
      <c r="AC44" s="2563"/>
      <c r="AD44" s="2617"/>
      <c r="AE44" s="2618"/>
      <c r="AF44" s="2618"/>
      <c r="AG44" s="2619"/>
      <c r="AH44" s="2617"/>
      <c r="AI44" s="2618"/>
      <c r="AJ44" s="2618"/>
      <c r="AK44" s="2619"/>
      <c r="AL44" s="2617"/>
      <c r="AM44" s="2618"/>
      <c r="AN44" s="2618"/>
      <c r="AO44" s="2619"/>
      <c r="AP44" s="2617"/>
      <c r="AQ44" s="2618"/>
      <c r="AR44" s="2618"/>
      <c r="AS44" s="2619"/>
      <c r="AT44" s="1763" t="s">
        <v>486</v>
      </c>
      <c r="AU44" s="1763" t="s">
        <v>487</v>
      </c>
      <c r="AV44" s="1763" t="s">
        <v>486</v>
      </c>
      <c r="AW44" s="1763" t="s">
        <v>487</v>
      </c>
      <c r="AX44" s="1773" t="s">
        <v>448</v>
      </c>
      <c r="AY44" s="2554" t="s">
        <v>449</v>
      </c>
      <c r="AZ44" s="2555"/>
      <c r="BA44" s="2563"/>
      <c r="BB44" s="2566"/>
      <c r="BC44" s="2411"/>
      <c r="BI44" s="1439">
        <v>14</v>
      </c>
    </row>
    <row s="14730" customFormat="1" customHeight="1" ht="11.25" hidden="1">
      <c r="A45" s="1654"/>
      <c r="B45" s="1654"/>
      <c r="C45" s="1654"/>
      <c r="D45" s="1654"/>
      <c r="E45" s="1654"/>
      <c r="F45" s="1654"/>
      <c r="G45" s="1654"/>
      <c r="H45" s="1654"/>
      <c r="I45" s="1654"/>
      <c r="J45" s="1654"/>
      <c r="K45" s="1654"/>
      <c r="L45" s="1648"/>
      <c r="M45" s="1646"/>
      <c r="N45" s="1646"/>
      <c r="O45" s="1646"/>
      <c r="P45" s="794"/>
      <c r="Q45" s="1538"/>
      <c r="R45" s="1538">
        <v>1</v>
      </c>
      <c r="S45" s="1561" t="s">
        <v>110</v>
      </c>
      <c r="T45" s="1539" t="s">
        <v>111</v>
      </c>
      <c r="U45" s="1529" t="str">
        <f>OFFSET(U45,0,-1)</f>
        <v>2</v>
      </c>
      <c r="V45" s="1766">
        <f>OFFSET(V45,0,-1)+1</f>
        <v>3</v>
      </c>
      <c r="W45" s="1766">
        <f>OFFSET(W45,0,-1)+1</f>
        <v>4</v>
      </c>
      <c r="X45" s="1766">
        <f>OFFSET(X45,0,-1)+1</f>
        <v>5</v>
      </c>
      <c r="Y45" s="1766">
        <f>OFFSET(Y45,0,-1)+1</f>
        <v>6</v>
      </c>
      <c r="Z45" s="1766">
        <f>OFFSET(Z45,0,-1)+1</f>
        <v>7</v>
      </c>
      <c r="AA45" s="2556">
        <f>OFFSET(AA45,0,-1)+1</f>
        <v>8</v>
      </c>
      <c r="AB45" s="2556"/>
      <c r="AC45" s="1766">
        <f>OFFSET(AC45,0,-2)+1</f>
        <v>9</v>
      </c>
      <c r="AD45" s="1766">
        <f>OFFSET(AD45,0,-1)+1</f>
        <v>10</v>
      </c>
      <c r="AE45" s="1766"/>
      <c r="AF45" s="1766"/>
      <c r="AG45" s="1766"/>
      <c r="AH45" s="1766"/>
      <c r="AI45" s="1766"/>
      <c r="AJ45" s="1766"/>
      <c r="AK45" s="1766"/>
      <c r="AL45" s="1766"/>
      <c r="AM45" s="1766"/>
      <c r="AN45" s="1766"/>
      <c r="AO45" s="1766"/>
      <c r="AP45" s="1766"/>
      <c r="AQ45" s="1766"/>
      <c r="AR45" s="1766"/>
      <c r="AS45" s="1766"/>
      <c r="AT45" s="1766"/>
      <c r="AU45" s="1766"/>
      <c r="AV45" s="1766"/>
      <c r="AW45" s="1766">
        <f>OFFSET(AW45,0,-1)+1</f>
        <v>1</v>
      </c>
      <c r="AX45" s="1766">
        <f>OFFSET(AX45,0,-1)+1</f>
        <v>2</v>
      </c>
      <c r="AY45" s="2556">
        <f>OFFSET(AY45,0,-1)+1</f>
        <v>3</v>
      </c>
      <c r="AZ45" s="2556"/>
      <c r="BA45" s="1766">
        <f>OFFSET(BA45,0,-2)+1</f>
        <v>4</v>
      </c>
      <c r="BB45" s="1529">
        <f>OFFSET(BB45,0,-1)</f>
        <v>4</v>
      </c>
      <c r="BC45" s="1766">
        <f>OFFSET(BC45,0,-1)+1</f>
        <v>5</v>
      </c>
      <c r="BD45" s="795"/>
      <c r="BE45" s="795"/>
      <c r="BF45" s="795"/>
      <c r="BG45" s="795"/>
      <c r="BH45" s="795"/>
      <c r="BI45" s="780">
        <v>0</v>
      </c>
    </row>
    <row customHeight="1" ht="22.049999999999997">
      <c r="A46" s="1647" t="s">
        <v>281</v>
      </c>
      <c r="B46" s="1647"/>
      <c r="C46" s="1647"/>
      <c r="D46" s="1647"/>
      <c r="E46" s="2542">
        <v>1</v>
      </c>
      <c r="F46" s="1647"/>
      <c r="G46" s="1647"/>
      <c r="H46" s="1647"/>
      <c r="I46" s="1647"/>
      <c r="J46" s="1647"/>
      <c r="K46" s="1647"/>
      <c r="L46" s="1648"/>
      <c r="M46" s="1649"/>
      <c r="N46" s="1649"/>
      <c r="O46" s="1649"/>
      <c r="P46" s="1693"/>
      <c r="Q46" s="1157"/>
      <c r="R46" s="639"/>
      <c r="S46" s="1777">
        <f>INDEX(PT_DIFFERENTIATION_NUM_NTAR,MATCH(A46,PT_DIFFERENTIATION_NTAR_ID,0))</f>
        <v>0</v>
      </c>
      <c r="T46" s="582" t="s">
        <v>124</v>
      </c>
      <c r="U46" s="584"/>
      <c r="V46" s="2527"/>
      <c r="W46" s="2527"/>
      <c r="X46" s="2527"/>
      <c r="Y46" s="2527"/>
      <c r="Z46" s="2527"/>
      <c r="AA46" s="2527"/>
      <c r="AB46" s="2527"/>
      <c r="AC46" s="2528"/>
      <c r="AD46" s="2526" t="str">
        <f>INDEX(PT_DIFFERENTIATION_NTAR,MATCH(A46,PT_DIFFERENTIATION_NTAR_ID,0))</f>
        <v/>
      </c>
      <c r="AE46" s="2527"/>
      <c r="AF46" s="2527"/>
      <c r="AG46" s="2527"/>
      <c r="AH46" s="2527"/>
      <c r="AI46" s="2527"/>
      <c r="AJ46" s="2527"/>
      <c r="AK46" s="2527"/>
      <c r="AL46" s="2527"/>
      <c r="AM46" s="2527"/>
      <c r="AN46" s="2527"/>
      <c r="AO46" s="2527"/>
      <c r="AP46" s="2527"/>
      <c r="AQ46" s="2527"/>
      <c r="AR46" s="2527"/>
      <c r="AS46" s="2527"/>
      <c r="AT46" s="2527"/>
      <c r="AU46" s="2527"/>
      <c r="AV46" s="2527"/>
      <c r="AW46" s="2527"/>
      <c r="AX46" s="2527"/>
      <c r="AY46" s="2527"/>
      <c r="AZ46" s="2527"/>
      <c r="BA46" s="2527"/>
      <c r="BB46" s="2528"/>
      <c r="BC46" s="154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784"/>
      <c r="BF46" s="784" t="str">
        <f>IF(T46="","",T46)</f>
        <v>Наименование тарифа</v>
      </c>
      <c r="BG46" s="784"/>
      <c r="BH46" s="784"/>
      <c r="BI46" s="1439">
        <v>21</v>
      </c>
    </row>
    <row customHeight="1" ht="22.049999999999997">
      <c r="A47" s="1647" t="s">
        <v>281</v>
      </c>
      <c r="B47" s="1647" t="s">
        <v>282</v>
      </c>
      <c r="C47" s="1647"/>
      <c r="D47" s="1647"/>
      <c r="E47" s="2543"/>
      <c r="F47" s="2542">
        <v>1</v>
      </c>
      <c r="G47" s="1647"/>
      <c r="H47" s="1647"/>
      <c r="I47" s="1647"/>
      <c r="J47" s="1647"/>
      <c r="K47" s="1647"/>
      <c r="L47" s="1648"/>
      <c r="M47" s="1649"/>
      <c r="N47" s="1649"/>
      <c r="O47" s="1649"/>
      <c r="P47" s="1694"/>
      <c r="Q47" s="1695"/>
      <c r="R47" s="637"/>
      <c r="S47" s="1777" t="str">
        <f>INDEX(PT_DIFFERENTIATION_NUM_TER,MATCH(B47,PT_DIFFERENTIATION_TER_ID,0))</f>
        <v>.</v>
      </c>
      <c r="T47" s="592" t="s">
        <v>402</v>
      </c>
      <c r="U47" s="584"/>
      <c r="V47" s="2527"/>
      <c r="W47" s="2527"/>
      <c r="X47" s="2527"/>
      <c r="Y47" s="2527"/>
      <c r="Z47" s="2527"/>
      <c r="AA47" s="2527"/>
      <c r="AB47" s="2527"/>
      <c r="AC47" s="2528"/>
      <c r="AD47" s="2526" t="str">
        <f>INDEX(PT_DIFFERENTIATION_TER,MATCH(B47,PT_DIFFERENTIATION_TER_ID,0))</f>
        <v/>
      </c>
      <c r="AE47" s="2527"/>
      <c r="AF47" s="2527"/>
      <c r="AG47" s="2527"/>
      <c r="AH47" s="2527"/>
      <c r="AI47" s="2527"/>
      <c r="AJ47" s="2527"/>
      <c r="AK47" s="2527"/>
      <c r="AL47" s="2527"/>
      <c r="AM47" s="2527"/>
      <c r="AN47" s="2527"/>
      <c r="AO47" s="2527"/>
      <c r="AP47" s="2527"/>
      <c r="AQ47" s="2527"/>
      <c r="AR47" s="2527"/>
      <c r="AS47" s="2527"/>
      <c r="AT47" s="2527"/>
      <c r="AU47" s="2527"/>
      <c r="AV47" s="2527"/>
      <c r="AW47" s="2527"/>
      <c r="AX47" s="2527"/>
      <c r="AY47" s="2527"/>
      <c r="AZ47" s="2527"/>
      <c r="BA47" s="2527"/>
      <c r="BB47" s="2528"/>
      <c r="BC47" s="1542" t="s">
        <v>403</v>
      </c>
      <c r="BE47" s="784"/>
      <c r="BF47" s="784" t="str">
        <f>IF(T47="","",T47)</f>
        <v>Территория действия тарифа</v>
      </c>
      <c r="BG47" s="784"/>
      <c r="BH47" s="784"/>
      <c r="BI47" s="1439">
        <v>21</v>
      </c>
    </row>
    <row customHeight="1" ht="35.699999999999996">
      <c r="A48" s="1647" t="s">
        <v>281</v>
      </c>
      <c r="B48" s="1647" t="s">
        <v>282</v>
      </c>
      <c r="C48" s="1647" t="s">
        <v>283</v>
      </c>
      <c r="D48" s="1647"/>
      <c r="E48" s="2543"/>
      <c r="F48" s="2543"/>
      <c r="G48" s="2542">
        <v>1</v>
      </c>
      <c r="H48" s="1647"/>
      <c r="I48" s="1647"/>
      <c r="J48" s="1647"/>
      <c r="K48" s="1647"/>
      <c r="L48" s="1648"/>
      <c r="M48" s="1649"/>
      <c r="N48" s="1649"/>
      <c r="O48" s="1649"/>
      <c r="P48" s="1696"/>
      <c r="Q48" s="1695"/>
      <c r="R48" s="637"/>
      <c r="S48" s="1777" t="str">
        <f>INDEX(PT_DIFFERENTIATION_NUM_CS,MATCH(C48,PT_DIFFERENTIATION_CS_ID,0))</f>
        <v>..</v>
      </c>
      <c r="T48" s="593" t="s">
        <v>524</v>
      </c>
      <c r="U48" s="584"/>
      <c r="V48" s="2527"/>
      <c r="W48" s="2527"/>
      <c r="X48" s="2527"/>
      <c r="Y48" s="2527"/>
      <c r="Z48" s="2527"/>
      <c r="AA48" s="2527"/>
      <c r="AB48" s="2527"/>
      <c r="AC48" s="2528"/>
      <c r="AD48" s="2526" t="str">
        <f>INDEX(PT_DIFFERENTIATION_CS,MATCH(C48,PT_DIFFERENTIATION_CS_ID,0))</f>
        <v/>
      </c>
      <c r="AE48" s="2527"/>
      <c r="AF48" s="2527"/>
      <c r="AG48" s="2527"/>
      <c r="AH48" s="2527"/>
      <c r="AI48" s="2527"/>
      <c r="AJ48" s="2527"/>
      <c r="AK48" s="2527"/>
      <c r="AL48" s="2527"/>
      <c r="AM48" s="2527"/>
      <c r="AN48" s="2527"/>
      <c r="AO48" s="2527"/>
      <c r="AP48" s="2527"/>
      <c r="AQ48" s="2527"/>
      <c r="AR48" s="2527"/>
      <c r="AS48" s="2527"/>
      <c r="AT48" s="2527"/>
      <c r="AU48" s="2527"/>
      <c r="AV48" s="2527"/>
      <c r="AW48" s="2527"/>
      <c r="AX48" s="2527"/>
      <c r="AY48" s="2527"/>
      <c r="AZ48" s="2527"/>
      <c r="BA48" s="2527"/>
      <c r="BB48" s="2528"/>
      <c r="BC48" s="1542" t="s">
        <v>525</v>
      </c>
      <c r="BE48" s="784"/>
      <c r="BF48" s="784" t="str">
        <f>IF(T48="","",T48)</f>
        <v>Наименование централизованной системы водоотведения</v>
      </c>
      <c r="BG48" s="784"/>
      <c r="BH48" s="784"/>
      <c r="BI48" s="1439">
        <v>34</v>
      </c>
    </row>
    <row s="14158" customFormat="1" customHeight="1" ht="0">
      <c r="A49" s="1627" t="s">
        <v>281</v>
      </c>
      <c r="B49" s="1627" t="s">
        <v>282</v>
      </c>
      <c r="C49" s="1627" t="s">
        <v>283</v>
      </c>
      <c r="D49" s="1627" t="s">
        <v>537</v>
      </c>
      <c r="E49" s="2543"/>
      <c r="F49" s="2543"/>
      <c r="G49" s="2543"/>
      <c r="H49" s="2542">
        <v>1</v>
      </c>
      <c r="I49" s="1627"/>
      <c r="J49" s="1627"/>
      <c r="K49" s="1627"/>
      <c r="L49" s="1630"/>
      <c r="M49" s="1599"/>
      <c r="N49" s="1599"/>
      <c r="O49" s="1599"/>
      <c r="P49" s="1781"/>
      <c r="Q49" s="1782"/>
      <c r="R49" s="641"/>
      <c r="S49" s="1326"/>
      <c r="T49" s="1783"/>
      <c r="U49" s="1668"/>
      <c r="V49" s="2581"/>
      <c r="W49" s="2581"/>
      <c r="X49" s="2581"/>
      <c r="Y49" s="2581"/>
      <c r="Z49" s="2581"/>
      <c r="AA49" s="2581"/>
      <c r="AB49" s="2581"/>
      <c r="AC49" s="2582"/>
      <c r="AD49" s="2580"/>
      <c r="AE49" s="2581"/>
      <c r="AF49" s="2581"/>
      <c r="AG49" s="2581"/>
      <c r="AH49" s="2581"/>
      <c r="AI49" s="2581"/>
      <c r="AJ49" s="2581"/>
      <c r="AK49" s="2581"/>
      <c r="AL49" s="2581"/>
      <c r="AM49" s="2581"/>
      <c r="AN49" s="2581"/>
      <c r="AO49" s="2581"/>
      <c r="AP49" s="2581"/>
      <c r="AQ49" s="2581"/>
      <c r="AR49" s="2581"/>
      <c r="AS49" s="2581"/>
      <c r="AT49" s="2581"/>
      <c r="AU49" s="2581"/>
      <c r="AV49" s="2581"/>
      <c r="AW49" s="2581"/>
      <c r="AX49" s="2581"/>
      <c r="AY49" s="2581"/>
      <c r="AZ49" s="2581"/>
      <c r="BA49" s="2581"/>
      <c r="BB49" s="2582"/>
      <c r="BC49" s="1669" t="s">
        <v>407</v>
      </c>
      <c r="BE49" s="784"/>
      <c r="BF49" s="784" t="str">
        <f>IF(T49="","",T49)</f>
        <v/>
      </c>
      <c r="BG49" s="784"/>
      <c r="BH49" s="784"/>
      <c r="BI49" s="795">
        <v>0</v>
      </c>
    </row>
    <row s="14158" customFormat="1" customHeight="1" ht="0">
      <c r="A50" s="1627" t="s">
        <v>281</v>
      </c>
      <c r="B50" s="1627" t="s">
        <v>282</v>
      </c>
      <c r="C50" s="1627" t="s">
        <v>283</v>
      </c>
      <c r="D50" s="1627" t="s">
        <v>537</v>
      </c>
      <c r="E50" s="2543"/>
      <c r="F50" s="2543"/>
      <c r="G50" s="2543"/>
      <c r="H50" s="2543"/>
      <c r="I50" s="2540" t="str">
        <f>S49&amp;".1"</f>
        <v>.1</v>
      </c>
      <c r="J50" s="1627"/>
      <c r="K50" s="1627"/>
      <c r="L50" s="1630" t="s">
        <v>408</v>
      </c>
      <c r="M50" s="794"/>
      <c r="N50" s="794"/>
      <c r="O50" s="794"/>
      <c r="P50" s="2541">
        <v>1</v>
      </c>
      <c r="Q50" s="1765"/>
      <c r="R50" s="640"/>
      <c r="S50" s="1326"/>
      <c r="T50" s="1667"/>
      <c r="U50" s="1668"/>
      <c r="V50" s="2581"/>
      <c r="W50" s="2581"/>
      <c r="X50" s="2581"/>
      <c r="Y50" s="2581"/>
      <c r="Z50" s="2581"/>
      <c r="AA50" s="2581"/>
      <c r="AB50" s="2581"/>
      <c r="AC50" s="2582"/>
      <c r="AD50" s="2580"/>
      <c r="AE50" s="2581"/>
      <c r="AF50" s="2581"/>
      <c r="AG50" s="2581"/>
      <c r="AH50" s="2581"/>
      <c r="AI50" s="2581"/>
      <c r="AJ50" s="2581"/>
      <c r="AK50" s="2581"/>
      <c r="AL50" s="2581"/>
      <c r="AM50" s="2581"/>
      <c r="AN50" s="2581"/>
      <c r="AO50" s="2581"/>
      <c r="AP50" s="2581"/>
      <c r="AQ50" s="2581"/>
      <c r="AR50" s="2581"/>
      <c r="AS50" s="2581"/>
      <c r="AT50" s="2581"/>
      <c r="AU50" s="2581"/>
      <c r="AV50" s="2581"/>
      <c r="AW50" s="2581"/>
      <c r="AX50" s="2581"/>
      <c r="AY50" s="2581"/>
      <c r="AZ50" s="2581"/>
      <c r="BA50" s="2581"/>
      <c r="BB50" s="2582"/>
      <c r="BC50" s="1669"/>
      <c r="BE50" s="784"/>
      <c r="BF50" s="784" t="str">
        <f>IF(T50="","",T50)</f>
        <v/>
      </c>
      <c r="BG50" s="784"/>
      <c r="BH50" s="784"/>
      <c r="BI50" s="795">
        <v>0</v>
      </c>
    </row>
    <row s="14158" customFormat="1" customHeight="1" ht="0">
      <c r="A51" s="1627" t="s">
        <v>281</v>
      </c>
      <c r="B51" s="1627" t="s">
        <v>282</v>
      </c>
      <c r="C51" s="1627" t="s">
        <v>283</v>
      </c>
      <c r="D51" s="1627" t="s">
        <v>537</v>
      </c>
      <c r="E51" s="2543"/>
      <c r="F51" s="2543"/>
      <c r="G51" s="2543"/>
      <c r="H51" s="2543"/>
      <c r="I51" s="2570"/>
      <c r="J51" s="2540" t="str">
        <f>S49&amp;".1"</f>
        <v>.1</v>
      </c>
      <c r="K51" s="1627"/>
      <c r="L51" s="1630"/>
      <c r="M51" s="794"/>
      <c r="N51" s="794"/>
      <c r="O51" s="794"/>
      <c r="P51" s="2541"/>
      <c r="Q51" s="2541">
        <v>1</v>
      </c>
      <c r="R51" s="641"/>
      <c r="S51" s="1326"/>
      <c r="T51" s="1683"/>
      <c r="U51" s="1668"/>
      <c r="V51" s="2581"/>
      <c r="W51" s="2581"/>
      <c r="X51" s="2581"/>
      <c r="Y51" s="2581"/>
      <c r="Z51" s="2581"/>
      <c r="AA51" s="2581"/>
      <c r="AB51" s="2581"/>
      <c r="AC51" s="2582"/>
      <c r="AD51" s="2580"/>
      <c r="AE51" s="2581"/>
      <c r="AF51" s="2581"/>
      <c r="AG51" s="2581"/>
      <c r="AH51" s="2581"/>
      <c r="AI51" s="2581"/>
      <c r="AJ51" s="2581"/>
      <c r="AK51" s="2581"/>
      <c r="AL51" s="2581"/>
      <c r="AM51" s="2581"/>
      <c r="AN51" s="2648"/>
      <c r="AO51" s="2648"/>
      <c r="AP51" s="2581"/>
      <c r="AQ51" s="2581"/>
      <c r="AR51" s="2581"/>
      <c r="AS51" s="2581"/>
      <c r="AT51" s="2581"/>
      <c r="AU51" s="2581"/>
      <c r="AV51" s="2581"/>
      <c r="AW51" s="2581"/>
      <c r="AX51" s="2581"/>
      <c r="AY51" s="2581"/>
      <c r="AZ51" s="2581"/>
      <c r="BA51" s="2581"/>
      <c r="BB51" s="2582"/>
      <c r="BC51" s="1669"/>
      <c r="BE51" s="784"/>
      <c r="BF51" s="784" t="str">
        <f>IF(T51="","",T51)</f>
        <v/>
      </c>
      <c r="BG51" s="784"/>
      <c r="BH51" s="784"/>
      <c r="BI51" s="795">
        <v>0</v>
      </c>
    </row>
    <row customHeight="1" ht="11.549999999999999">
      <c r="A52" s="1647" t="s">
        <v>281</v>
      </c>
      <c r="B52" s="1647" t="s">
        <v>282</v>
      </c>
      <c r="C52" s="1647" t="s">
        <v>283</v>
      </c>
      <c r="D52" s="1647" t="s">
        <v>537</v>
      </c>
      <c r="E52" s="2543"/>
      <c r="F52" s="2543"/>
      <c r="G52" s="2543"/>
      <c r="H52" s="2543"/>
      <c r="I52" s="2570"/>
      <c r="J52" s="2570"/>
      <c r="K52" s="2540" t="str">
        <f>S48&amp;".1"</f>
        <v>...1</v>
      </c>
      <c r="L52" s="1648"/>
      <c r="P52" s="2541"/>
      <c r="Q52" s="2541"/>
      <c r="R52" s="641">
        <v>1</v>
      </c>
      <c r="S52" s="2625" t="str">
        <f>$K52</f>
        <v>...1</v>
      </c>
      <c r="T52" s="2644"/>
      <c r="U52" s="584"/>
      <c r="V52" s="1035"/>
      <c r="W52" s="1541"/>
      <c r="X52" s="1035"/>
      <c r="Y52" s="1541"/>
      <c r="Z52" s="2018"/>
      <c r="AA52" s="1753" t="s">
        <v>67</v>
      </c>
      <c r="AB52" s="2018"/>
      <c r="AC52" s="1753" t="s">
        <v>67</v>
      </c>
      <c r="AD52" s="2469" t="s">
        <v>67</v>
      </c>
      <c r="AE52" s="2610"/>
      <c r="AF52" s="2489">
        <v>1</v>
      </c>
      <c r="AG52" s="2647"/>
      <c r="AH52" s="2391" t="s">
        <v>67</v>
      </c>
      <c r="AI52" s="2610"/>
      <c r="AJ52" s="2489">
        <v>1</v>
      </c>
      <c r="AK52" s="2611" t="s">
        <v>28</v>
      </c>
      <c r="AL52" s="2391" t="s">
        <v>67</v>
      </c>
      <c r="AM52" s="2476"/>
      <c r="AN52" s="2489">
        <v>1</v>
      </c>
      <c r="AO52" s="2641"/>
      <c r="AP52" s="2642" t="s">
        <v>67</v>
      </c>
      <c r="AQ52" s="595"/>
      <c r="AR52" s="1770">
        <v>1</v>
      </c>
      <c r="AS52" s="1776" t="s">
        <v>28</v>
      </c>
      <c r="AT52" s="1035"/>
      <c r="AU52" s="1541"/>
      <c r="AV52" s="1035"/>
      <c r="AW52" s="1541"/>
      <c r="AX52" s="2018"/>
      <c r="AY52" s="1753" t="s">
        <v>67</v>
      </c>
      <c r="AZ52" s="2018"/>
      <c r="BA52" s="1753" t="s">
        <v>67</v>
      </c>
      <c r="BB52" s="1632"/>
      <c r="BC52" s="2537" t="s">
        <v>509</v>
      </c>
      <c r="BE52" s="784"/>
      <c r="BF52" s="784" t="str">
        <f>IF(T52="","",T52)</f>
        <v/>
      </c>
      <c r="BG52" s="784"/>
      <c r="BH52" s="784"/>
      <c r="BI52" s="1439">
        <v>11</v>
      </c>
    </row>
    <row customHeight="1" ht="11.549999999999999">
      <c r="A53" s="1647"/>
      <c r="B53" s="1647"/>
      <c r="C53" s="1647"/>
      <c r="D53" s="1647"/>
      <c r="E53" s="2543"/>
      <c r="F53" s="2543"/>
      <c r="G53" s="2543"/>
      <c r="H53" s="2543"/>
      <c r="I53" s="2570"/>
      <c r="J53" s="2570"/>
      <c r="K53" s="2540"/>
      <c r="L53" s="1648"/>
      <c r="P53" s="2541"/>
      <c r="Q53" s="2541"/>
      <c r="R53" s="641"/>
      <c r="S53" s="2626"/>
      <c r="T53" s="2645"/>
      <c r="U53" s="584"/>
      <c r="V53" s="1677"/>
      <c r="W53" s="1780"/>
      <c r="X53" s="1677"/>
      <c r="Y53" s="1780"/>
      <c r="Z53" s="1677"/>
      <c r="AA53" s="1677"/>
      <c r="AB53" s="1677"/>
      <c r="AC53" s="1677"/>
      <c r="AD53" s="2470"/>
      <c r="AE53" s="2610"/>
      <c r="AF53" s="2489"/>
      <c r="AG53" s="2647"/>
      <c r="AH53" s="2391"/>
      <c r="AI53" s="2610"/>
      <c r="AJ53" s="2489"/>
      <c r="AK53" s="2611"/>
      <c r="AL53" s="2391"/>
      <c r="AM53" s="2484"/>
      <c r="AN53" s="2489"/>
      <c r="AO53" s="2641"/>
      <c r="AP53" s="2643"/>
      <c r="AQ53" s="600"/>
      <c r="AR53" s="700"/>
      <c r="AS53" s="700" t="s">
        <v>510</v>
      </c>
      <c r="AT53" s="1677"/>
      <c r="AU53" s="1780"/>
      <c r="AV53" s="1677"/>
      <c r="AW53" s="1780"/>
      <c r="AX53" s="1677"/>
      <c r="AY53" s="1677"/>
      <c r="AZ53" s="1677"/>
      <c r="BA53" s="1677"/>
      <c r="BB53" s="1681"/>
      <c r="BC53" s="2538"/>
      <c r="BE53" s="784"/>
      <c r="BF53" s="784"/>
      <c r="BG53" s="784"/>
      <c r="BH53" s="784"/>
      <c r="BI53" s="1439">
        <v>11</v>
      </c>
    </row>
    <row customHeight="1" ht="11.549999999999999">
      <c r="A54" s="1647" t="s">
        <v>281</v>
      </c>
      <c r="B54" s="1647"/>
      <c r="C54" s="1647"/>
      <c r="D54" s="1647"/>
      <c r="E54" s="2543"/>
      <c r="F54" s="2543"/>
      <c r="G54" s="2543"/>
      <c r="H54" s="2543"/>
      <c r="I54" s="2570"/>
      <c r="J54" s="2570"/>
      <c r="K54" s="2540"/>
      <c r="L54" s="1648"/>
      <c r="P54" s="2541"/>
      <c r="Q54" s="2541"/>
      <c r="R54" s="641"/>
      <c r="S54" s="2626"/>
      <c r="T54" s="2645"/>
      <c r="U54" s="584"/>
      <c r="V54" s="1677"/>
      <c r="W54" s="1780"/>
      <c r="X54" s="1677"/>
      <c r="Y54" s="1780"/>
      <c r="Z54" s="1677"/>
      <c r="AA54" s="1677"/>
      <c r="AB54" s="1677"/>
      <c r="AC54" s="1677"/>
      <c r="AD54" s="2470"/>
      <c r="AE54" s="2610"/>
      <c r="AF54" s="2489"/>
      <c r="AG54" s="2647"/>
      <c r="AH54" s="2391"/>
      <c r="AI54" s="2610"/>
      <c r="AJ54" s="2489"/>
      <c r="AK54" s="2611"/>
      <c r="AL54" s="2391"/>
      <c r="AM54" s="600"/>
      <c r="AN54" s="1784"/>
      <c r="AO54" s="1784" t="s">
        <v>530</v>
      </c>
      <c r="AP54" s="700"/>
      <c r="AQ54" s="700"/>
      <c r="AR54" s="700"/>
      <c r="AS54" s="1677"/>
      <c r="AT54" s="1677"/>
      <c r="AU54" s="1780"/>
      <c r="AV54" s="1677"/>
      <c r="AW54" s="1780"/>
      <c r="AX54" s="1677"/>
      <c r="AY54" s="1677"/>
      <c r="AZ54" s="1677"/>
      <c r="BA54" s="1677"/>
      <c r="BB54" s="1681"/>
      <c r="BC54" s="2538"/>
      <c r="BE54" s="784"/>
      <c r="BF54" s="784"/>
      <c r="BG54" s="784"/>
      <c r="BH54" s="784"/>
      <c r="BI54" s="1439">
        <v>11</v>
      </c>
    </row>
    <row customHeight="1" ht="11.549999999999999">
      <c r="A55" s="1647" t="s">
        <v>281</v>
      </c>
      <c r="B55" s="1647"/>
      <c r="C55" s="1647"/>
      <c r="D55" s="1647"/>
      <c r="E55" s="2543"/>
      <c r="F55" s="2543"/>
      <c r="G55" s="2543"/>
      <c r="H55" s="2543"/>
      <c r="I55" s="2570"/>
      <c r="J55" s="2570"/>
      <c r="K55" s="2540"/>
      <c r="L55" s="1648"/>
      <c r="P55" s="2541"/>
      <c r="Q55" s="2541"/>
      <c r="R55" s="641"/>
      <c r="S55" s="2626"/>
      <c r="T55" s="2645"/>
      <c r="U55" s="584"/>
      <c r="V55" s="1677"/>
      <c r="W55" s="1780"/>
      <c r="X55" s="1677"/>
      <c r="Y55" s="1780"/>
      <c r="Z55" s="1677"/>
      <c r="AA55" s="1677"/>
      <c r="AB55" s="1677"/>
      <c r="AC55" s="1677"/>
      <c r="AD55" s="2470"/>
      <c r="AE55" s="2610"/>
      <c r="AF55" s="2489"/>
      <c r="AG55" s="2647"/>
      <c r="AH55" s="2391"/>
      <c r="AI55" s="578"/>
      <c r="AJ55" s="699"/>
      <c r="AK55" s="597" t="s">
        <v>531</v>
      </c>
      <c r="AL55" s="1677"/>
      <c r="AM55" s="1677"/>
      <c r="AN55" s="1677"/>
      <c r="AO55" s="1677"/>
      <c r="AP55" s="1677"/>
      <c r="AQ55" s="1677"/>
      <c r="AR55" s="1677"/>
      <c r="AS55" s="1677"/>
      <c r="AT55" s="1677"/>
      <c r="AU55" s="1780"/>
      <c r="AV55" s="1677"/>
      <c r="AW55" s="1780"/>
      <c r="AX55" s="1677"/>
      <c r="AY55" s="1677"/>
      <c r="AZ55" s="1677"/>
      <c r="BA55" s="1677"/>
      <c r="BB55" s="1681"/>
      <c r="BC55" s="2538"/>
      <c r="BE55" s="784"/>
      <c r="BF55" s="784"/>
      <c r="BG55" s="784"/>
      <c r="BH55" s="784"/>
      <c r="BI55" s="1439">
        <v>11</v>
      </c>
    </row>
    <row customHeight="1" ht="11.549999999999999">
      <c r="A56" s="1647" t="s">
        <v>281</v>
      </c>
      <c r="B56" s="1647" t="s">
        <v>282</v>
      </c>
      <c r="C56" s="1647" t="s">
        <v>283</v>
      </c>
      <c r="D56" s="1647" t="s">
        <v>537</v>
      </c>
      <c r="E56" s="2543"/>
      <c r="F56" s="2543"/>
      <c r="G56" s="2543"/>
      <c r="H56" s="2543"/>
      <c r="I56" s="2570"/>
      <c r="J56" s="2570"/>
      <c r="K56" s="2540"/>
      <c r="L56" s="1648"/>
      <c r="P56" s="2541"/>
      <c r="Q56" s="2541"/>
      <c r="R56" s="641"/>
      <c r="S56" s="2627"/>
      <c r="T56" s="2646"/>
      <c r="U56" s="584"/>
      <c r="V56" s="1677"/>
      <c r="W56" s="1678" t="str">
        <f>Z52&amp;"-"&amp;AB52</f>
        <v>-</v>
      </c>
      <c r="X56" s="1677"/>
      <c r="Y56" s="1678" t="str">
        <f>AB52&amp;"-"&amp;AD52</f>
        <v>-да</v>
      </c>
      <c r="Z56" s="1677"/>
      <c r="AA56" s="1677"/>
      <c r="AB56" s="1677"/>
      <c r="AC56" s="1677"/>
      <c r="AD56" s="2396"/>
      <c r="AE56" s="596"/>
      <c r="AF56" s="598"/>
      <c r="AG56" s="700" t="s">
        <v>513</v>
      </c>
      <c r="AH56" s="1677"/>
      <c r="AI56" s="1677"/>
      <c r="AJ56" s="1677"/>
      <c r="AK56" s="1677"/>
      <c r="AL56" s="1677"/>
      <c r="AM56" s="1677"/>
      <c r="AN56" s="1677"/>
      <c r="AO56" s="1677"/>
      <c r="AP56" s="1677"/>
      <c r="AQ56" s="1677"/>
      <c r="AR56" s="1677"/>
      <c r="AS56" s="1677"/>
      <c r="AT56" s="1677"/>
      <c r="AU56" s="1678" t="str">
        <f>AX52&amp;"-"&amp;AZ52</f>
        <v>-</v>
      </c>
      <c r="AV56" s="1677"/>
      <c r="AW56" s="1678" t="str">
        <f>AZ52&amp;"-"&amp;BB52</f>
        <v>-</v>
      </c>
      <c r="AX56" s="1677"/>
      <c r="AY56" s="1677"/>
      <c r="AZ56" s="1677"/>
      <c r="BA56" s="1677"/>
      <c r="BB56" s="1680" t="str">
        <f>BE52&amp;"-"&amp;BG52</f>
        <v>-</v>
      </c>
      <c r="BC56" s="2538"/>
      <c r="BE56" s="784"/>
      <c r="BF56" s="784" t="str">
        <f>IF(T56="","",T56)</f>
        <v/>
      </c>
      <c r="BG56" s="784"/>
      <c r="BH56" s="784"/>
      <c r="BI56" s="1439">
        <v>11</v>
      </c>
    </row>
    <row customHeight="1" ht="11.549999999999999">
      <c r="A57" s="1647" t="s">
        <v>281</v>
      </c>
      <c r="B57" s="1647" t="s">
        <v>282</v>
      </c>
      <c r="C57" s="1647" t="s">
        <v>283</v>
      </c>
      <c r="D57" s="1647" t="s">
        <v>537</v>
      </c>
      <c r="E57" s="2543"/>
      <c r="F57" s="2543"/>
      <c r="G57" s="2543"/>
      <c r="H57" s="2543"/>
      <c r="I57" s="2570"/>
      <c r="J57" s="2540"/>
      <c r="K57" s="1647"/>
      <c r="L57" s="1648"/>
      <c r="P57" s="2541"/>
      <c r="Q57" s="2541"/>
      <c r="R57" s="640"/>
      <c r="S57" s="1562"/>
      <c r="T57" s="571" t="s">
        <v>476</v>
      </c>
      <c r="U57" s="651"/>
      <c r="V57" s="651"/>
      <c r="W57" s="651"/>
      <c r="X57" s="651"/>
      <c r="Y57" s="651"/>
      <c r="Z57" s="651"/>
      <c r="AA57" s="651"/>
      <c r="AB57" s="651"/>
      <c r="AC57" s="608"/>
      <c r="AD57" s="1789"/>
      <c r="AE57" s="651"/>
      <c r="AF57" s="651"/>
      <c r="AG57" s="651"/>
      <c r="AH57" s="651"/>
      <c r="AI57" s="651"/>
      <c r="AJ57" s="651"/>
      <c r="AK57" s="651"/>
      <c r="AL57" s="651"/>
      <c r="AM57" s="651"/>
      <c r="AN57" s="651"/>
      <c r="AO57" s="651"/>
      <c r="AP57" s="651"/>
      <c r="AQ57" s="651"/>
      <c r="AR57" s="651"/>
      <c r="AS57" s="651"/>
      <c r="AT57" s="651"/>
      <c r="AU57" s="651"/>
      <c r="AV57" s="651"/>
      <c r="AW57" s="651"/>
      <c r="AX57" s="651"/>
      <c r="AY57" s="651"/>
      <c r="AZ57" s="651"/>
      <c r="BA57" s="651"/>
      <c r="BB57" s="608"/>
      <c r="BC57" s="2539"/>
      <c r="BE57" s="784"/>
      <c r="BF57" s="784" t="str">
        <f>IF(T57="","",T57)</f>
        <v>Добавить строку</v>
      </c>
      <c r="BG57" s="784"/>
      <c r="BH57" s="784"/>
      <c r="BI57" s="1439">
        <v>11</v>
      </c>
    </row>
    <row s="14158" customFormat="1" customHeight="1" ht="0">
      <c r="A58" s="1627" t="s">
        <v>281</v>
      </c>
      <c r="B58" s="1627" t="s">
        <v>282</v>
      </c>
      <c r="C58" s="1627" t="s">
        <v>283</v>
      </c>
      <c r="D58" s="1627" t="s">
        <v>537</v>
      </c>
      <c r="E58" s="2543"/>
      <c r="F58" s="2543"/>
      <c r="G58" s="2543"/>
      <c r="H58" s="2543"/>
      <c r="I58" s="2540"/>
      <c r="J58" s="1627"/>
      <c r="K58" s="1627"/>
      <c r="L58" s="1630"/>
      <c r="M58" s="794"/>
      <c r="N58" s="794"/>
      <c r="O58" s="794"/>
      <c r="P58" s="2541"/>
      <c r="Q58" s="1765"/>
      <c r="R58" s="640"/>
      <c r="S58" s="1670"/>
      <c r="T58" s="1671"/>
      <c r="U58" s="1672"/>
      <c r="V58" s="1672"/>
      <c r="W58" s="1672"/>
      <c r="X58" s="1672"/>
      <c r="Y58" s="1672"/>
      <c r="Z58" s="1672"/>
      <c r="AA58" s="1672"/>
      <c r="AB58" s="1672"/>
      <c r="AC58" s="1672"/>
      <c r="AD58" s="1672"/>
      <c r="AE58" s="1672"/>
      <c r="AF58" s="1672"/>
      <c r="AG58" s="1672"/>
      <c r="AH58" s="1672"/>
      <c r="AI58" s="1672"/>
      <c r="AJ58" s="1672"/>
      <c r="AK58" s="1672"/>
      <c r="AL58" s="1672"/>
      <c r="AM58" s="1672"/>
      <c r="AN58" s="1672"/>
      <c r="AO58" s="1672"/>
      <c r="AP58" s="1672"/>
      <c r="AQ58" s="1672"/>
      <c r="AR58" s="1672"/>
      <c r="AS58" s="1672"/>
      <c r="AT58" s="1672"/>
      <c r="AU58" s="1672"/>
      <c r="AV58" s="1672"/>
      <c r="AW58" s="1672"/>
      <c r="AX58" s="1672"/>
      <c r="AY58" s="1672"/>
      <c r="AZ58" s="1672"/>
      <c r="BA58" s="1672"/>
      <c r="BB58" s="1672"/>
      <c r="BC58" s="1673"/>
      <c r="BE58" s="784"/>
      <c r="BF58" s="784" t="str">
        <f>IF(T58="","",T58)</f>
        <v/>
      </c>
      <c r="BG58" s="784"/>
      <c r="BH58" s="784"/>
      <c r="BI58" s="795">
        <v>0</v>
      </c>
    </row>
    <row s="14158" customFormat="1" customHeight="1" ht="0">
      <c r="A59" s="1627" t="s">
        <v>281</v>
      </c>
      <c r="B59" s="1627" t="s">
        <v>282</v>
      </c>
      <c r="C59" s="1627" t="s">
        <v>283</v>
      </c>
      <c r="D59" s="1627" t="s">
        <v>537</v>
      </c>
      <c r="E59" s="2543"/>
      <c r="F59" s="2543"/>
      <c r="G59" s="2543"/>
      <c r="H59" s="2542"/>
      <c r="I59" s="1627"/>
      <c r="J59" s="1627"/>
      <c r="K59" s="1627"/>
      <c r="L59" s="1630"/>
      <c r="M59" s="1599"/>
      <c r="N59" s="1599"/>
      <c r="O59" s="802"/>
      <c r="P59" s="664"/>
      <c r="Q59" s="1628"/>
      <c r="R59" s="1685"/>
      <c r="S59" s="1670"/>
      <c r="T59" s="1671"/>
      <c r="U59" s="1672"/>
      <c r="V59" s="1672"/>
      <c r="W59" s="1672"/>
      <c r="X59" s="1672"/>
      <c r="Y59" s="1672"/>
      <c r="Z59" s="1672"/>
      <c r="AA59" s="1672"/>
      <c r="AB59" s="1672"/>
      <c r="AC59" s="1672"/>
      <c r="AD59" s="1672"/>
      <c r="AE59" s="1672"/>
      <c r="AF59" s="1672"/>
      <c r="AG59" s="1672"/>
      <c r="AH59" s="1672"/>
      <c r="AI59" s="1672"/>
      <c r="AJ59" s="1672"/>
      <c r="AK59" s="1672"/>
      <c r="AL59" s="1672"/>
      <c r="AM59" s="1672"/>
      <c r="AN59" s="1672"/>
      <c r="AO59" s="1672"/>
      <c r="AP59" s="1672"/>
      <c r="AQ59" s="1672"/>
      <c r="AR59" s="1672"/>
      <c r="AS59" s="1672"/>
      <c r="AT59" s="1672"/>
      <c r="AU59" s="1672"/>
      <c r="AV59" s="1672"/>
      <c r="AW59" s="1672"/>
      <c r="AX59" s="1672"/>
      <c r="AY59" s="1672"/>
      <c r="AZ59" s="1672"/>
      <c r="BA59" s="1672"/>
      <c r="BB59" s="1672"/>
      <c r="BC59" s="1673"/>
      <c r="BE59" s="784"/>
      <c r="BF59" s="784" t="str">
        <f>IF(T59="","",T59)</f>
        <v/>
      </c>
      <c r="BG59" s="784"/>
      <c r="BH59" s="784"/>
      <c r="BI59" s="795">
        <v>0</v>
      </c>
    </row>
    <row s="14158" customFormat="1" customHeight="1" ht="0">
      <c r="A60" s="1627" t="s">
        <v>281</v>
      </c>
      <c r="B60" s="1627" t="s">
        <v>282</v>
      </c>
      <c r="C60" s="1627" t="s">
        <v>283</v>
      </c>
      <c r="D60" s="1598"/>
      <c r="E60" s="2543"/>
      <c r="F60" s="2543"/>
      <c r="G60" s="2542"/>
      <c r="H60" s="1598"/>
      <c r="I60" s="1598"/>
      <c r="J60" s="1598"/>
      <c r="K60" s="1598"/>
      <c r="L60" s="1778"/>
      <c r="M60" s="1599"/>
      <c r="N60" s="1599"/>
      <c r="P60" s="1600"/>
      <c r="Q60" s="1601"/>
      <c r="R60" s="1600"/>
      <c r="S60" s="1606"/>
      <c r="T60" s="1609"/>
      <c r="U60" s="1608"/>
      <c r="V60" s="1608"/>
      <c r="W60" s="1608"/>
      <c r="X60" s="1608"/>
      <c r="Y60" s="1608"/>
      <c r="Z60" s="1608"/>
      <c r="AA60" s="1608"/>
      <c r="AB60" s="1608"/>
      <c r="AC60" s="1608"/>
      <c r="AD60" s="1608"/>
      <c r="AE60" s="1608"/>
      <c r="AF60" s="1608"/>
      <c r="AG60" s="1608"/>
      <c r="AH60" s="1608"/>
      <c r="AI60" s="1608"/>
      <c r="AJ60" s="1608"/>
      <c r="AK60" s="1608"/>
      <c r="AL60" s="1608"/>
      <c r="AM60" s="1608"/>
      <c r="AN60" s="1608"/>
      <c r="AO60" s="1608"/>
      <c r="AP60" s="1608"/>
      <c r="AQ60" s="1608"/>
      <c r="AR60" s="1608"/>
      <c r="AS60" s="1608"/>
      <c r="AT60" s="1608"/>
      <c r="AU60" s="1608"/>
      <c r="AV60" s="1608"/>
      <c r="AW60" s="1608"/>
      <c r="AX60" s="1608"/>
      <c r="AY60" s="1608"/>
      <c r="AZ60" s="1608"/>
      <c r="BA60" s="1608"/>
      <c r="BB60" s="1608"/>
      <c r="BC60" s="1608"/>
      <c r="BE60" s="1073"/>
      <c r="BF60" s="1073" t="str">
        <f>IF(T60="","",T60)</f>
        <v/>
      </c>
      <c r="BG60" s="1073"/>
      <c r="BH60" s="1073"/>
      <c r="BI60" s="802">
        <v>0</v>
      </c>
    </row>
    <row s="14158" customFormat="1" customHeight="1" ht="0">
      <c r="A61" s="1627" t="s">
        <v>281</v>
      </c>
      <c r="B61" s="1627" t="s">
        <v>282</v>
      </c>
      <c r="C61" s="1598"/>
      <c r="D61" s="1598"/>
      <c r="E61" s="2543"/>
      <c r="F61" s="2542"/>
      <c r="G61" s="1598"/>
      <c r="H61" s="1598"/>
      <c r="I61" s="1598"/>
      <c r="J61" s="1598"/>
      <c r="K61" s="1598"/>
      <c r="L61" s="1778"/>
      <c r="M61" s="1605"/>
      <c r="N61" s="1605"/>
      <c r="P61" s="1600"/>
      <c r="Q61" s="1601"/>
      <c r="R61" s="1600"/>
      <c r="S61" s="1606"/>
      <c r="T61" s="1609" t="s">
        <v>170</v>
      </c>
      <c r="U61" s="1608"/>
      <c r="V61" s="1608"/>
      <c r="W61" s="1608"/>
      <c r="X61" s="1608"/>
      <c r="Y61" s="1608"/>
      <c r="Z61" s="1608"/>
      <c r="AA61" s="1608"/>
      <c r="AB61" s="1608"/>
      <c r="AC61" s="1608"/>
      <c r="AD61" s="1608"/>
      <c r="AE61" s="1608"/>
      <c r="AF61" s="1608"/>
      <c r="AG61" s="1608"/>
      <c r="AH61" s="1608"/>
      <c r="AI61" s="1608"/>
      <c r="AJ61" s="1608"/>
      <c r="AK61" s="1608"/>
      <c r="AL61" s="1608"/>
      <c r="AM61" s="1608"/>
      <c r="AN61" s="1608"/>
      <c r="AO61" s="1608"/>
      <c r="AP61" s="1608"/>
      <c r="AQ61" s="1608"/>
      <c r="AR61" s="1608"/>
      <c r="AS61" s="1608"/>
      <c r="AT61" s="1608"/>
      <c r="AU61" s="1608"/>
      <c r="AV61" s="1608"/>
      <c r="AW61" s="1608"/>
      <c r="AX61" s="1608"/>
      <c r="AY61" s="1608"/>
      <c r="AZ61" s="1608"/>
      <c r="BA61" s="1608"/>
      <c r="BB61" s="1608"/>
      <c r="BC61" s="1608"/>
      <c r="BE61" s="1073"/>
      <c r="BF61" s="1073" t="str">
        <f>IF(T61="","",T61)</f>
        <v>Добавить централизованную систему для дифференциации</v>
      </c>
      <c r="BG61" s="1073"/>
      <c r="BH61" s="1073"/>
      <c r="BI61" s="802">
        <v>0</v>
      </c>
    </row>
    <row s="14158" customFormat="1" customHeight="1" ht="0">
      <c r="A62" s="1627" t="s">
        <v>281</v>
      </c>
      <c r="B62" s="1627"/>
      <c r="C62" s="1627"/>
      <c r="D62" s="1627"/>
      <c r="E62" s="2542"/>
      <c r="F62" s="1627"/>
      <c r="G62" s="1627"/>
      <c r="H62" s="1627"/>
      <c r="I62" s="1627"/>
      <c r="J62" s="1627"/>
      <c r="K62" s="1627"/>
      <c r="L62" s="1630"/>
      <c r="M62" s="1605"/>
      <c r="N62" s="1605"/>
      <c r="O62" s="802"/>
      <c r="P62" s="664"/>
      <c r="Q62" s="1628"/>
      <c r="R62" s="664"/>
      <c r="S62" s="1606"/>
      <c r="T62" s="1609" t="s">
        <v>171</v>
      </c>
      <c r="U62" s="1608"/>
      <c r="V62" s="1608"/>
      <c r="W62" s="1608"/>
      <c r="X62" s="1608"/>
      <c r="Y62" s="1608"/>
      <c r="Z62" s="1608"/>
      <c r="AA62" s="1608"/>
      <c r="AB62" s="1608"/>
      <c r="AC62" s="1608"/>
      <c r="AD62" s="1608"/>
      <c r="AE62" s="1608"/>
      <c r="AF62" s="1608"/>
      <c r="AG62" s="1608"/>
      <c r="AH62" s="1608"/>
      <c r="AI62" s="1608"/>
      <c r="AJ62" s="1608"/>
      <c r="AK62" s="1608"/>
      <c r="AL62" s="1608"/>
      <c r="AM62" s="1608"/>
      <c r="AN62" s="1608"/>
      <c r="AO62" s="1608"/>
      <c r="AP62" s="1608"/>
      <c r="AQ62" s="1608"/>
      <c r="AR62" s="1608"/>
      <c r="AS62" s="1608"/>
      <c r="AT62" s="1608"/>
      <c r="AU62" s="1608"/>
      <c r="AV62" s="1608"/>
      <c r="AW62" s="1608"/>
      <c r="AX62" s="1608"/>
      <c r="AY62" s="1608"/>
      <c r="AZ62" s="1608"/>
      <c r="BA62" s="1608"/>
      <c r="BB62" s="1608"/>
      <c r="BC62" s="1608"/>
      <c r="BE62" s="784"/>
      <c r="BF62" s="784" t="str">
        <f>IF(T62="","",T62)</f>
        <v>Добавить территорию для дифференциации</v>
      </c>
      <c r="BG62" s="784"/>
      <c r="BH62" s="784"/>
      <c r="BI62" s="795">
        <v>0</v>
      </c>
    </row>
    <row s="14158" customFormat="1" customHeight="1" ht="0">
      <c r="A63" s="1598"/>
      <c r="B63" s="1598"/>
      <c r="C63" s="1598"/>
      <c r="D63" s="1598"/>
      <c r="E63" s="1627"/>
      <c r="F63" s="1598"/>
      <c r="G63" s="1598"/>
      <c r="H63" s="1598"/>
      <c r="I63" s="1598"/>
      <c r="J63" s="1598"/>
      <c r="K63" s="1598"/>
      <c r="L63" s="1778"/>
      <c r="M63" s="1605"/>
      <c r="N63" s="1605"/>
      <c r="P63" s="1600"/>
      <c r="Q63" s="1601"/>
      <c r="R63" s="1600"/>
      <c r="S63" s="1606"/>
      <c r="T63" s="1609" t="s">
        <v>172</v>
      </c>
      <c r="U63" s="1608"/>
      <c r="V63" s="1608"/>
      <c r="W63" s="1608"/>
      <c r="X63" s="1608"/>
      <c r="Y63" s="1608"/>
      <c r="Z63" s="1608"/>
      <c r="AA63" s="1608"/>
      <c r="AB63" s="1608"/>
      <c r="AC63" s="1608"/>
      <c r="AD63" s="1608"/>
      <c r="AE63" s="1608"/>
      <c r="AF63" s="1608"/>
      <c r="AG63" s="1608"/>
      <c r="AH63" s="1608"/>
      <c r="AI63" s="1608"/>
      <c r="AJ63" s="1608"/>
      <c r="AK63" s="1608"/>
      <c r="AL63" s="1608"/>
      <c r="AM63" s="1608"/>
      <c r="AN63" s="1608"/>
      <c r="AO63" s="1608"/>
      <c r="AP63" s="1608"/>
      <c r="AQ63" s="1608"/>
      <c r="AR63" s="1608"/>
      <c r="AS63" s="1608"/>
      <c r="AT63" s="1608"/>
      <c r="AU63" s="1608"/>
      <c r="AV63" s="1608"/>
      <c r="AW63" s="1608"/>
      <c r="AX63" s="1608"/>
      <c r="AY63" s="1608"/>
      <c r="AZ63" s="1608"/>
      <c r="BA63" s="1608"/>
      <c r="BB63" s="1608"/>
      <c r="BC63" s="1608"/>
      <c r="BE63" s="1073"/>
      <c r="BF63" s="1073" t="str">
        <f>IF(T63="","",T63)</f>
        <v>Добавить наименование тарифа</v>
      </c>
      <c r="BG63" s="1073"/>
      <c r="BH63" s="1073"/>
      <c r="BI63" s="802">
        <v>0</v>
      </c>
    </row>
    <row customHeight="1" ht="11.549999999999999">
      <c r="M64" s="1444"/>
      <c r="N64" s="1444"/>
      <c r="O64" s="821"/>
      <c r="P64" s="1444"/>
      <c r="Q64" s="1444"/>
      <c r="R64" s="1439"/>
      <c r="S64" s="1439"/>
      <c r="BD64" s="1439"/>
      <c r="BE64" s="1439"/>
      <c r="BF64" s="1439"/>
      <c r="BG64" s="1439"/>
      <c r="BH64" s="1439"/>
      <c r="BI64" s="1439">
        <v>11</v>
      </c>
    </row>
    <row customHeight="1" ht="14.699999999999998">
      <c r="O65" s="821"/>
      <c r="S65" s="1537"/>
      <c r="T65" s="2569"/>
      <c r="U65" s="2569"/>
      <c r="V65" s="2569"/>
      <c r="W65" s="2569"/>
      <c r="X65" s="2569"/>
      <c r="Y65" s="2569"/>
      <c r="Z65" s="2569"/>
      <c r="AA65" s="2569"/>
      <c r="AB65" s="2569"/>
      <c r="AC65" s="2569"/>
      <c r="AD65" s="2569"/>
      <c r="AE65" s="2569"/>
      <c r="AF65" s="2569"/>
      <c r="AG65" s="2569"/>
      <c r="AH65" s="2569"/>
      <c r="AI65" s="2569"/>
      <c r="AJ65" s="2569"/>
      <c r="AK65" s="2569"/>
      <c r="AL65" s="2569"/>
      <c r="AM65" s="2569"/>
      <c r="AN65" s="2569"/>
      <c r="AO65" s="2569"/>
      <c r="AP65" s="2569"/>
      <c r="AQ65" s="2569"/>
      <c r="AR65" s="2569"/>
      <c r="AS65" s="2569"/>
      <c r="AT65" s="2569"/>
      <c r="AU65" s="2569"/>
      <c r="AV65" s="2569"/>
      <c r="AW65" s="2569"/>
      <c r="AX65" s="2569"/>
      <c r="AY65" s="2569"/>
      <c r="AZ65" s="2569"/>
      <c r="BA65" s="2569"/>
      <c r="BB65" s="2569"/>
      <c r="BC65" s="2569"/>
      <c r="BI65" s="1439">
        <v>14</v>
      </c>
    </row>
    <row customHeight="1" ht="14.699999999999998">
      <c r="O66" s="821"/>
      <c r="T66" s="1764"/>
      <c r="U66" s="1764"/>
      <c r="V66" s="1764"/>
      <c r="W66" s="1764"/>
      <c r="X66" s="1764"/>
      <c r="Y66" s="1764"/>
      <c r="Z66" s="1764"/>
      <c r="AA66" s="1764"/>
      <c r="AB66" s="1764"/>
      <c r="AC66" s="1764"/>
      <c r="AD66" s="1764"/>
      <c r="AE66" s="1764"/>
      <c r="AF66" s="1764"/>
      <c r="AG66" s="1764"/>
      <c r="AH66" s="1764"/>
      <c r="AI66" s="1764"/>
      <c r="AJ66" s="1764"/>
      <c r="AK66" s="1764"/>
      <c r="AL66" s="1764"/>
      <c r="AM66" s="1764"/>
      <c r="AN66" s="1764"/>
      <c r="AO66" s="1764"/>
      <c r="AP66" s="1764"/>
      <c r="AQ66" s="1764"/>
      <c r="AR66" s="1764"/>
      <c r="AS66" s="1764"/>
      <c r="AT66" s="1764"/>
      <c r="AU66" s="1764"/>
      <c r="AV66" s="1764"/>
      <c r="AW66" s="1764"/>
      <c r="AX66" s="1764"/>
      <c r="AY66" s="1764"/>
      <c r="AZ66" s="1764"/>
      <c r="BA66" s="1764"/>
      <c r="BB66" s="1764"/>
      <c r="BC66" s="1764"/>
      <c r="BI66" s="1439">
        <v>14</v>
      </c>
    </row>
    <row customHeight="1" ht="14.699999999999998">
      <c r="O67" s="821"/>
      <c r="S67" s="1537"/>
      <c r="T67" s="2569"/>
      <c r="U67" s="2569"/>
      <c r="V67" s="2569"/>
      <c r="W67" s="2569"/>
      <c r="X67" s="2569"/>
      <c r="Y67" s="2569"/>
      <c r="Z67" s="2569"/>
      <c r="AA67" s="2569"/>
      <c r="AB67" s="2569"/>
      <c r="AC67" s="2569"/>
      <c r="AD67" s="2569"/>
      <c r="AE67" s="2569"/>
      <c r="AF67" s="2569"/>
      <c r="AG67" s="2569"/>
      <c r="AH67" s="2569"/>
      <c r="AI67" s="2569"/>
      <c r="AJ67" s="2569"/>
      <c r="AK67" s="2569"/>
      <c r="AL67" s="2569"/>
      <c r="AM67" s="2569"/>
      <c r="AN67" s="2569"/>
      <c r="AO67" s="2569"/>
      <c r="AP67" s="2569"/>
      <c r="AQ67" s="2569"/>
      <c r="AR67" s="2569"/>
      <c r="AS67" s="2569"/>
      <c r="AT67" s="2569"/>
      <c r="AU67" s="2569"/>
      <c r="AV67" s="2569"/>
      <c r="AW67" s="2569"/>
      <c r="AX67" s="2569"/>
      <c r="AY67" s="2569"/>
      <c r="AZ67" s="2569"/>
      <c r="BA67" s="2569"/>
      <c r="BB67" s="2569"/>
      <c r="BC67" s="2569"/>
      <c r="BI67" s="1439">
        <v>14</v>
      </c>
    </row>
    <row customHeight="1" ht="14.699999999999998">
      <c r="O68" s="821"/>
      <c r="BI68" s="1439">
        <v>14</v>
      </c>
    </row>
    <row customHeight="1" ht="14.25" hidden="1">
      <c r="A69" s="1444" t="s">
        <v>83</v>
      </c>
      <c r="B69" s="1444">
        <v>0</v>
      </c>
      <c r="C69" s="1444">
        <v>0</v>
      </c>
      <c r="D69" s="1444">
        <v>0</v>
      </c>
      <c r="E69" s="1444">
        <v>0</v>
      </c>
      <c r="F69" s="1444">
        <v>0</v>
      </c>
      <c r="G69" s="1444">
        <v>0</v>
      </c>
      <c r="H69" s="1444">
        <v>0</v>
      </c>
      <c r="I69" s="1444">
        <v>0</v>
      </c>
      <c r="J69" s="1444">
        <v>0</v>
      </c>
      <c r="K69" s="1444">
        <v>0</v>
      </c>
      <c r="L69" s="1762">
        <v>0</v>
      </c>
      <c r="M69" s="1646">
        <v>0</v>
      </c>
      <c r="N69" s="1646">
        <v>0</v>
      </c>
      <c r="O69" s="1646">
        <v>0</v>
      </c>
      <c r="P69" s="1646">
        <v>0</v>
      </c>
      <c r="Q69" s="1655">
        <v>0</v>
      </c>
      <c r="R69" s="628">
        <v>3</v>
      </c>
      <c r="S69" s="865">
        <v>12</v>
      </c>
      <c r="T69" s="1439">
        <v>31</v>
      </c>
      <c r="U69" s="1439">
        <v>0</v>
      </c>
      <c r="V69" s="1439">
        <v>0</v>
      </c>
      <c r="W69" s="1439">
        <v>0</v>
      </c>
      <c r="X69" s="1439">
        <v>0</v>
      </c>
      <c r="Y69" s="1439">
        <v>0</v>
      </c>
      <c r="Z69" s="1439">
        <v>0</v>
      </c>
      <c r="AA69" s="1439">
        <v>0</v>
      </c>
      <c r="AB69" s="1439">
        <v>0</v>
      </c>
      <c r="AC69" s="1439">
        <v>0</v>
      </c>
      <c r="AD69" s="1439">
        <v>3</v>
      </c>
      <c r="AE69" s="1439">
        <v>3</v>
      </c>
      <c r="AF69" s="1439">
        <v>3</v>
      </c>
      <c r="AG69" s="1439">
        <v>24</v>
      </c>
      <c r="AH69" s="1439">
        <v>3</v>
      </c>
      <c r="AI69" s="1439">
        <v>3</v>
      </c>
      <c r="AJ69" s="1439">
        <v>3</v>
      </c>
      <c r="AK69" s="1439">
        <v>24</v>
      </c>
      <c r="AL69" s="1439">
        <v>3</v>
      </c>
      <c r="AM69" s="1439">
        <v>3</v>
      </c>
      <c r="AN69" s="1439">
        <v>3</v>
      </c>
      <c r="AO69" s="1439">
        <v>18</v>
      </c>
      <c r="AP69" s="1439">
        <v>3</v>
      </c>
      <c r="AQ69" s="1439">
        <v>3</v>
      </c>
      <c r="AR69" s="1439">
        <v>3</v>
      </c>
      <c r="AS69" s="1439">
        <v>18</v>
      </c>
      <c r="AT69" s="1439">
        <v>21</v>
      </c>
      <c r="AU69" s="1439">
        <v>21</v>
      </c>
      <c r="AV69" s="1439">
        <v>21</v>
      </c>
      <c r="AW69" s="1439">
        <v>21</v>
      </c>
      <c r="AX69" s="1439">
        <v>11</v>
      </c>
      <c r="AY69" s="1439">
        <v>3</v>
      </c>
      <c r="AZ69" s="1439">
        <v>11</v>
      </c>
      <c r="BA69" s="1439">
        <v>0</v>
      </c>
      <c r="BB69" s="1439">
        <v>4</v>
      </c>
      <c r="BC69" s="1439">
        <v>115</v>
      </c>
      <c r="BD69" s="795">
        <v>10</v>
      </c>
      <c r="BE69" s="795">
        <v>10</v>
      </c>
      <c r="BF69" s="795">
        <v>10</v>
      </c>
      <c r="BG69" s="795">
        <v>10</v>
      </c>
      <c r="BH69" s="795">
        <v>10</v>
      </c>
      <c r="BI69" s="1439">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F1C8A08-2678-BA71-C35E-32359BC775D8}" mc:Ignorable="x14ac xr xr2 xr3">
  <sheetPr>
    <tabColor rgb="FFCCCCFF"/>
    <pageSetUpPr fitToPage="1"/>
  </sheetPr>
  <dimension ref="A1:AC29"/>
  <sheetViews>
    <sheetView topLeftCell="A1" showGridLines="0" zoomScale="90" workbookViewId="0">
      <selection activeCell="G13" sqref="G13"/>
    </sheetView>
  </sheetViews>
  <sheetFormatPr defaultColWidth="9.140625" customHeight="1" defaultRowHeight="14.25"/>
  <cols>
    <col min="1" max="1" style="14077" width="8.00390625" hidden="1" customWidth="1"/>
    <col min="2" max="2" style="14157" width="6.00390625" hidden="1" customWidth="1"/>
    <col min="3" max="3" style="14077" width="3.00390625" customWidth="1"/>
    <col min="4" max="4" style="14246" width="3.00390625" customWidth="1"/>
    <col min="5" max="5" style="14077" width="6.00390625" customWidth="1"/>
    <col min="6" max="6" style="14077" width="2.7109375" hidden="1" customWidth="1"/>
    <col min="7" max="7" style="14077" width="46.7109375" customWidth="1"/>
    <col min="8" max="8" style="14077" width="42.00390625" customWidth="1"/>
    <col min="9" max="9" style="14077" width="14.00390625" customWidth="1"/>
    <col min="10" max="10" style="14247" width="3.00390625" customWidth="1"/>
    <col min="11" max="13" style="14247" width="9.140625" hidden="1"/>
    <col min="14" max="14" style="14247" width="25.7109375" hidden="1" customWidth="1"/>
    <col min="15" max="15" style="14247" width="14.421875" hidden="1" customWidth="1"/>
    <col min="16" max="19" style="14248" width="9.140625" hidden="1"/>
    <col min="20" max="27" style="14077" width="9.140625" hidden="1"/>
    <col min="28" max="28" style="14077" width="8.00390625" customWidth="1"/>
    <col min="29" max="29" style="14077" width="9.140625" hidden="1"/>
  </cols>
  <sheetData>
    <row s="14158" customFormat="1" customHeight="1" ht="5.25" hidden="1">
      <c r="A1" s="780"/>
      <c r="B1" s="795"/>
      <c r="C1" s="795"/>
      <c r="D1" s="505"/>
      <c r="F1" s="795"/>
      <c r="G1" s="531" t="s">
        <v>84</v>
      </c>
      <c r="H1" s="778" t="s">
        <v>85</v>
      </c>
      <c r="I1" s="511" t="s">
        <v>86</v>
      </c>
      <c r="J1" s="531" t="s">
        <v>84</v>
      </c>
      <c r="K1" s="531"/>
      <c r="L1" s="531"/>
      <c r="M1" s="531"/>
      <c r="N1" s="532"/>
      <c r="O1" s="531"/>
      <c r="P1" s="531"/>
      <c r="Q1" s="531"/>
      <c r="R1" s="531"/>
      <c r="S1" s="531"/>
      <c r="T1" s="511"/>
      <c r="U1" s="511"/>
      <c r="V1" s="511"/>
      <c r="W1" s="511"/>
      <c r="X1" s="511"/>
      <c r="Y1" s="511"/>
      <c r="Z1" s="511"/>
      <c r="AA1" s="511"/>
      <c r="AB1" s="511"/>
      <c r="AC1" s="436" t="s">
        <v>14</v>
      </c>
    </row>
    <row s="14167" customFormat="1" customHeight="1" ht="11.25">
      <c r="A2" s="1115"/>
      <c r="B2" s="512"/>
      <c r="C2" s="512"/>
      <c r="D2" s="513"/>
      <c r="E2" s="512"/>
      <c r="F2" s="512"/>
      <c r="G2" s="512"/>
      <c r="H2" s="512"/>
      <c r="I2" s="512"/>
      <c r="J2" s="531"/>
      <c r="K2" s="531"/>
      <c r="L2" s="531"/>
      <c r="M2" s="531"/>
      <c r="N2" s="532"/>
      <c r="O2" s="531"/>
      <c r="P2" s="514"/>
      <c r="Q2" s="514"/>
      <c r="R2" s="514"/>
      <c r="S2" s="514"/>
      <c r="T2" s="513"/>
      <c r="U2" s="513"/>
      <c r="V2" s="513"/>
      <c r="W2" s="513"/>
      <c r="X2" s="513"/>
      <c r="Y2" s="513"/>
      <c r="Z2" s="513"/>
      <c r="AA2" s="513"/>
      <c r="AB2" s="513"/>
      <c r="AC2" s="515">
        <v>11</v>
      </c>
    </row>
    <row s="14173" customFormat="1" customHeight="1" ht="3">
      <c r="A3" s="1042"/>
      <c r="B3" s="701"/>
      <c r="C3" s="1042"/>
      <c r="D3" s="448"/>
      <c r="E3" s="387"/>
      <c r="F3" s="793"/>
      <c r="G3" s="387"/>
      <c r="H3" s="387"/>
      <c r="I3" s="450"/>
      <c r="J3" s="531"/>
      <c r="K3" s="439"/>
      <c r="L3" s="439"/>
      <c r="M3" s="439"/>
      <c r="N3" s="510"/>
      <c r="O3" s="439"/>
      <c r="P3" s="509"/>
      <c r="Q3" s="509"/>
      <c r="R3" s="509"/>
      <c r="S3" s="509"/>
      <c r="AC3" s="400">
        <v>3</v>
      </c>
    </row>
    <row s="14173" customFormat="1" customHeight="1" ht="27.299999999999997">
      <c r="A4" s="1042"/>
      <c r="B4" s="701"/>
      <c r="C4" s="1042"/>
      <c r="D4" s="448"/>
      <c r="E4" s="2384" t="str">
        <f>NameTemplatesInListMO</f>
        <v>Перечень муниципальных районов и муниципальных образований (территорий действия тарифа)</v>
      </c>
      <c r="F4" s="2384"/>
      <c r="G4" s="2384"/>
      <c r="H4" s="2384"/>
      <c r="I4" s="2384"/>
      <c r="J4" s="531"/>
      <c r="K4" s="439"/>
      <c r="L4" s="439"/>
      <c r="M4" s="439"/>
      <c r="N4" s="510"/>
      <c r="O4" s="439"/>
      <c r="P4" s="509"/>
      <c r="Q4" s="509"/>
      <c r="R4" s="509"/>
      <c r="S4" s="509"/>
      <c r="AC4" s="400">
        <v>26</v>
      </c>
    </row>
    <row s="14173" customFormat="1" customHeight="1" ht="3">
      <c r="A5" s="1042"/>
      <c r="B5" s="701"/>
      <c r="C5" s="1042"/>
      <c r="D5" s="448"/>
      <c r="E5" s="387"/>
      <c r="F5" s="793"/>
      <c r="G5" s="451"/>
      <c r="H5" s="451"/>
      <c r="I5" s="452"/>
      <c r="J5" s="439"/>
      <c r="K5" s="439"/>
      <c r="L5" s="439"/>
      <c r="M5" s="439"/>
      <c r="N5" s="510"/>
      <c r="O5" s="439"/>
      <c r="P5" s="509"/>
      <c r="Q5" s="509"/>
      <c r="R5" s="509"/>
      <c r="S5" s="509"/>
      <c r="AC5" s="400">
        <v>3</v>
      </c>
    </row>
    <row s="14173" customFormat="1" customHeight="1" ht="20.25" hidden="1">
      <c r="A6" s="1121"/>
      <c r="B6" s="1117"/>
      <c r="C6" s="453"/>
      <c r="D6" s="448"/>
      <c r="E6" s="1063"/>
      <c r="F6" s="1063"/>
      <c r="G6" s="451"/>
      <c r="H6" s="454"/>
      <c r="I6" s="454"/>
      <c r="J6" s="439"/>
      <c r="K6" s="439"/>
      <c r="L6" s="439"/>
      <c r="M6" s="439"/>
      <c r="N6" s="510"/>
      <c r="O6" s="439"/>
      <c r="P6" s="509"/>
      <c r="Q6" s="509"/>
      <c r="R6" s="509"/>
      <c r="S6" s="509"/>
      <c r="AC6" s="400">
        <v>0</v>
      </c>
    </row>
    <row customHeight="1" ht="25.5" hidden="1">
      <c r="AC7" s="367">
        <v>0</v>
      </c>
    </row>
    <row s="14173" customFormat="1" customHeight="1" ht="14.699999999999998">
      <c r="A8" s="1042"/>
      <c r="B8" s="701"/>
      <c r="C8" s="1042"/>
      <c r="D8" s="448"/>
      <c r="E8" s="2385" t="s">
        <v>87</v>
      </c>
      <c r="F8" s="2386"/>
      <c r="G8" s="2387"/>
      <c r="H8" s="2388" t="s">
        <v>88</v>
      </c>
      <c r="I8" s="2388"/>
      <c r="J8" s="439"/>
      <c r="K8" s="439"/>
      <c r="L8" s="439"/>
      <c r="M8" s="439"/>
      <c r="N8" s="510"/>
      <c r="O8" s="439"/>
      <c r="P8" s="509"/>
      <c r="Q8" s="509"/>
      <c r="R8" s="509"/>
      <c r="S8" s="509"/>
      <c r="AC8" s="400">
        <v>14</v>
      </c>
    </row>
    <row s="14173" customFormat="1" customHeight="1" ht="21">
      <c r="A9" s="1042"/>
      <c r="B9" s="701"/>
      <c r="C9" s="1042"/>
      <c r="D9" s="448"/>
      <c r="E9" s="1061" t="s">
        <v>89</v>
      </c>
      <c r="F9" s="1061"/>
      <c r="G9" s="456" t="s">
        <v>90</v>
      </c>
      <c r="H9" s="456" t="s">
        <v>90</v>
      </c>
      <c r="I9" s="456" t="s">
        <v>86</v>
      </c>
      <c r="J9" s="439"/>
      <c r="K9" s="439"/>
      <c r="L9" s="439"/>
      <c r="M9" s="439"/>
      <c r="N9" s="510"/>
      <c r="O9" s="439"/>
      <c r="P9" s="509"/>
      <c r="Q9" s="509"/>
      <c r="R9" s="509"/>
      <c r="S9" s="509"/>
      <c r="AC9" s="400">
        <v>20</v>
      </c>
    </row>
    <row customHeight="1" ht="11.549999999999999">
      <c r="D10" s="460"/>
      <c r="E10" s="1062" t="s">
        <v>91</v>
      </c>
      <c r="F10" s="1062"/>
      <c r="G10" s="507" t="s">
        <v>92</v>
      </c>
      <c r="H10" s="507" t="s">
        <v>93</v>
      </c>
      <c r="I10" s="507" t="s">
        <v>94</v>
      </c>
      <c r="J10" s="470"/>
      <c r="K10" s="470"/>
      <c r="L10" s="470"/>
      <c r="M10" s="470"/>
      <c r="N10" s="455"/>
      <c r="O10" s="470"/>
      <c r="P10" s="508"/>
      <c r="Q10" s="508"/>
      <c r="R10" s="508"/>
      <c r="S10" s="508"/>
      <c r="AC10" s="367">
        <v>11</v>
      </c>
    </row>
    <row s="14173" customFormat="1" customHeight="1" ht="1.05">
      <c r="A11" s="1042"/>
      <c r="B11" s="701"/>
      <c r="C11" s="1042"/>
      <c r="D11" s="448"/>
      <c r="E11" s="1074"/>
      <c r="F11" s="1074"/>
      <c r="G11" s="457"/>
      <c r="H11" s="457"/>
      <c r="I11" s="459"/>
      <c r="J11" s="533" t="s">
        <v>95</v>
      </c>
      <c r="K11" s="439"/>
      <c r="L11" s="439"/>
      <c r="M11" s="439" t="s">
        <v>96</v>
      </c>
      <c r="N11" s="510" t="s">
        <v>97</v>
      </c>
      <c r="O11" s="439" t="s">
        <v>98</v>
      </c>
      <c r="P11" s="509"/>
      <c r="Q11" s="509"/>
      <c r="R11" s="509"/>
      <c r="S11" s="509"/>
      <c r="AC11" s="400">
        <v>1</v>
      </c>
    </row>
    <row s="14173" customFormat="1" customHeight="1" ht="15">
      <c r="A12" s="2383">
        <v>1</v>
      </c>
      <c r="B12" s="701"/>
      <c r="C12" s="1042"/>
      <c r="D12" s="1066"/>
      <c r="E12" s="503">
        <f>A12</f>
        <v>1</v>
      </c>
      <c r="F12" s="1086" t="s">
        <v>99</v>
      </c>
      <c r="G12" s="824" t="str">
        <f>"Территория "&amp;E12</f>
        <v>Территория 1</v>
      </c>
      <c r="H12" s="1076"/>
      <c r="I12" s="1076"/>
      <c r="J12" s="1073"/>
      <c r="K12" s="784"/>
      <c r="L12" s="784"/>
      <c r="M12" s="784"/>
      <c r="N12" s="510"/>
      <c r="O12" s="784"/>
      <c r="P12" s="509"/>
      <c r="Q12" s="509"/>
      <c r="R12" s="509"/>
      <c r="S12" s="509"/>
      <c r="AC12" s="791">
        <v>14</v>
      </c>
    </row>
    <row s="14218" customFormat="1" customHeight="1" ht="15.75">
      <c r="A13" s="2383"/>
      <c r="B13" s="701">
        <v>1</v>
      </c>
      <c r="C13" s="701"/>
      <c r="D13" s="1084"/>
      <c r="E13" s="1064" t="str">
        <f>A12&amp;"."&amp;B13</f>
        <v>1.1</v>
      </c>
      <c r="F13" s="1079" t="s">
        <v>100</v>
      </c>
      <c r="G13" s="1077" t="s">
        <v>101</v>
      </c>
      <c r="H13" s="1077" t="s">
        <v>101</v>
      </c>
      <c r="I13" s="1075" t="s">
        <v>102</v>
      </c>
      <c r="J13" s="784">
        <f>MERGEVALUE(G13)</f>
      </c>
      <c r="K13" s="795"/>
      <c r="L13" s="795"/>
      <c r="M13" s="784" t="str">
        <f t="array" ref="M13:M13">IF(ISERROR(MATCH(MID(N13,1,250),MID(note_ter,1,250),0)),"n","y")</f>
        <v>n</v>
      </c>
      <c r="N13" s="795"/>
      <c r="O13" s="784" t="str">
        <f>H13&amp;"("&amp;I13&amp;")"</f>
        <v>Город Азов(60704000)</v>
      </c>
      <c r="P13" s="701"/>
      <c r="Q13" s="701"/>
      <c r="R13" s="704"/>
      <c r="S13" s="701"/>
      <c r="T13" s="701"/>
      <c r="U13" s="701"/>
      <c r="V13" s="706"/>
      <c r="W13" s="706"/>
      <c r="X13" s="703"/>
      <c r="Y13" s="703"/>
      <c r="Z13" s="703"/>
      <c r="AA13" s="703"/>
      <c r="AB13" s="703"/>
      <c r="AC13" s="707">
        <v>15</v>
      </c>
    </row>
    <row s="14218" customFormat="1" customHeight="1" ht="15.75">
      <c r="A14" s="2383"/>
      <c r="B14" s="701"/>
      <c r="C14" s="696"/>
      <c r="D14" s="1085"/>
      <c r="E14" s="705"/>
      <c r="F14" s="461"/>
      <c r="G14" s="699" t="s">
        <v>103</v>
      </c>
      <c r="H14" s="471"/>
      <c r="I14" s="708"/>
      <c r="J14" s="795"/>
      <c r="K14" s="795"/>
      <c r="L14" s="795"/>
      <c r="M14" s="795"/>
      <c r="N14" s="784"/>
      <c r="O14" s="795"/>
      <c r="P14" s="701"/>
      <c r="Q14" s="701"/>
      <c r="R14" s="704"/>
      <c r="S14" s="701"/>
      <c r="T14" s="701"/>
      <c r="U14" s="701"/>
      <c r="V14" s="706"/>
      <c r="W14" s="706"/>
      <c r="X14" s="703"/>
      <c r="Y14" s="703"/>
      <c r="Z14" s="703"/>
      <c r="AA14" s="703"/>
      <c r="AB14" s="703"/>
      <c r="AC14" s="707">
        <v>15</v>
      </c>
    </row>
    <row s="14173" customFormat="1" customHeight="1" ht="14.699999999999998">
      <c r="A15" s="1042"/>
      <c r="B15" s="701"/>
      <c r="C15" s="1042"/>
      <c r="D15" s="1066"/>
      <c r="E15" s="1078"/>
      <c r="F15" s="462"/>
      <c r="G15" s="700" t="s">
        <v>104</v>
      </c>
      <c r="H15" s="462"/>
      <c r="I15" s="463"/>
      <c r="J15" s="533"/>
      <c r="K15" s="439"/>
      <c r="L15" s="439"/>
      <c r="M15" s="439"/>
      <c r="N15" s="510" t="s">
        <v>105</v>
      </c>
      <c r="O15" s="439"/>
      <c r="P15" s="509"/>
      <c r="Q15" s="509"/>
      <c r="R15" s="509"/>
      <c r="S15" s="509"/>
      <c r="AC15" s="400">
        <v>14</v>
      </c>
    </row>
    <row s="14173" customFormat="1" customHeight="1" ht="22.049999999999997">
      <c r="A16" s="1042"/>
      <c r="B16" s="701"/>
      <c r="C16" s="1042"/>
      <c r="D16" s="449"/>
      <c r="E16" s="464"/>
      <c r="F16" s="464"/>
      <c r="G16" s="464"/>
      <c r="H16" s="464"/>
      <c r="I16" s="464"/>
      <c r="J16" s="439"/>
      <c r="K16" s="439"/>
      <c r="L16" s="439"/>
      <c r="M16" s="439"/>
      <c r="N16" s="510"/>
      <c r="O16" s="439"/>
      <c r="P16" s="509"/>
      <c r="Q16" s="509"/>
      <c r="R16" s="509"/>
      <c r="S16" s="509"/>
      <c r="AC16" s="400">
        <v>21</v>
      </c>
    </row>
    <row s="14173" customFormat="1" customHeight="1" ht="14.699999999999998">
      <c r="A17" s="1042"/>
      <c r="B17" s="701"/>
      <c r="C17" s="1042"/>
      <c r="D17" s="449"/>
      <c r="E17" s="367"/>
      <c r="F17" s="1042"/>
      <c r="G17" s="367"/>
      <c r="H17" s="367"/>
      <c r="I17" s="367"/>
      <c r="J17" s="439"/>
      <c r="K17" s="439"/>
      <c r="L17" s="439"/>
      <c r="M17" s="439"/>
      <c r="N17" s="510"/>
      <c r="O17" s="439"/>
      <c r="P17" s="509"/>
      <c r="Q17" s="509"/>
      <c r="R17" s="509"/>
      <c r="S17" s="509"/>
      <c r="AC17" s="400">
        <v>14</v>
      </c>
    </row>
    <row s="14173" customFormat="1" customHeight="1" ht="1.05">
      <c r="A18" s="1042"/>
      <c r="B18" s="701"/>
      <c r="C18" s="1042"/>
      <c r="D18" s="449"/>
      <c r="E18" s="367"/>
      <c r="F18" s="1042"/>
      <c r="G18" s="367"/>
      <c r="H18" s="367"/>
      <c r="I18" s="367"/>
      <c r="J18" s="439"/>
      <c r="K18" s="439"/>
      <c r="L18" s="439"/>
      <c r="M18" s="439"/>
      <c r="N18" s="510"/>
      <c r="O18" s="439"/>
      <c r="P18" s="509"/>
      <c r="Q18" s="509"/>
      <c r="R18" s="509"/>
      <c r="S18" s="509"/>
      <c r="AC18" s="400">
        <v>1</v>
      </c>
    </row>
    <row s="14241" customFormat="1" customHeight="1" ht="10.5">
      <c r="B19" s="1118"/>
      <c r="D19" s="466"/>
      <c r="J19" s="439"/>
      <c r="K19" s="439"/>
      <c r="L19" s="439"/>
      <c r="M19" s="439"/>
      <c r="N19" s="510"/>
      <c r="O19" s="439"/>
      <c r="P19" s="509"/>
      <c r="Q19" s="509"/>
      <c r="R19" s="509"/>
      <c r="S19" s="509"/>
      <c r="AC19" s="465">
        <v>10</v>
      </c>
    </row>
    <row s="14241" customFormat="1" customHeight="1" ht="10.5">
      <c r="B20" s="1118"/>
      <c r="D20" s="466"/>
      <c r="J20" s="439"/>
      <c r="K20" s="439"/>
      <c r="L20" s="439"/>
      <c r="M20" s="439"/>
      <c r="N20" s="510"/>
      <c r="O20" s="439"/>
      <c r="P20" s="509"/>
      <c r="Q20" s="509"/>
      <c r="R20" s="509"/>
      <c r="S20" s="509"/>
      <c r="AC20" s="465">
        <v>10</v>
      </c>
    </row>
    <row customHeight="1" ht="14.699999999999998">
      <c r="AC21" s="367">
        <v>14</v>
      </c>
    </row>
    <row customHeight="1" ht="14.699999999999998">
      <c r="AC22" s="367">
        <v>14</v>
      </c>
    </row>
    <row customHeight="1" ht="14.699999999999998">
      <c r="AC23" s="367">
        <v>14</v>
      </c>
    </row>
    <row customHeight="1" ht="14.699999999999998">
      <c r="H24" s="346"/>
      <c r="AC24" s="367">
        <v>14</v>
      </c>
    </row>
    <row customHeight="1" ht="14.699999999999998">
      <c r="AC25" s="367">
        <v>14</v>
      </c>
    </row>
    <row customHeight="1" ht="14.699999999999998">
      <c r="AC26" s="367">
        <v>14</v>
      </c>
    </row>
    <row customHeight="1" ht="14.699999999999998">
      <c r="AC27" s="367">
        <v>14</v>
      </c>
    </row>
    <row customHeight="1" ht="14.699999999999998">
      <c r="J28" s="367"/>
      <c r="K28" s="367"/>
      <c r="L28" s="367"/>
      <c r="AC28" s="367">
        <v>14</v>
      </c>
    </row>
    <row customHeight="1" ht="22.5" hidden="1">
      <c r="A29" s="1042" t="s">
        <v>83</v>
      </c>
      <c r="B29" s="701">
        <v>0</v>
      </c>
      <c r="C29" s="1042">
        <v>3</v>
      </c>
      <c r="D29" s="449">
        <v>3</v>
      </c>
      <c r="E29" s="367">
        <v>6</v>
      </c>
      <c r="F29" s="1042">
        <v>0</v>
      </c>
      <c r="G29" s="367">
        <v>46</v>
      </c>
      <c r="H29" s="367">
        <v>42</v>
      </c>
      <c r="I29" s="367">
        <v>14</v>
      </c>
      <c r="J29" s="439">
        <v>3</v>
      </c>
      <c r="K29" s="439">
        <v>0</v>
      </c>
      <c r="L29" s="439">
        <v>0</v>
      </c>
      <c r="M29" s="439">
        <v>0</v>
      </c>
      <c r="N29" s="510">
        <v>0</v>
      </c>
      <c r="O29" s="439">
        <v>0</v>
      </c>
      <c r="P29" s="509">
        <v>0</v>
      </c>
      <c r="Q29" s="509">
        <v>0</v>
      </c>
      <c r="R29" s="509">
        <v>0</v>
      </c>
      <c r="S29" s="509">
        <v>0</v>
      </c>
      <c r="T29" s="367">
        <v>0</v>
      </c>
      <c r="U29" s="367">
        <v>0</v>
      </c>
      <c r="V29" s="367">
        <v>0</v>
      </c>
      <c r="W29" s="367">
        <v>0</v>
      </c>
      <c r="X29" s="367">
        <v>0</v>
      </c>
      <c r="Y29" s="367">
        <v>0</v>
      </c>
      <c r="Z29" s="367">
        <v>0</v>
      </c>
      <c r="AA29" s="367">
        <v>0</v>
      </c>
      <c r="AB29" s="367">
        <v>8</v>
      </c>
      <c r="AC29" s="367">
        <v>23</v>
      </c>
    </row>
  </sheetData>
  <sheetProtection formatColumns="0" formatRows="0" autoFilter="0" sort="0" insertRows="0" insertColumns="1" deleteRows="0" deleteColumns="0"/>
  <mergeCells count="4">
    <mergeCell ref="A12:A14"/>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verticalCentered="1"/>
  <pageMargins left="0.00" right="0.00" top="0.00" bottom="0.00" header="0.00" footer="0.79"/>
  <pageSetup paperSize="9" scale="93" fitToHeight="0" pageOrder="downThenOver"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29BBA98-0DCF-0AE8-27E8-8704DD2FEB9F}" mc:Ignorable="x14ac xr xr2 xr3">
  <sheetPr>
    <tabColor theme="6" tint="0.4"/>
  </sheetPr>
  <dimension ref="A1:AY59"/>
  <sheetViews>
    <sheetView topLeftCell="A1" showGridLines="0" zoomScale="90" workbookViewId="0">
      <selection activeCell="A1" sqref="A1"/>
    </sheetView>
  </sheetViews>
  <sheetFormatPr defaultColWidth="10.57421875" customHeight="1" defaultRowHeight="14.25"/>
  <cols>
    <col min="1" max="1" style="14157" width="10.57421875" hidden="1"/>
    <col min="2" max="2" style="14157" width="11.00390625" hidden="1" customWidth="1"/>
    <col min="3" max="3" style="14157" width="10.57421875" hidden="1"/>
    <col min="4" max="4" style="14157" width="11.8515625" hidden="1" customWidth="1"/>
    <col min="5" max="5" style="14157" width="10.00390625" hidden="1" customWidth="1"/>
    <col min="6" max="6" style="14157" width="8.7109375" hidden="1" customWidth="1"/>
    <col min="7" max="7" style="14157" width="7.57421875" hidden="1" customWidth="1"/>
    <col min="8" max="8" style="14157" width="11.421875" hidden="1" customWidth="1"/>
    <col min="9" max="9" style="14157" width="14.140625" hidden="1" customWidth="1"/>
    <col min="10" max="10" style="14157" width="9.8515625" hidden="1" customWidth="1"/>
    <col min="11" max="11" style="14157" width="14.7109375" hidden="1" customWidth="1"/>
    <col min="12" max="12" style="14974" width="19.140625" hidden="1" customWidth="1"/>
    <col min="13" max="14" style="14975" width="12.28125" hidden="1" customWidth="1"/>
    <col min="15" max="15" style="14975" width="23.421875" hidden="1" customWidth="1"/>
    <col min="16" max="16" style="14976" width="3.00390625" customWidth="1"/>
    <col min="17" max="18" style="14977" width="3.00390625" customWidth="1"/>
    <col min="19" max="19" style="14978" width="12.00390625" customWidth="1"/>
    <col min="20" max="20" style="14077" width="35.00390625" customWidth="1"/>
    <col min="21" max="21" style="14077" width="0.140625" customWidth="1"/>
    <col min="22" max="28" style="14077" width="19.7109375" hidden="1" customWidth="1"/>
    <col min="29" max="29" style="14077" width="11.7109375" hidden="1" customWidth="1"/>
    <col min="30" max="30" style="14077" width="3.7109375" hidden="1" customWidth="1"/>
    <col min="31" max="31" style="14077" width="11.7109375" hidden="1" customWidth="1"/>
    <col min="32" max="32" style="14077" width="8.57421875" hidden="1" customWidth="1"/>
    <col min="33" max="33" style="14077" width="19.7109375" customWidth="1"/>
    <col min="34" max="39" style="14077" width="19.00390625" customWidth="1"/>
    <col min="40" max="40" style="14077" width="11.00390625" customWidth="1"/>
    <col min="41" max="41" style="14077" width="3.7109375" customWidth="1"/>
    <col min="42" max="42" style="14077" width="11.00390625" customWidth="1"/>
    <col min="43" max="43" style="14077" width="8.57421875" hidden="1" customWidth="1"/>
    <col min="44" max="44" style="14077" width="4.00390625" customWidth="1"/>
    <col min="45" max="45" style="14077" width="115.00390625" customWidth="1"/>
    <col min="46" max="50" style="14158" width="10.00390625" customWidth="1"/>
    <col min="51" max="51" style="14077" width="10.57421875" hidden="1"/>
  </cols>
  <sheetData>
    <row customHeight="1" ht="22.5" hidden="1">
      <c r="AC1" s="611"/>
      <c r="AN1" s="611"/>
      <c r="AY1" s="1439" t="s">
        <v>14</v>
      </c>
    </row>
    <row customHeight="1" ht="23.25" hidden="1">
      <c r="A2" s="1647"/>
      <c r="B2" s="1647"/>
      <c r="C2" s="1647"/>
      <c r="D2" s="1647"/>
      <c r="E2" s="2542">
        <v>1</v>
      </c>
      <c r="F2" s="1647"/>
      <c r="G2" s="1647"/>
      <c r="H2" s="1647"/>
      <c r="I2" s="1647"/>
      <c r="J2" s="1647"/>
      <c r="K2" s="1647"/>
      <c r="L2" s="1648"/>
      <c r="M2" s="1649"/>
      <c r="N2" s="1649"/>
      <c r="O2" s="1649"/>
      <c r="P2" s="645"/>
      <c r="Q2" s="644"/>
      <c r="R2" s="639"/>
      <c r="S2" s="1777">
        <f>INDEX(PT_DIFFERENTIATION_NUM_NTAR,MATCH(A2,PT_DIFFERENTIATION_NTAR_ID,0))</f>
      </c>
      <c r="T2" s="582" t="s">
        <v>124</v>
      </c>
      <c r="U2" s="584"/>
      <c r="V2" s="2526"/>
      <c r="W2" s="2527"/>
      <c r="X2" s="2527"/>
      <c r="Y2" s="2527"/>
      <c r="Z2" s="2527"/>
      <c r="AA2" s="2527"/>
      <c r="AB2" s="2527"/>
      <c r="AC2" s="2527"/>
      <c r="AD2" s="2527"/>
      <c r="AE2" s="2527"/>
      <c r="AF2" s="2528"/>
      <c r="AG2" s="2526">
        <f>INDEX(PT_DIFFERENTIATION_NTAR,MATCH(A2,PT_DIFFERENTIATION_NTAR_ID,0))</f>
      </c>
      <c r="AH2" s="2527"/>
      <c r="AI2" s="2527"/>
      <c r="AJ2" s="2527"/>
      <c r="AK2" s="2527"/>
      <c r="AL2" s="2527"/>
      <c r="AM2" s="2527"/>
      <c r="AN2" s="2527"/>
      <c r="AO2" s="2527"/>
      <c r="AP2" s="2527"/>
      <c r="AQ2" s="2527"/>
      <c r="AR2" s="2528"/>
      <c r="AS2" s="154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784"/>
      <c r="AV2" s="784" t="str">
        <f>IF(T2="","",T2)</f>
        <v>Наименование тарифа</v>
      </c>
      <c r="AW2" s="784"/>
      <c r="AX2" s="784"/>
      <c r="AY2" s="1439">
        <v>0</v>
      </c>
    </row>
    <row customHeight="1" ht="23.25" hidden="1">
      <c r="A3" s="1647"/>
      <c r="B3" s="1647"/>
      <c r="C3" s="1647"/>
      <c r="D3" s="1647"/>
      <c r="E3" s="2543"/>
      <c r="F3" s="2542">
        <v>1</v>
      </c>
      <c r="G3" s="1647"/>
      <c r="H3" s="1647"/>
      <c r="I3" s="1647"/>
      <c r="J3" s="1647"/>
      <c r="K3" s="1647"/>
      <c r="L3" s="1648"/>
      <c r="M3" s="1649"/>
      <c r="N3" s="1649"/>
      <c r="O3" s="1649"/>
      <c r="P3" s="1771"/>
      <c r="Q3" s="636"/>
      <c r="R3" s="637"/>
      <c r="S3" s="1777">
        <f>INDEX(PT_DIFFERENTIATION_NUM_TER,MATCH(B3,PT_DIFFERENTIATION_TER_ID,0))</f>
      </c>
      <c r="T3" s="592" t="s">
        <v>402</v>
      </c>
      <c r="U3" s="584"/>
      <c r="V3" s="2526"/>
      <c r="W3" s="2527"/>
      <c r="X3" s="2527"/>
      <c r="Y3" s="2527"/>
      <c r="Z3" s="2527"/>
      <c r="AA3" s="2527"/>
      <c r="AB3" s="2527"/>
      <c r="AC3" s="2527"/>
      <c r="AD3" s="2527"/>
      <c r="AE3" s="2527"/>
      <c r="AF3" s="2528"/>
      <c r="AG3" s="2526">
        <f>INDEX(PT_DIFFERENTIATION_TER,MATCH(B3,PT_DIFFERENTIATION_TER_ID,0))</f>
      </c>
      <c r="AH3" s="2527"/>
      <c r="AI3" s="2527"/>
      <c r="AJ3" s="2527"/>
      <c r="AK3" s="2527"/>
      <c r="AL3" s="2527"/>
      <c r="AM3" s="2527"/>
      <c r="AN3" s="2527"/>
      <c r="AO3" s="2527"/>
      <c r="AP3" s="2527"/>
      <c r="AQ3" s="2527"/>
      <c r="AR3" s="2528"/>
      <c r="AS3" s="1542" t="s">
        <v>403</v>
      </c>
      <c r="AU3" s="784"/>
      <c r="AV3" s="784" t="str">
        <f>IF(T3="","",T3)</f>
        <v>Территория действия тарифа</v>
      </c>
      <c r="AW3" s="784"/>
      <c r="AX3" s="784"/>
      <c r="AY3" s="1439">
        <v>0</v>
      </c>
    </row>
    <row customHeight="1" ht="23.25" hidden="1">
      <c r="A4" s="1647"/>
      <c r="B4" s="1647"/>
      <c r="C4" s="1647"/>
      <c r="D4" s="1647"/>
      <c r="E4" s="2543"/>
      <c r="F4" s="2543"/>
      <c r="G4" s="2542">
        <v>1</v>
      </c>
      <c r="H4" s="1647"/>
      <c r="I4" s="1647"/>
      <c r="J4" s="1647"/>
      <c r="K4" s="1647"/>
      <c r="L4" s="1648"/>
      <c r="M4" s="1649"/>
      <c r="N4" s="1649"/>
      <c r="O4" s="1649"/>
      <c r="P4" s="638"/>
      <c r="Q4" s="636"/>
      <c r="R4" s="637"/>
      <c r="S4" s="1777">
        <f>INDEX(PT_DIFFERENTIATION_NUM_CS,MATCH(C4,PT_DIFFERENTIATION_CS_ID,0))</f>
      </c>
      <c r="T4" s="593" t="s">
        <v>538</v>
      </c>
      <c r="U4" s="584"/>
      <c r="V4" s="2526"/>
      <c r="W4" s="2527"/>
      <c r="X4" s="2527"/>
      <c r="Y4" s="2527"/>
      <c r="Z4" s="2527"/>
      <c r="AA4" s="2527"/>
      <c r="AB4" s="2527"/>
      <c r="AC4" s="2527"/>
      <c r="AD4" s="2527"/>
      <c r="AE4" s="2527"/>
      <c r="AF4" s="2528"/>
      <c r="AG4" s="2526">
        <f>INDEX(PT_DIFFERENTIATION_CS,MATCH(C4,PT_DIFFERENTIATION_CS_ID,0))</f>
      </c>
      <c r="AH4" s="2527"/>
      <c r="AI4" s="2527"/>
      <c r="AJ4" s="2527"/>
      <c r="AK4" s="2527"/>
      <c r="AL4" s="2527"/>
      <c r="AM4" s="2527"/>
      <c r="AN4" s="2527"/>
      <c r="AO4" s="2527"/>
      <c r="AP4" s="2527"/>
      <c r="AQ4" s="2527"/>
      <c r="AR4" s="2528"/>
      <c r="AS4" s="1542" t="s">
        <v>539</v>
      </c>
      <c r="AU4" s="784"/>
      <c r="AV4" s="784" t="str">
        <f>IF(T4="","",T4)</f>
        <v>Наименование централизованной системы горячего водоснабжения</v>
      </c>
      <c r="AW4" s="784"/>
      <c r="AX4" s="784"/>
      <c r="AY4" s="1439">
        <v>0</v>
      </c>
    </row>
    <row customHeight="1" ht="23.25" hidden="1">
      <c r="A5" s="1647"/>
      <c r="B5" s="1647"/>
      <c r="C5" s="1647"/>
      <c r="D5" s="1647"/>
      <c r="E5" s="2543"/>
      <c r="F5" s="2543"/>
      <c r="G5" s="2543"/>
      <c r="H5" s="2543"/>
      <c r="I5" s="2540">
        <f>S4&amp;".1"</f>
      </c>
      <c r="J5" s="1647"/>
      <c r="K5" s="1647"/>
      <c r="L5" s="1648"/>
      <c r="P5" s="2541">
        <v>1</v>
      </c>
      <c r="Q5" s="1765"/>
      <c r="R5" s="640"/>
      <c r="S5" s="1777">
        <f>$I5</f>
      </c>
      <c r="T5" s="569" t="s">
        <v>491</v>
      </c>
      <c r="U5" s="584"/>
      <c r="V5" s="2634"/>
      <c r="W5" s="2635"/>
      <c r="X5" s="2635"/>
      <c r="Y5" s="2635"/>
      <c r="Z5" s="2635"/>
      <c r="AA5" s="2635"/>
      <c r="AB5" s="2635"/>
      <c r="AC5" s="2635"/>
      <c r="AD5" s="2635"/>
      <c r="AE5" s="2635"/>
      <c r="AF5" s="2636"/>
      <c r="AG5" s="2637"/>
      <c r="AH5" s="2638"/>
      <c r="AI5" s="2638"/>
      <c r="AJ5" s="2638"/>
      <c r="AK5" s="2638"/>
      <c r="AL5" s="2638"/>
      <c r="AM5" s="2638"/>
      <c r="AN5" s="2638"/>
      <c r="AO5" s="2638"/>
      <c r="AP5" s="2638"/>
      <c r="AQ5" s="2638"/>
      <c r="AR5" s="2639"/>
      <c r="AS5" s="1542" t="s">
        <v>492</v>
      </c>
      <c r="AU5" s="784"/>
      <c r="AV5" s="784" t="str">
        <f>IF(T5="","",T5)</f>
        <v>Наименование признака дифференциации</v>
      </c>
      <c r="AW5" s="784"/>
      <c r="AX5" s="784"/>
      <c r="AY5" s="1439">
        <v>0</v>
      </c>
    </row>
    <row customHeight="1" ht="23.25" hidden="1">
      <c r="A6" s="1647"/>
      <c r="B6" s="1647"/>
      <c r="C6" s="1647"/>
      <c r="D6" s="1647"/>
      <c r="E6" s="2543"/>
      <c r="F6" s="2543"/>
      <c r="G6" s="2543"/>
      <c r="H6" s="2543"/>
      <c r="I6" s="2570"/>
      <c r="J6" s="2540">
        <f>I5&amp;".1"</f>
      </c>
      <c r="K6" s="1647"/>
      <c r="L6" s="1648" t="s">
        <v>411</v>
      </c>
      <c r="P6" s="2541"/>
      <c r="Q6" s="2541">
        <v>1</v>
      </c>
      <c r="R6" s="641"/>
      <c r="S6" s="1777">
        <f>$J6</f>
      </c>
      <c r="T6" s="570" t="s">
        <v>412</v>
      </c>
      <c r="U6" s="584"/>
      <c r="V6" s="2529"/>
      <c r="W6" s="2530"/>
      <c r="X6" s="2530"/>
      <c r="Y6" s="2530"/>
      <c r="Z6" s="2530"/>
      <c r="AA6" s="2530"/>
      <c r="AB6" s="2530"/>
      <c r="AC6" s="2530"/>
      <c r="AD6" s="2530"/>
      <c r="AE6" s="2530"/>
      <c r="AF6" s="2531"/>
      <c r="AG6" s="2529"/>
      <c r="AH6" s="2530"/>
      <c r="AI6" s="2530"/>
      <c r="AJ6" s="2530"/>
      <c r="AK6" s="2530"/>
      <c r="AL6" s="2530"/>
      <c r="AM6" s="2530"/>
      <c r="AN6" s="2530"/>
      <c r="AO6" s="2530"/>
      <c r="AP6" s="2530"/>
      <c r="AQ6" s="2530"/>
      <c r="AR6" s="2531"/>
      <c r="AS6" s="1591" t="s">
        <v>493</v>
      </c>
      <c r="AU6" s="784"/>
      <c r="AV6" s="784" t="str">
        <f>IF(T6="","",T6)</f>
        <v>Группа потребителей</v>
      </c>
      <c r="AW6" s="784"/>
      <c r="AX6" s="784"/>
      <c r="AY6" s="1439">
        <v>0</v>
      </c>
    </row>
    <row customHeight="1" ht="23.25" hidden="1">
      <c r="A7" s="1647"/>
      <c r="B7" s="1647"/>
      <c r="C7" s="1647"/>
      <c r="D7" s="1647"/>
      <c r="E7" s="2543"/>
      <c r="F7" s="2543"/>
      <c r="G7" s="2543"/>
      <c r="H7" s="2543"/>
      <c r="I7" s="2570"/>
      <c r="J7" s="2570"/>
      <c r="K7" s="2540">
        <f>J6&amp;".1"</f>
      </c>
      <c r="L7" s="1648"/>
      <c r="P7" s="2541"/>
      <c r="Q7" s="2541"/>
      <c r="R7" s="641">
        <v>1</v>
      </c>
      <c r="S7" s="1777">
        <f>$K7</f>
      </c>
      <c r="T7" s="1721"/>
      <c r="U7" s="584"/>
      <c r="V7" s="1035"/>
      <c r="W7" s="1035"/>
      <c r="X7" s="1035"/>
      <c r="Y7" s="1035"/>
      <c r="Z7" s="1035"/>
      <c r="AA7" s="1035"/>
      <c r="AB7" s="1035"/>
      <c r="AC7" s="2549"/>
      <c r="AD7" s="2391" t="s">
        <v>67</v>
      </c>
      <c r="AE7" s="2549"/>
      <c r="AF7" s="2391" t="s">
        <v>67</v>
      </c>
      <c r="AG7" s="1035"/>
      <c r="AH7" s="1035"/>
      <c r="AI7" s="1035"/>
      <c r="AJ7" s="1035"/>
      <c r="AK7" s="1035"/>
      <c r="AL7" s="1035"/>
      <c r="AM7" s="1035"/>
      <c r="AN7" s="2549"/>
      <c r="AO7" s="2391" t="s">
        <v>67</v>
      </c>
      <c r="AP7" s="2571"/>
      <c r="AQ7" s="2391" t="s">
        <v>67</v>
      </c>
      <c r="AR7" s="1722"/>
      <c r="AS7" s="263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795">
        <f>STRCHECKDATE(V8:AR8)</f>
      </c>
      <c r="AU7" s="784"/>
      <c r="AV7" s="784" t="str">
        <f>IF(T7="","",T7)</f>
        <v/>
      </c>
      <c r="AW7" s="784"/>
      <c r="AX7" s="784"/>
      <c r="AY7" s="1439">
        <v>0</v>
      </c>
    </row>
    <row customHeight="1" ht="14.25" hidden="1">
      <c r="A8" s="1647"/>
      <c r="B8" s="1647"/>
      <c r="C8" s="1647"/>
      <c r="D8" s="1647"/>
      <c r="E8" s="2543"/>
      <c r="F8" s="2543"/>
      <c r="G8" s="2543"/>
      <c r="H8" s="2543"/>
      <c r="I8" s="2570"/>
      <c r="J8" s="2570"/>
      <c r="K8" s="2540"/>
      <c r="L8" s="1648"/>
      <c r="P8" s="2541"/>
      <c r="Q8" s="2541"/>
      <c r="R8" s="641"/>
      <c r="S8" s="1774"/>
      <c r="T8" s="584"/>
      <c r="U8" s="584"/>
      <c r="V8" s="609"/>
      <c r="W8" s="609"/>
      <c r="X8" s="609"/>
      <c r="Y8" s="609"/>
      <c r="Z8" s="609"/>
      <c r="AA8" s="609"/>
      <c r="AB8" s="609"/>
      <c r="AC8" s="2550"/>
      <c r="AD8" s="2391"/>
      <c r="AE8" s="2550"/>
      <c r="AF8" s="2391"/>
      <c r="AG8" s="609"/>
      <c r="AH8" s="609"/>
      <c r="AI8" s="609"/>
      <c r="AJ8" s="609"/>
      <c r="AK8" s="609"/>
      <c r="AL8" s="609"/>
      <c r="AM8" s="609"/>
      <c r="AN8" s="2550"/>
      <c r="AO8" s="2391"/>
      <c r="AP8" s="2572"/>
      <c r="AQ8" s="2391"/>
      <c r="AR8" s="1723"/>
      <c r="AS8" s="2633"/>
      <c r="AU8" s="784"/>
      <c r="AV8" s="784" t="str">
        <f>IF(T8="","",T8)</f>
        <v/>
      </c>
      <c r="AW8" s="784"/>
      <c r="AX8" s="784"/>
      <c r="AY8" s="1439">
        <v>0</v>
      </c>
    </row>
    <row customHeight="1" ht="21" hidden="1">
      <c r="A9" s="1647"/>
      <c r="B9" s="1647"/>
      <c r="C9" s="1647"/>
      <c r="D9" s="1647"/>
      <c r="E9" s="2543"/>
      <c r="F9" s="2543"/>
      <c r="G9" s="2543"/>
      <c r="H9" s="2543"/>
      <c r="I9" s="2570"/>
      <c r="J9" s="2540"/>
      <c r="K9" s="1647"/>
      <c r="L9" s="1648"/>
      <c r="P9" s="2541"/>
      <c r="Q9" s="2541"/>
      <c r="R9" s="640"/>
      <c r="S9" s="1562"/>
      <c r="T9" s="571" t="s">
        <v>494</v>
      </c>
      <c r="U9" s="651"/>
      <c r="V9" s="651"/>
      <c r="W9" s="884"/>
      <c r="X9" s="884"/>
      <c r="Y9" s="884"/>
      <c r="Z9" s="884"/>
      <c r="AA9" s="884"/>
      <c r="AB9" s="884"/>
      <c r="AC9" s="651"/>
      <c r="AD9" s="651"/>
      <c r="AE9" s="651"/>
      <c r="AF9" s="651"/>
      <c r="AG9" s="651"/>
      <c r="AH9" s="884"/>
      <c r="AI9" s="884"/>
      <c r="AJ9" s="884"/>
      <c r="AK9" s="884"/>
      <c r="AL9" s="884"/>
      <c r="AM9" s="651"/>
      <c r="AN9" s="651"/>
      <c r="AO9" s="651"/>
      <c r="AP9" s="651"/>
      <c r="AQ9" s="651"/>
      <c r="AR9" s="651"/>
      <c r="AS9" s="1542" t="s">
        <v>495</v>
      </c>
      <c r="AU9" s="784"/>
      <c r="AV9" s="784" t="str">
        <f>IF(T9="","",T9)</f>
        <v>Добавить значение признака дифференциации</v>
      </c>
      <c r="AW9" s="784"/>
      <c r="AX9" s="784"/>
      <c r="AY9" s="1439">
        <v>0</v>
      </c>
    </row>
    <row customHeight="1" ht="21" hidden="1">
      <c r="A10" s="1647"/>
      <c r="B10" s="1647"/>
      <c r="C10" s="1647"/>
      <c r="D10" s="1647"/>
      <c r="E10" s="2543"/>
      <c r="F10" s="2543"/>
      <c r="G10" s="2543"/>
      <c r="H10" s="2543"/>
      <c r="I10" s="2540"/>
      <c r="J10" s="1647"/>
      <c r="K10" s="1647"/>
      <c r="L10" s="1648"/>
      <c r="P10" s="2541"/>
      <c r="Q10" s="1765"/>
      <c r="R10" s="640"/>
      <c r="S10" s="1562"/>
      <c r="T10" s="649" t="s">
        <v>417</v>
      </c>
      <c r="U10" s="651"/>
      <c r="V10" s="651"/>
      <c r="W10" s="884"/>
      <c r="X10" s="884"/>
      <c r="Y10" s="884"/>
      <c r="Z10" s="884"/>
      <c r="AA10" s="884"/>
      <c r="AB10" s="884"/>
      <c r="AC10" s="651"/>
      <c r="AD10" s="651"/>
      <c r="AE10" s="651"/>
      <c r="AF10" s="650"/>
      <c r="AG10" s="651"/>
      <c r="AH10" s="884"/>
      <c r="AI10" s="884"/>
      <c r="AJ10" s="884"/>
      <c r="AK10" s="884"/>
      <c r="AL10" s="884"/>
      <c r="AM10" s="651"/>
      <c r="AN10" s="651"/>
      <c r="AO10" s="651"/>
      <c r="AP10" s="651"/>
      <c r="AQ10" s="650"/>
      <c r="AR10" s="651"/>
      <c r="AS10" s="1724"/>
      <c r="AU10" s="784"/>
      <c r="AV10" s="784" t="str">
        <f>IF(T10="","",T10)</f>
        <v>Добавить группу потребителей</v>
      </c>
      <c r="AW10" s="784"/>
      <c r="AX10" s="784"/>
      <c r="AY10" s="1439">
        <v>0</v>
      </c>
    </row>
    <row customHeight="1" ht="21" hidden="1">
      <c r="A11" s="1647"/>
      <c r="B11" s="1647"/>
      <c r="C11" s="1647"/>
      <c r="D11" s="1647"/>
      <c r="E11" s="2543"/>
      <c r="F11" s="2543"/>
      <c r="G11" s="2543"/>
      <c r="H11" s="2542"/>
      <c r="I11" s="1647"/>
      <c r="J11" s="1647"/>
      <c r="K11" s="1647"/>
      <c r="L11" s="1648"/>
      <c r="M11" s="1649"/>
      <c r="N11" s="1649"/>
      <c r="O11" s="821"/>
      <c r="P11" s="644"/>
      <c r="Q11" s="659"/>
      <c r="R11" s="639"/>
      <c r="S11" s="1562"/>
      <c r="T11" s="656" t="s">
        <v>496</v>
      </c>
      <c r="U11" s="651"/>
      <c r="V11" s="651"/>
      <c r="W11" s="884"/>
      <c r="X11" s="884"/>
      <c r="Y11" s="884"/>
      <c r="Z11" s="884"/>
      <c r="AA11" s="884"/>
      <c r="AB11" s="884"/>
      <c r="AC11" s="651"/>
      <c r="AD11" s="651"/>
      <c r="AE11" s="651"/>
      <c r="AF11" s="650"/>
      <c r="AG11" s="651"/>
      <c r="AH11" s="884"/>
      <c r="AI11" s="884"/>
      <c r="AJ11" s="884"/>
      <c r="AK11" s="884"/>
      <c r="AL11" s="884"/>
      <c r="AM11" s="651"/>
      <c r="AN11" s="651"/>
      <c r="AO11" s="651"/>
      <c r="AP11" s="651"/>
      <c r="AQ11" s="650"/>
      <c r="AR11" s="651"/>
      <c r="AS11" s="587"/>
      <c r="AU11" s="784"/>
      <c r="AV11" s="784" t="str">
        <f>IF(T11="","",T11)</f>
        <v>Добавить наименование признака дифференциации</v>
      </c>
      <c r="AW11" s="784"/>
      <c r="AX11" s="784"/>
      <c r="AY11" s="1439">
        <v>0</v>
      </c>
    </row>
    <row s="14158" customFormat="1" customHeight="1" ht="14.25" hidden="1">
      <c r="A12" s="1627"/>
      <c r="B12" s="1627"/>
      <c r="C12" s="1598"/>
      <c r="D12" s="1598"/>
      <c r="E12" s="2543"/>
      <c r="F12" s="2542"/>
      <c r="G12" s="1598"/>
      <c r="H12" s="1598"/>
      <c r="I12" s="1598"/>
      <c r="J12" s="1598"/>
      <c r="K12" s="1598"/>
      <c r="L12" s="1778"/>
      <c r="M12" s="1605"/>
      <c r="N12" s="1605"/>
      <c r="P12" s="1600"/>
      <c r="Q12" s="1601"/>
      <c r="R12" s="1600"/>
      <c r="S12" s="1606"/>
      <c r="T12" s="1609" t="s">
        <v>170</v>
      </c>
      <c r="U12" s="1608"/>
      <c r="V12" s="1608"/>
      <c r="W12" s="1608"/>
      <c r="X12" s="1608"/>
      <c r="Y12" s="1608"/>
      <c r="Z12" s="1608"/>
      <c r="AA12" s="1608"/>
      <c r="AB12" s="1608"/>
      <c r="AC12" s="1608"/>
      <c r="AD12" s="1608"/>
      <c r="AE12" s="1608"/>
      <c r="AF12" s="1608"/>
      <c r="AG12" s="1608"/>
      <c r="AH12" s="1608"/>
      <c r="AI12" s="1608"/>
      <c r="AJ12" s="1608"/>
      <c r="AK12" s="1608"/>
      <c r="AL12" s="1608"/>
      <c r="AM12" s="1608"/>
      <c r="AN12" s="1608"/>
      <c r="AO12" s="1608"/>
      <c r="AP12" s="1608"/>
      <c r="AQ12" s="1608"/>
      <c r="AR12" s="1608"/>
      <c r="AS12" s="1608"/>
      <c r="AU12" s="1073"/>
      <c r="AV12" s="1073" t="str">
        <f>IF(T12="","",T12)</f>
        <v>Добавить централизованную систему для дифференциации</v>
      </c>
      <c r="AW12" s="1073"/>
      <c r="AX12" s="1073"/>
      <c r="AY12" s="802">
        <v>0</v>
      </c>
    </row>
    <row s="14158" customFormat="1" customHeight="1" ht="14.25" hidden="1">
      <c r="A13" s="1627"/>
      <c r="B13" s="1627"/>
      <c r="C13" s="1627"/>
      <c r="D13" s="1627"/>
      <c r="E13" s="2542"/>
      <c r="F13" s="1627"/>
      <c r="G13" s="1627"/>
      <c r="H13" s="1627"/>
      <c r="I13" s="1627"/>
      <c r="J13" s="1627"/>
      <c r="K13" s="1627"/>
      <c r="L13" s="1630"/>
      <c r="M13" s="1605"/>
      <c r="N13" s="1605"/>
      <c r="O13" s="802"/>
      <c r="P13" s="664"/>
      <c r="Q13" s="1628"/>
      <c r="R13" s="664"/>
      <c r="S13" s="1606"/>
      <c r="T13" s="1609" t="s">
        <v>171</v>
      </c>
      <c r="U13" s="1608"/>
      <c r="V13" s="1608"/>
      <c r="W13" s="1608"/>
      <c r="X13" s="1608"/>
      <c r="Y13" s="1608"/>
      <c r="Z13" s="1608"/>
      <c r="AA13" s="1608"/>
      <c r="AB13" s="1608"/>
      <c r="AC13" s="1608"/>
      <c r="AD13" s="1608"/>
      <c r="AE13" s="1608"/>
      <c r="AF13" s="1608"/>
      <c r="AG13" s="1608"/>
      <c r="AH13" s="1608"/>
      <c r="AI13" s="1608"/>
      <c r="AJ13" s="1608"/>
      <c r="AK13" s="1608"/>
      <c r="AL13" s="1608"/>
      <c r="AM13" s="1608"/>
      <c r="AN13" s="1608"/>
      <c r="AO13" s="1608"/>
      <c r="AP13" s="1608"/>
      <c r="AQ13" s="1608"/>
      <c r="AR13" s="1608"/>
      <c r="AS13" s="1608"/>
      <c r="AU13" s="784"/>
      <c r="AV13" s="784" t="str">
        <f>IF(T13="","",T13)</f>
        <v>Добавить территорию для дифференциации</v>
      </c>
      <c r="AW13" s="784"/>
      <c r="AX13" s="784"/>
      <c r="AY13" s="795">
        <v>0</v>
      </c>
    </row>
    <row customHeight="1" ht="14.25" hidden="1">
      <c r="AF14" s="611"/>
      <c r="AQ14" s="611"/>
      <c r="AY14" s="1439">
        <v>0</v>
      </c>
    </row>
    <row customHeight="1" ht="14.25" hidden="1">
      <c r="AG15" s="1644"/>
      <c r="AH15" s="1644"/>
      <c r="AI15" s="1644"/>
      <c r="AJ15" s="1644"/>
      <c r="AK15" s="1644"/>
      <c r="AL15" s="1644"/>
      <c r="AM15" s="1644"/>
      <c r="AN15" s="2551"/>
      <c r="AO15" s="2552" t="s">
        <v>67</v>
      </c>
      <c r="AP15" s="2551"/>
      <c r="AQ15" s="2552" t="s">
        <v>67</v>
      </c>
      <c r="AY15" s="1439">
        <v>0</v>
      </c>
    </row>
    <row customHeight="1" ht="14.25" hidden="1">
      <c r="AG16" s="1644"/>
      <c r="AH16" s="1644"/>
      <c r="AI16" s="1644"/>
      <c r="AJ16" s="1644"/>
      <c r="AK16" s="1644"/>
      <c r="AL16" s="1644"/>
      <c r="AM16" s="1644"/>
      <c r="AN16" s="2552"/>
      <c r="AO16" s="2552"/>
      <c r="AP16" s="2552"/>
      <c r="AQ16" s="2552"/>
      <c r="AY16" s="1439">
        <v>0</v>
      </c>
    </row>
    <row customHeight="1" ht="14.25" hidden="1">
      <c r="AQ17" s="611"/>
      <c r="AY17" s="1439">
        <v>0</v>
      </c>
    </row>
    <row s="14157" customFormat="1" customHeight="1" ht="22.5" hidden="1">
      <c r="L18" s="1762"/>
      <c r="M18" s="1646"/>
      <c r="N18" s="1646"/>
      <c r="O18" s="1651" t="s">
        <v>419</v>
      </c>
      <c r="P18" s="1646"/>
      <c r="Q18" s="1655"/>
      <c r="R18" s="1655"/>
      <c r="S18" s="1013"/>
      <c r="W18" s="1650"/>
      <c r="X18" s="1650"/>
      <c r="Y18" s="1650"/>
      <c r="Z18" s="1650"/>
      <c r="AA18" s="1650"/>
      <c r="AB18" s="1650"/>
      <c r="AC18" s="1651"/>
      <c r="AE18" s="1651"/>
      <c r="AF18" s="1650"/>
      <c r="AH18" s="1650"/>
      <c r="AI18" s="1650"/>
      <c r="AJ18" s="1650"/>
      <c r="AK18" s="1650"/>
      <c r="AL18" s="1650"/>
      <c r="AN18" s="1651"/>
      <c r="AP18" s="1651"/>
      <c r="AQ18" s="1650"/>
      <c r="AT18" s="795"/>
      <c r="AU18" s="795"/>
      <c r="AV18" s="795"/>
      <c r="AW18" s="795"/>
      <c r="AX18" s="795"/>
      <c r="AY18" s="1444">
        <v>0</v>
      </c>
    </row>
    <row s="14157" customFormat="1" customHeight="1" ht="14.25" hidden="1">
      <c r="L19" s="1762"/>
      <c r="M19" s="1646"/>
      <c r="N19" s="1646"/>
      <c r="O19" s="1646"/>
      <c r="P19" s="1646"/>
      <c r="Q19" s="1655"/>
      <c r="R19" s="1655"/>
      <c r="S19" s="1013"/>
      <c r="W19" s="1650"/>
      <c r="X19" s="1650"/>
      <c r="Y19" s="1650"/>
      <c r="Z19" s="1650"/>
      <c r="AA19" s="1650"/>
      <c r="AB19" s="1650"/>
      <c r="AF19" s="1650"/>
      <c r="AH19" s="1650"/>
      <c r="AI19" s="1650"/>
      <c r="AJ19" s="1650"/>
      <c r="AK19" s="1650"/>
      <c r="AL19" s="1650"/>
      <c r="AQ19" s="1650"/>
      <c r="AT19" s="795"/>
      <c r="AU19" s="795"/>
      <c r="AV19" s="795"/>
      <c r="AW19" s="795"/>
      <c r="AX19" s="795"/>
      <c r="AY19" s="1444">
        <v>0</v>
      </c>
    </row>
    <row s="14157" customFormat="1" customHeight="1" ht="12" hidden="1">
      <c r="L20" s="1762"/>
      <c r="M20" s="1646"/>
      <c r="N20" s="1646"/>
      <c r="O20" s="1648" t="s">
        <v>420</v>
      </c>
      <c r="P20" s="1646"/>
      <c r="Q20" s="1726"/>
      <c r="R20" s="1726"/>
      <c r="S20" s="1013"/>
      <c r="T20" s="1444" t="s">
        <v>421</v>
      </c>
      <c r="W20" s="1650"/>
      <c r="X20" s="1650"/>
      <c r="Y20" s="1650"/>
      <c r="Z20" s="1650"/>
      <c r="AA20" s="1650"/>
      <c r="AB20" s="1650"/>
      <c r="AD20" s="470" t="s">
        <v>422</v>
      </c>
      <c r="AF20" s="470" t="s">
        <v>423</v>
      </c>
      <c r="AG20" s="1444" t="s">
        <v>421</v>
      </c>
      <c r="AH20" s="1650"/>
      <c r="AI20" s="1650"/>
      <c r="AJ20" s="1650"/>
      <c r="AK20" s="1650"/>
      <c r="AL20" s="1650"/>
      <c r="AO20" s="470" t="s">
        <v>424</v>
      </c>
      <c r="AQ20" s="470" t="s">
        <v>423</v>
      </c>
      <c r="AY20" s="1444">
        <v>0</v>
      </c>
    </row>
    <row customHeight="1" ht="14.25" hidden="1">
      <c r="O21" s="1648"/>
      <c r="AY21" s="1439">
        <v>0</v>
      </c>
    </row>
    <row customHeight="1" ht="14.25" hidden="1">
      <c r="O22" s="1648"/>
      <c r="AY22" s="1439">
        <v>0</v>
      </c>
    </row>
    <row customHeight="1" ht="14.699999999999998">
      <c r="Q23" s="660"/>
      <c r="R23" s="660"/>
      <c r="S23" s="1559"/>
      <c r="T23" s="647"/>
      <c r="U23" s="647"/>
      <c r="V23" s="793"/>
      <c r="W23" s="1919"/>
      <c r="X23" s="1919"/>
      <c r="Y23" s="1919"/>
      <c r="Z23" s="1919"/>
      <c r="AA23" s="1919"/>
      <c r="AB23" s="1919"/>
      <c r="AC23" s="793"/>
      <c r="AD23" s="793"/>
      <c r="AE23" s="793"/>
      <c r="AF23" s="793"/>
      <c r="AG23" s="793"/>
      <c r="AH23" s="1919"/>
      <c r="AI23" s="1919"/>
      <c r="AJ23" s="1919"/>
      <c r="AK23" s="1919"/>
      <c r="AL23" s="1919"/>
      <c r="AM23" s="793"/>
      <c r="AN23" s="793"/>
      <c r="AO23" s="793"/>
      <c r="AP23" s="793"/>
      <c r="AQ23" s="793"/>
      <c r="AY23" s="1439">
        <v>14</v>
      </c>
    </row>
    <row customHeight="1" ht="26.25">
      <c r="Q24" s="660"/>
      <c r="R24" s="660"/>
      <c r="S24" s="2532"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532"/>
      <c r="U24" s="2532"/>
      <c r="V24" s="2532"/>
      <c r="W24" s="2532"/>
      <c r="X24" s="2532"/>
      <c r="Y24" s="2532"/>
      <c r="Z24" s="2532"/>
      <c r="AA24" s="2532"/>
      <c r="AB24" s="2532"/>
      <c r="AC24" s="2532"/>
      <c r="AD24" s="2532"/>
      <c r="AE24" s="2532"/>
      <c r="AF24" s="2532"/>
      <c r="AG24" s="2532"/>
      <c r="AH24" s="2532"/>
      <c r="AI24" s="2532"/>
      <c r="AJ24" s="2532"/>
      <c r="AK24" s="2532"/>
      <c r="AL24" s="2532"/>
      <c r="AM24" s="2532"/>
      <c r="AN24" s="2532"/>
      <c r="AO24" s="2532"/>
      <c r="AP24" s="2532"/>
      <c r="AQ24" s="1527"/>
      <c r="AY24" s="1439">
        <v>25</v>
      </c>
    </row>
    <row customHeight="1" ht="14.699999999999998">
      <c r="Q25" s="660"/>
      <c r="R25" s="660"/>
      <c r="S25" s="2533" t="str">
        <f>IF(org=0,"Не определено",org)</f>
        <v>МУП г. Азова "Теплоэнерго"</v>
      </c>
      <c r="T25" s="2533"/>
      <c r="U25" s="2533"/>
      <c r="V25" s="2533"/>
      <c r="W25" s="2533"/>
      <c r="X25" s="2533"/>
      <c r="Y25" s="2533"/>
      <c r="Z25" s="2533"/>
      <c r="AA25" s="2533"/>
      <c r="AB25" s="2533"/>
      <c r="AC25" s="2533"/>
      <c r="AD25" s="2533"/>
      <c r="AE25" s="2533"/>
      <c r="AF25" s="2533"/>
      <c r="AG25" s="2533"/>
      <c r="AH25" s="2533"/>
      <c r="AI25" s="2533"/>
      <c r="AJ25" s="2533"/>
      <c r="AK25" s="2533"/>
      <c r="AL25" s="2533"/>
      <c r="AM25" s="2533"/>
      <c r="AN25" s="2533"/>
      <c r="AO25" s="2533"/>
      <c r="AP25" s="2533"/>
      <c r="AQ25" s="1527"/>
      <c r="AY25" s="1439">
        <v>14</v>
      </c>
    </row>
    <row customHeight="1" ht="14.25" hidden="1">
      <c r="Q26" s="660"/>
      <c r="R26" s="660"/>
      <c r="S26" s="1559"/>
      <c r="T26" s="647"/>
      <c r="U26" s="647"/>
      <c r="V26" s="606"/>
      <c r="W26" s="606"/>
      <c r="X26" s="606"/>
      <c r="Y26" s="606"/>
      <c r="Z26" s="606"/>
      <c r="AA26" s="606"/>
      <c r="AB26" s="606"/>
      <c r="AC26" s="606"/>
      <c r="AD26" s="606"/>
      <c r="AE26" s="606"/>
      <c r="AF26" s="606"/>
      <c r="AG26" s="606"/>
      <c r="AH26" s="606"/>
      <c r="AI26" s="606"/>
      <c r="AJ26" s="606"/>
      <c r="AK26" s="606"/>
      <c r="AL26" s="606"/>
      <c r="AM26" s="606"/>
      <c r="AN26" s="606"/>
      <c r="AO26" s="606"/>
      <c r="AP26" s="606"/>
      <c r="AQ26" s="606"/>
      <c r="AR26" s="793"/>
      <c r="AY26" s="1439">
        <v>0</v>
      </c>
    </row>
    <row s="14284" customFormat="1" customHeight="1" ht="25.5" hidden="1">
      <c r="A27" s="1652"/>
      <c r="B27" s="1652"/>
      <c r="C27" s="1652"/>
      <c r="D27" s="1652"/>
      <c r="E27" s="1652"/>
      <c r="F27" s="1652"/>
      <c r="G27" s="1652"/>
      <c r="H27" s="1652"/>
      <c r="I27" s="1652"/>
      <c r="J27" s="1652"/>
      <c r="K27" s="1652"/>
      <c r="L27" s="1653"/>
      <c r="M27" s="1652"/>
      <c r="N27" s="1652"/>
      <c r="O27" s="1652"/>
      <c r="S27" s="2534" t="s">
        <v>42</v>
      </c>
      <c r="T27" s="2534"/>
      <c r="U27" s="1656"/>
      <c r="V27" s="2535" t="str">
        <f>IF(TITLE_NAME_OR_PR_CHANGE="",IF(TITLE_NAME_OR_PR="","",TITLE_NAME_OR_PR),TITLE_NAME_OR_PR_CHANGE)</f>
        <v/>
      </c>
      <c r="W27" s="2535"/>
      <c r="X27" s="2535"/>
      <c r="Y27" s="2535"/>
      <c r="Z27" s="2535"/>
      <c r="AA27" s="2535"/>
      <c r="AB27" s="2535"/>
      <c r="AC27" s="2535"/>
      <c r="AD27" s="2535"/>
      <c r="AE27" s="2535"/>
      <c r="AF27" s="610"/>
      <c r="AG27" s="2535" t="str">
        <f>IF(TITLE_NAME_OR_PR_CHANGE="",IF(TITLE_NAME_OR_PR="","",TITLE_NAME_OR_PR),TITLE_NAME_OR_PR_CHANGE)</f>
        <v/>
      </c>
      <c r="AH27" s="2535"/>
      <c r="AI27" s="2535"/>
      <c r="AJ27" s="2535"/>
      <c r="AK27" s="2535"/>
      <c r="AL27" s="2535"/>
      <c r="AM27" s="2535"/>
      <c r="AN27" s="2535"/>
      <c r="AO27" s="2535"/>
      <c r="AP27" s="2535"/>
      <c r="AQ27" s="610"/>
      <c r="AR27" s="610"/>
      <c r="AS27" s="564"/>
      <c r="AT27" s="652"/>
      <c r="AU27" s="652"/>
      <c r="AV27" s="652"/>
      <c r="AW27" s="652"/>
      <c r="AX27" s="652"/>
      <c r="AY27" s="702">
        <v>0</v>
      </c>
    </row>
    <row s="14284" customFormat="1" customHeight="1" ht="18.75" hidden="1">
      <c r="A28" s="1652"/>
      <c r="B28" s="1652"/>
      <c r="C28" s="1652"/>
      <c r="D28" s="1652"/>
      <c r="E28" s="1652"/>
      <c r="F28" s="1652"/>
      <c r="G28" s="1652"/>
      <c r="H28" s="1652"/>
      <c r="I28" s="1652"/>
      <c r="J28" s="1652"/>
      <c r="K28" s="1652"/>
      <c r="L28" s="1653"/>
      <c r="M28" s="1652"/>
      <c r="N28" s="1652"/>
      <c r="O28" s="1652"/>
      <c r="S28" s="2534" t="s">
        <v>425</v>
      </c>
      <c r="T28" s="2534"/>
      <c r="U28" s="1656"/>
      <c r="V28" s="2548" t="str">
        <f>IF(TITLE_DATE_PR_CHANGE="",IF(TITLE_DATE_PR="","",TITLE_DATE_PR),TITLE_DATE_PR_CHANGE)</f>
        <v>45471</v>
      </c>
      <c r="W28" s="2548"/>
      <c r="X28" s="2548"/>
      <c r="Y28" s="2548"/>
      <c r="Z28" s="2548"/>
      <c r="AA28" s="2548"/>
      <c r="AB28" s="2548"/>
      <c r="AC28" s="2548"/>
      <c r="AD28" s="2548"/>
      <c r="AE28" s="2548"/>
      <c r="AF28" s="610"/>
      <c r="AG28" s="2548" t="str">
        <f>IF(TITLE_DATE_PR_CHANGE="",IF(TITLE_DATE_PR="","",TITLE_DATE_PR),TITLE_DATE_PR_CHANGE)</f>
        <v>45471</v>
      </c>
      <c r="AH28" s="2548"/>
      <c r="AI28" s="2548"/>
      <c r="AJ28" s="2548"/>
      <c r="AK28" s="2548"/>
      <c r="AL28" s="2548"/>
      <c r="AM28" s="2548"/>
      <c r="AN28" s="2548"/>
      <c r="AO28" s="2548"/>
      <c r="AP28" s="2548"/>
      <c r="AQ28" s="610"/>
      <c r="AR28" s="610"/>
      <c r="AS28" s="564"/>
      <c r="AT28" s="652"/>
      <c r="AU28" s="652"/>
      <c r="AV28" s="652"/>
      <c r="AW28" s="652"/>
      <c r="AX28" s="652"/>
      <c r="AY28" s="702">
        <v>0</v>
      </c>
    </row>
    <row s="14284" customFormat="1" customHeight="1" ht="18.75" hidden="1">
      <c r="A29" s="1652"/>
      <c r="B29" s="1652"/>
      <c r="C29" s="1652"/>
      <c r="D29" s="1652"/>
      <c r="E29" s="1652"/>
      <c r="F29" s="1652"/>
      <c r="G29" s="1652"/>
      <c r="H29" s="1652"/>
      <c r="I29" s="1652"/>
      <c r="J29" s="1652"/>
      <c r="K29" s="1652"/>
      <c r="L29" s="1653"/>
      <c r="M29" s="1652"/>
      <c r="N29" s="1652"/>
      <c r="O29" s="1652"/>
      <c r="S29" s="2534" t="s">
        <v>426</v>
      </c>
      <c r="T29" s="2534"/>
      <c r="U29" s="1656"/>
      <c r="V29" s="2535" t="str">
        <f>IF(TITLE_NUMBER_PR_CHANGE="",IF(TITLE_NUMBER_PR="","",TITLE_NUMBER_PR),TITLE_NUMBER_PR_CHANGE)</f>
        <v>50/18-01/261</v>
      </c>
      <c r="W29" s="2535"/>
      <c r="X29" s="2535"/>
      <c r="Y29" s="2535"/>
      <c r="Z29" s="2535"/>
      <c r="AA29" s="2535"/>
      <c r="AB29" s="2535"/>
      <c r="AC29" s="2535"/>
      <c r="AD29" s="2535"/>
      <c r="AE29" s="2535"/>
      <c r="AF29" s="610"/>
      <c r="AG29" s="2535" t="str">
        <f>IF(TITLE_NUMBER_PR_CHANGE="",IF(TITLE_NUMBER_PR="","",TITLE_NUMBER_PR),TITLE_NUMBER_PR_CHANGE)</f>
        <v>50/18-01/261</v>
      </c>
      <c r="AH29" s="2535"/>
      <c r="AI29" s="2535"/>
      <c r="AJ29" s="2535"/>
      <c r="AK29" s="2535"/>
      <c r="AL29" s="2535"/>
      <c r="AM29" s="2535"/>
      <c r="AN29" s="2535"/>
      <c r="AO29" s="2535"/>
      <c r="AP29" s="2535"/>
      <c r="AQ29" s="610"/>
      <c r="AR29" s="610"/>
      <c r="AS29" s="564"/>
      <c r="AT29" s="652"/>
      <c r="AU29" s="652"/>
      <c r="AV29" s="652"/>
      <c r="AW29" s="652"/>
      <c r="AX29" s="652"/>
      <c r="AY29" s="702">
        <v>0</v>
      </c>
    </row>
    <row s="14284" customFormat="1" customHeight="1" ht="18.75" hidden="1">
      <c r="A30" s="1652"/>
      <c r="B30" s="1652"/>
      <c r="C30" s="1652"/>
      <c r="D30" s="1652"/>
      <c r="E30" s="1652"/>
      <c r="F30" s="1652"/>
      <c r="G30" s="1652"/>
      <c r="H30" s="1652"/>
      <c r="I30" s="1652"/>
      <c r="J30" s="1652"/>
      <c r="K30" s="1652"/>
      <c r="L30" s="1653"/>
      <c r="M30" s="1652"/>
      <c r="N30" s="1652"/>
      <c r="O30" s="1652"/>
      <c r="S30" s="2534" t="s">
        <v>43</v>
      </c>
      <c r="T30" s="2534"/>
      <c r="U30" s="1656"/>
      <c r="V30" s="2535" t="str">
        <f>IF(TITLE_IST_PUB_CHANGE="",IF(TITLE_IST_PUB="","",TITLE_IST_PUB),TITLE_IST_PUB_CHANGE)</f>
        <v/>
      </c>
      <c r="W30" s="2535"/>
      <c r="X30" s="2535"/>
      <c r="Y30" s="2535"/>
      <c r="Z30" s="2535"/>
      <c r="AA30" s="2535"/>
      <c r="AB30" s="2535"/>
      <c r="AC30" s="2535"/>
      <c r="AD30" s="2535"/>
      <c r="AE30" s="2535"/>
      <c r="AF30" s="610"/>
      <c r="AG30" s="2535" t="str">
        <f>IF(TITLE_IST_PUB_CHANGE="",IF(TITLE_IST_PUB="","",TITLE_IST_PUB),TITLE_IST_PUB_CHANGE)</f>
        <v/>
      </c>
      <c r="AH30" s="2535"/>
      <c r="AI30" s="2535"/>
      <c r="AJ30" s="2535"/>
      <c r="AK30" s="2535"/>
      <c r="AL30" s="2535"/>
      <c r="AM30" s="2535"/>
      <c r="AN30" s="2535"/>
      <c r="AO30" s="2535"/>
      <c r="AP30" s="2535"/>
      <c r="AQ30" s="610"/>
      <c r="AR30" s="610"/>
      <c r="AS30" s="564"/>
      <c r="AT30" s="652"/>
      <c r="AU30" s="652"/>
      <c r="AV30" s="652"/>
      <c r="AW30" s="652"/>
      <c r="AX30" s="652"/>
      <c r="AY30" s="702">
        <v>0</v>
      </c>
    </row>
    <row customHeight="1" ht="14.25">
      <c r="Q31" s="660"/>
      <c r="R31" s="660"/>
      <c r="S31" s="1559"/>
      <c r="T31" s="647"/>
      <c r="U31" s="647"/>
      <c r="V31" s="606"/>
      <c r="W31" s="606"/>
      <c r="X31" s="606"/>
      <c r="Y31" s="606"/>
      <c r="Z31" s="606"/>
      <c r="AA31" s="606"/>
      <c r="AB31" s="606"/>
      <c r="AC31" s="606"/>
      <c r="AD31" s="606"/>
      <c r="AE31" s="606"/>
      <c r="AF31" s="606"/>
      <c r="AG31" s="606"/>
      <c r="AH31" s="606"/>
      <c r="AI31" s="606"/>
      <c r="AJ31" s="606"/>
      <c r="AK31" s="606"/>
      <c r="AL31" s="606"/>
      <c r="AM31" s="606"/>
      <c r="AN31" s="606"/>
      <c r="AO31" s="606"/>
      <c r="AP31" s="606"/>
      <c r="AQ31" s="606"/>
      <c r="AR31" s="793"/>
      <c r="AY31" s="1439">
        <v>0</v>
      </c>
    </row>
    <row s="14284" customFormat="1" customHeight="1" ht="18.75">
      <c r="A32" s="1652"/>
      <c r="B32" s="1652"/>
      <c r="C32" s="1652"/>
      <c r="D32" s="1652"/>
      <c r="E32" s="1652"/>
      <c r="F32" s="1652"/>
      <c r="G32" s="1652"/>
      <c r="H32" s="1652"/>
      <c r="I32" s="1652"/>
      <c r="J32" s="1652"/>
      <c r="K32" s="1652"/>
      <c r="L32" s="1653"/>
      <c r="M32" s="1652"/>
      <c r="N32" s="1652"/>
      <c r="O32" s="1652"/>
      <c r="S32" s="2534" t="s">
        <v>427</v>
      </c>
      <c r="T32" s="2534"/>
      <c r="U32" s="1656"/>
      <c r="V32" s="2548" t="str">
        <f>IF(TITLE_DATE_PR_CHANGE="",IF(TITLE_DATE_PR="","",TITLE_DATE_PR),TITLE_DATE_PR_CHANGE)</f>
        <v>45471</v>
      </c>
      <c r="W32" s="2548"/>
      <c r="X32" s="2548"/>
      <c r="Y32" s="2548"/>
      <c r="Z32" s="2548"/>
      <c r="AA32" s="2548"/>
      <c r="AB32" s="2548"/>
      <c r="AC32" s="2548"/>
      <c r="AD32" s="2548"/>
      <c r="AE32" s="2548"/>
      <c r="AF32" s="610"/>
      <c r="AG32" s="2548" t="str">
        <f>IF(TITLE_DATE_PR_CHANGE="",IF(TITLE_DATE_PR="","",TITLE_DATE_PR),TITLE_DATE_PR_CHANGE)</f>
        <v>45471</v>
      </c>
      <c r="AH32" s="2548"/>
      <c r="AI32" s="2548"/>
      <c r="AJ32" s="2548"/>
      <c r="AK32" s="2548"/>
      <c r="AL32" s="2548"/>
      <c r="AM32" s="2548"/>
      <c r="AN32" s="2548"/>
      <c r="AO32" s="2548"/>
      <c r="AP32" s="2548"/>
      <c r="AQ32" s="610"/>
      <c r="AR32" s="610"/>
      <c r="AS32" s="564"/>
      <c r="AT32" s="652"/>
      <c r="AU32" s="652"/>
      <c r="AV32" s="652"/>
      <c r="AW32" s="652"/>
      <c r="AX32" s="652"/>
      <c r="AY32" s="702">
        <v>0</v>
      </c>
    </row>
    <row s="14284" customFormat="1" customHeight="1" ht="18.75">
      <c r="A33" s="1652"/>
      <c r="B33" s="1652"/>
      <c r="C33" s="1652"/>
      <c r="D33" s="1652"/>
      <c r="E33" s="1652"/>
      <c r="F33" s="1652"/>
      <c r="G33" s="1652"/>
      <c r="H33" s="1652"/>
      <c r="I33" s="1652"/>
      <c r="J33" s="1652"/>
      <c r="K33" s="1652"/>
      <c r="L33" s="1653"/>
      <c r="M33" s="1652"/>
      <c r="N33" s="1652"/>
      <c r="O33" s="1652"/>
      <c r="S33" s="2534" t="s">
        <v>428</v>
      </c>
      <c r="T33" s="2534"/>
      <c r="U33" s="1656"/>
      <c r="V33" s="2535" t="str">
        <f>IF(TITLE_NUMBER_PR_CHANGE="",IF(TITLE_NUMBER_PR="","",TITLE_NUMBER_PR),TITLE_NUMBER_PR_CHANGE)</f>
        <v>50/18-01/261</v>
      </c>
      <c r="W33" s="2535"/>
      <c r="X33" s="2535"/>
      <c r="Y33" s="2535"/>
      <c r="Z33" s="2535"/>
      <c r="AA33" s="2535"/>
      <c r="AB33" s="2535"/>
      <c r="AC33" s="2535"/>
      <c r="AD33" s="2535"/>
      <c r="AE33" s="2535"/>
      <c r="AF33" s="610"/>
      <c r="AG33" s="2535" t="str">
        <f>IF(TITLE_NUMBER_PR_CHANGE="",IF(TITLE_NUMBER_PR="","",TITLE_NUMBER_PR),TITLE_NUMBER_PR_CHANGE)</f>
        <v>50/18-01/261</v>
      </c>
      <c r="AH33" s="2535"/>
      <c r="AI33" s="2535"/>
      <c r="AJ33" s="2535"/>
      <c r="AK33" s="2535"/>
      <c r="AL33" s="2535"/>
      <c r="AM33" s="2535"/>
      <c r="AN33" s="2535"/>
      <c r="AO33" s="2535"/>
      <c r="AP33" s="2535"/>
      <c r="AQ33" s="610"/>
      <c r="AR33" s="610"/>
      <c r="AS33" s="564"/>
      <c r="AT33" s="652"/>
      <c r="AU33" s="652"/>
      <c r="AV33" s="652"/>
      <c r="AW33" s="652"/>
      <c r="AX33" s="652"/>
      <c r="AY33" s="702">
        <v>0</v>
      </c>
    </row>
    <row s="14284" customFormat="1" customHeight="1" ht="1.05">
      <c r="A34" s="1652"/>
      <c r="B34" s="1652"/>
      <c r="C34" s="1652"/>
      <c r="D34" s="1652"/>
      <c r="E34" s="1652"/>
      <c r="F34" s="1652"/>
      <c r="G34" s="1652"/>
      <c r="H34" s="1652"/>
      <c r="I34" s="1652"/>
      <c r="J34" s="1652"/>
      <c r="K34" s="1652"/>
      <c r="L34" s="1653"/>
      <c r="M34" s="1652"/>
      <c r="N34" s="1652"/>
      <c r="O34" s="1652"/>
      <c r="S34" s="607"/>
      <c r="T34" s="607"/>
      <c r="U34" s="1772"/>
      <c r="V34" s="610"/>
      <c r="W34" s="1919"/>
      <c r="X34" s="1919"/>
      <c r="Y34" s="1919"/>
      <c r="Z34" s="1919"/>
      <c r="AA34" s="1919"/>
      <c r="AB34" s="1919"/>
      <c r="AC34" s="610"/>
      <c r="AD34" s="610"/>
      <c r="AE34" s="610"/>
      <c r="AF34" s="562" t="s">
        <v>429</v>
      </c>
      <c r="AG34" s="610"/>
      <c r="AH34" s="1919"/>
      <c r="AI34" s="1919"/>
      <c r="AJ34" s="1919"/>
      <c r="AK34" s="1919"/>
      <c r="AL34" s="1919"/>
      <c r="AM34" s="610"/>
      <c r="AN34" s="610"/>
      <c r="AO34" s="610"/>
      <c r="AP34" s="610"/>
      <c r="AQ34" s="562" t="s">
        <v>429</v>
      </c>
      <c r="AT34" s="652"/>
      <c r="AU34" s="652"/>
      <c r="AV34" s="652"/>
      <c r="AW34" s="652"/>
      <c r="AX34" s="652"/>
      <c r="AY34" s="702">
        <v>1</v>
      </c>
    </row>
    <row customHeight="1" ht="14.699999999999998">
      <c r="Q35" s="660"/>
      <c r="R35" s="660"/>
      <c r="S35" s="1559"/>
      <c r="T35" s="647"/>
      <c r="U35" s="1528"/>
      <c r="V35" s="2536"/>
      <c r="W35" s="2536"/>
      <c r="X35" s="2536"/>
      <c r="Y35" s="2536"/>
      <c r="Z35" s="2536"/>
      <c r="AA35" s="2536"/>
      <c r="AB35" s="2536"/>
      <c r="AC35" s="2536"/>
      <c r="AD35" s="2536"/>
      <c r="AE35" s="2536"/>
      <c r="AF35" s="2536"/>
      <c r="AG35" s="2536"/>
      <c r="AH35" s="2536"/>
      <c r="AI35" s="2536"/>
      <c r="AJ35" s="2536"/>
      <c r="AK35" s="2536"/>
      <c r="AL35" s="2536"/>
      <c r="AM35" s="2536"/>
      <c r="AN35" s="2536"/>
      <c r="AO35" s="2536"/>
      <c r="AP35" s="2536"/>
      <c r="AQ35" s="2536"/>
      <c r="AY35" s="1439">
        <v>14</v>
      </c>
    </row>
    <row customHeight="1" ht="14.699999999999998">
      <c r="Q36" s="660"/>
      <c r="R36" s="660"/>
      <c r="S36" s="2411" t="s">
        <v>305</v>
      </c>
      <c r="T36" s="2411"/>
      <c r="U36" s="2411"/>
      <c r="V36" s="2411"/>
      <c r="W36" s="2411"/>
      <c r="X36" s="2411"/>
      <c r="Y36" s="2411"/>
      <c r="Z36" s="2411"/>
      <c r="AA36" s="2411"/>
      <c r="AB36" s="2411"/>
      <c r="AC36" s="2411"/>
      <c r="AD36" s="2411"/>
      <c r="AE36" s="2411"/>
      <c r="AF36" s="2411"/>
      <c r="AG36" s="2411"/>
      <c r="AH36" s="2411"/>
      <c r="AI36" s="2411"/>
      <c r="AJ36" s="2411"/>
      <c r="AK36" s="2411"/>
      <c r="AL36" s="2411"/>
      <c r="AM36" s="2411"/>
      <c r="AN36" s="2411"/>
      <c r="AO36" s="2411"/>
      <c r="AP36" s="2411"/>
      <c r="AQ36" s="2411"/>
      <c r="AR36" s="2411"/>
      <c r="AS36" s="2411" t="s">
        <v>306</v>
      </c>
      <c r="AY36" s="1439">
        <v>14</v>
      </c>
    </row>
    <row customHeight="1" ht="14.699999999999998">
      <c r="Q37" s="660"/>
      <c r="R37" s="660"/>
      <c r="S37" s="2557" t="s">
        <v>89</v>
      </c>
      <c r="T37" s="2493" t="s">
        <v>430</v>
      </c>
      <c r="U37" s="585"/>
      <c r="V37" s="2558" t="s">
        <v>431</v>
      </c>
      <c r="W37" s="2575"/>
      <c r="X37" s="2575"/>
      <c r="Y37" s="2575"/>
      <c r="Z37" s="2575"/>
      <c r="AA37" s="2575"/>
      <c r="AB37" s="2575"/>
      <c r="AC37" s="2559"/>
      <c r="AD37" s="2559"/>
      <c r="AE37" s="2560"/>
      <c r="AF37" s="2561" t="s">
        <v>432</v>
      </c>
      <c r="AG37" s="2558" t="s">
        <v>431</v>
      </c>
      <c r="AH37" s="2559"/>
      <c r="AI37" s="2559"/>
      <c r="AJ37" s="2559"/>
      <c r="AK37" s="2559"/>
      <c r="AL37" s="2559"/>
      <c r="AM37" s="2559"/>
      <c r="AN37" s="2559"/>
      <c r="AO37" s="2559"/>
      <c r="AP37" s="2560"/>
      <c r="AQ37" s="2561" t="s">
        <v>433</v>
      </c>
      <c r="AR37" s="2564" t="s">
        <v>434</v>
      </c>
      <c r="AS37" s="2411"/>
      <c r="AY37" s="1439">
        <v>14</v>
      </c>
    </row>
    <row customHeight="1" ht="19.95">
      <c r="Q38" s="660"/>
      <c r="R38" s="660"/>
      <c r="S38" s="2557"/>
      <c r="T38" s="2493"/>
      <c r="U38" s="1315"/>
      <c r="V38" s="2650" t="s">
        <v>540</v>
      </c>
      <c r="W38" s="2649" t="s">
        <v>541</v>
      </c>
      <c r="X38" s="2649"/>
      <c r="Y38" s="2649"/>
      <c r="Z38" s="2649" t="s">
        <v>542</v>
      </c>
      <c r="AA38" s="2649"/>
      <c r="AB38" s="2649"/>
      <c r="AC38" s="2578" t="s">
        <v>438</v>
      </c>
      <c r="AD38" s="2597"/>
      <c r="AE38" s="2598"/>
      <c r="AF38" s="2562"/>
      <c r="AG38" s="2650" t="s">
        <v>540</v>
      </c>
      <c r="AH38" s="2649" t="s">
        <v>541</v>
      </c>
      <c r="AI38" s="2649"/>
      <c r="AJ38" s="2649"/>
      <c r="AK38" s="2649" t="s">
        <v>542</v>
      </c>
      <c r="AL38" s="2649"/>
      <c r="AM38" s="2649"/>
      <c r="AN38" s="2578" t="s">
        <v>438</v>
      </c>
      <c r="AO38" s="2597"/>
      <c r="AP38" s="2598"/>
      <c r="AQ38" s="2562"/>
      <c r="AR38" s="2565"/>
      <c r="AS38" s="2411"/>
      <c r="AY38" s="1439">
        <v>19</v>
      </c>
    </row>
    <row s="14077" customFormat="1" customHeight="1" ht="19.95">
      <c r="A39" s="1650"/>
      <c r="B39" s="1650"/>
      <c r="C39" s="1650"/>
      <c r="D39" s="1650"/>
      <c r="E39" s="1650"/>
      <c r="F39" s="1650"/>
      <c r="G39" s="1650"/>
      <c r="H39" s="1650"/>
      <c r="I39" s="1650"/>
      <c r="J39" s="1650"/>
      <c r="K39" s="1650"/>
      <c r="L39" s="2235"/>
      <c r="M39" s="1646"/>
      <c r="N39" s="1646"/>
      <c r="O39" s="1646"/>
      <c r="P39" s="2249"/>
      <c r="Q39" s="660"/>
      <c r="R39" s="660"/>
      <c r="S39" s="2557"/>
      <c r="T39" s="2493"/>
      <c r="U39" s="1315"/>
      <c r="V39" s="2650"/>
      <c r="W39" s="2649" t="s">
        <v>543</v>
      </c>
      <c r="X39" s="2649" t="s">
        <v>544</v>
      </c>
      <c r="Y39" s="2649"/>
      <c r="Z39" s="2649" t="s">
        <v>545</v>
      </c>
      <c r="AA39" s="2649" t="s">
        <v>544</v>
      </c>
      <c r="AB39" s="2649"/>
      <c r="AC39" s="2579"/>
      <c r="AD39" s="2599"/>
      <c r="AE39" s="2600"/>
      <c r="AF39" s="2562"/>
      <c r="AG39" s="2650"/>
      <c r="AH39" s="2649" t="s">
        <v>543</v>
      </c>
      <c r="AI39" s="2649" t="s">
        <v>544</v>
      </c>
      <c r="AJ39" s="2649"/>
      <c r="AK39" s="2649" t="s">
        <v>545</v>
      </c>
      <c r="AL39" s="2649" t="s">
        <v>544</v>
      </c>
      <c r="AM39" s="2649"/>
      <c r="AN39" s="2579"/>
      <c r="AO39" s="2599"/>
      <c r="AP39" s="2600"/>
      <c r="AQ39" s="2562"/>
      <c r="AR39" s="2565"/>
      <c r="AS39" s="2411"/>
      <c r="AT39" s="1920"/>
      <c r="AU39" s="1920"/>
      <c r="AV39" s="1920"/>
      <c r="AW39" s="1920"/>
      <c r="AX39" s="1920"/>
      <c r="AY39" s="1915">
        <v>19</v>
      </c>
    </row>
    <row customHeight="1" ht="61.949999999999996">
      <c r="A40" s="1654"/>
      <c r="B40" s="1654" t="s">
        <v>136</v>
      </c>
      <c r="C40" s="1654" t="s">
        <v>137</v>
      </c>
      <c r="D40" s="1654" t="s">
        <v>138</v>
      </c>
      <c r="E40" s="1648" t="s">
        <v>439</v>
      </c>
      <c r="F40" s="1648" t="s">
        <v>440</v>
      </c>
      <c r="G40" s="1648" t="s">
        <v>441</v>
      </c>
      <c r="H40" s="1648"/>
      <c r="I40" s="1648" t="s">
        <v>498</v>
      </c>
      <c r="J40" s="1648" t="s">
        <v>444</v>
      </c>
      <c r="K40" s="1648" t="s">
        <v>499</v>
      </c>
      <c r="L40" s="1648" t="s">
        <v>420</v>
      </c>
      <c r="Q40" s="660"/>
      <c r="R40" s="660"/>
      <c r="S40" s="2557"/>
      <c r="T40" s="2493"/>
      <c r="U40" s="586"/>
      <c r="V40" s="2650"/>
      <c r="W40" s="2649"/>
      <c r="X40" s="2267" t="s">
        <v>546</v>
      </c>
      <c r="Y40" s="2267" t="s">
        <v>547</v>
      </c>
      <c r="Z40" s="2649"/>
      <c r="AA40" s="2267" t="s">
        <v>548</v>
      </c>
      <c r="AB40" s="2267" t="s">
        <v>549</v>
      </c>
      <c r="AC40" s="1773" t="s">
        <v>448</v>
      </c>
      <c r="AD40" s="2554" t="s">
        <v>449</v>
      </c>
      <c r="AE40" s="2555"/>
      <c r="AF40" s="2563"/>
      <c r="AG40" s="2650"/>
      <c r="AH40" s="2649"/>
      <c r="AI40" s="2267" t="s">
        <v>546</v>
      </c>
      <c r="AJ40" s="2267" t="s">
        <v>547</v>
      </c>
      <c r="AK40" s="2649"/>
      <c r="AL40" s="2267" t="s">
        <v>548</v>
      </c>
      <c r="AM40" s="2267" t="s">
        <v>549</v>
      </c>
      <c r="AN40" s="1773" t="s">
        <v>448</v>
      </c>
      <c r="AO40" s="2554" t="s">
        <v>449</v>
      </c>
      <c r="AP40" s="2555"/>
      <c r="AQ40" s="2563"/>
      <c r="AR40" s="2566"/>
      <c r="AS40" s="2411"/>
      <c r="AY40" s="1439">
        <v>59</v>
      </c>
    </row>
    <row s="14730" customFormat="1" customHeight="1" ht="11.25" hidden="1">
      <c r="A41" s="1654"/>
      <c r="B41" s="1654"/>
      <c r="C41" s="1654"/>
      <c r="D41" s="1654"/>
      <c r="E41" s="1654"/>
      <c r="F41" s="1654"/>
      <c r="G41" s="1654"/>
      <c r="H41" s="1654"/>
      <c r="I41" s="1654"/>
      <c r="J41" s="1654"/>
      <c r="K41" s="1654"/>
      <c r="L41" s="1648"/>
      <c r="M41" s="1646"/>
      <c r="N41" s="1646"/>
      <c r="O41" s="1646"/>
      <c r="P41" s="1530"/>
      <c r="Q41" s="1531"/>
      <c r="R41" s="1538">
        <v>1</v>
      </c>
      <c r="S41" s="1561" t="s">
        <v>110</v>
      </c>
      <c r="T41" s="1539" t="s">
        <v>111</v>
      </c>
      <c r="U41" s="1529" t="str">
        <f>OFFSET(U41,0,-1)</f>
        <v>2</v>
      </c>
      <c r="V41" s="1766">
        <f>OFFSET(V41,0,-1)+1</f>
        <v>3</v>
      </c>
      <c r="W41" s="1625"/>
      <c r="X41" s="1625"/>
      <c r="Y41" s="1625"/>
      <c r="Z41" s="1625"/>
      <c r="AA41" s="1625"/>
      <c r="AB41" s="1625"/>
      <c r="AC41" s="1766">
        <f>OFFSET(AC41,0,-1)+1</f>
        <v>1</v>
      </c>
      <c r="AD41" s="2556">
        <f>OFFSET(AD41,0,-1)+1</f>
        <v>2</v>
      </c>
      <c r="AE41" s="2556"/>
      <c r="AF41" s="1766">
        <f>OFFSET(AF41,0,-2)+1</f>
        <v>3</v>
      </c>
      <c r="AG41" s="1766">
        <f>OFFSET(AG41,0,-1)+1</f>
        <v>4</v>
      </c>
      <c r="AH41" s="2240"/>
      <c r="AI41" s="2240"/>
      <c r="AJ41" s="2240"/>
      <c r="AK41" s="2240"/>
      <c r="AL41" s="2240"/>
      <c r="AM41" s="1766">
        <f>OFFSET(AM41,0,-1)+1</f>
        <v>1</v>
      </c>
      <c r="AN41" s="1766">
        <f>OFFSET(AN41,0,-1)+1</f>
        <v>2</v>
      </c>
      <c r="AO41" s="2556">
        <f>OFFSET(AO41,0,-1)+1</f>
        <v>3</v>
      </c>
      <c r="AP41" s="2556"/>
      <c r="AQ41" s="1766">
        <f>OFFSET(AQ41,0,-2)+1</f>
        <v>4</v>
      </c>
      <c r="AR41" s="1529">
        <f>OFFSET(AR41,0,-1)</f>
        <v>4</v>
      </c>
      <c r="AS41" s="1766">
        <f>OFFSET(AS41,0,-1)+1</f>
        <v>5</v>
      </c>
      <c r="AT41" s="795"/>
      <c r="AU41" s="795"/>
      <c r="AV41" s="795"/>
      <c r="AW41" s="795"/>
      <c r="AX41" s="795"/>
      <c r="AY41" s="780">
        <v>0</v>
      </c>
    </row>
    <row customHeight="1" ht="24">
      <c r="A42" s="1647" t="s">
        <v>256</v>
      </c>
      <c r="B42" s="1647"/>
      <c r="C42" s="1647"/>
      <c r="D42" s="1647"/>
      <c r="E42" s="2542">
        <v>1</v>
      </c>
      <c r="F42" s="1647"/>
      <c r="G42" s="1647"/>
      <c r="H42" s="1647"/>
      <c r="I42" s="1647"/>
      <c r="J42" s="1647"/>
      <c r="K42" s="1647"/>
      <c r="L42" s="1648"/>
      <c r="M42" s="1649"/>
      <c r="N42" s="1649"/>
      <c r="O42" s="1649"/>
      <c r="P42" s="645"/>
      <c r="Q42" s="644"/>
      <c r="R42" s="639"/>
      <c r="S42" s="1777">
        <f>INDEX(PT_DIFFERENTIATION_NUM_NTAR,MATCH(A42,PT_DIFFERENTIATION_NTAR_ID,0))</f>
        <v>0</v>
      </c>
      <c r="T42" s="582" t="s">
        <v>124</v>
      </c>
      <c r="U42" s="584"/>
      <c r="V42" s="2526"/>
      <c r="W42" s="2527"/>
      <c r="X42" s="2527"/>
      <c r="Y42" s="2527"/>
      <c r="Z42" s="2527"/>
      <c r="AA42" s="2527"/>
      <c r="AB42" s="2527"/>
      <c r="AC42" s="2527"/>
      <c r="AD42" s="2527"/>
      <c r="AE42" s="2527"/>
      <c r="AF42" s="2528"/>
      <c r="AG42" s="2526" t="str">
        <f>INDEX(PT_DIFFERENTIATION_NTAR,MATCH(A42,PT_DIFFERENTIATION_NTAR_ID,0))</f>
        <v/>
      </c>
      <c r="AH42" s="2527"/>
      <c r="AI42" s="2527"/>
      <c r="AJ42" s="2527"/>
      <c r="AK42" s="2527"/>
      <c r="AL42" s="2527"/>
      <c r="AM42" s="2527"/>
      <c r="AN42" s="2527"/>
      <c r="AO42" s="2527"/>
      <c r="AP42" s="2527"/>
      <c r="AQ42" s="2527"/>
      <c r="AR42" s="2528"/>
      <c r="AS42" s="154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784"/>
      <c r="AV42" s="784" t="str">
        <f>IF(T42="","",T42)</f>
        <v>Наименование тарифа</v>
      </c>
      <c r="AW42" s="784"/>
      <c r="AX42" s="784"/>
      <c r="AY42" s="1439">
        <v>23</v>
      </c>
    </row>
    <row customHeight="1" ht="24">
      <c r="A43" s="1647" t="s">
        <v>256</v>
      </c>
      <c r="B43" s="1647" t="s">
        <v>257</v>
      </c>
      <c r="C43" s="1647"/>
      <c r="D43" s="1647"/>
      <c r="E43" s="2543"/>
      <c r="F43" s="2542">
        <v>1</v>
      </c>
      <c r="G43" s="1647"/>
      <c r="H43" s="1647"/>
      <c r="I43" s="1647"/>
      <c r="J43" s="1647"/>
      <c r="K43" s="1647"/>
      <c r="L43" s="1648"/>
      <c r="M43" s="1649"/>
      <c r="N43" s="1649"/>
      <c r="O43" s="1649"/>
      <c r="P43" s="1771"/>
      <c r="Q43" s="636"/>
      <c r="R43" s="637"/>
      <c r="S43" s="1777" t="str">
        <f>INDEX(PT_DIFFERENTIATION_NUM_TER,MATCH(B43,PT_DIFFERENTIATION_TER_ID,0))</f>
        <v>.</v>
      </c>
      <c r="T43" s="592" t="s">
        <v>402</v>
      </c>
      <c r="U43" s="584"/>
      <c r="V43" s="2526"/>
      <c r="W43" s="2527"/>
      <c r="X43" s="2527"/>
      <c r="Y43" s="2527"/>
      <c r="Z43" s="2527"/>
      <c r="AA43" s="2527"/>
      <c r="AB43" s="2527"/>
      <c r="AC43" s="2527"/>
      <c r="AD43" s="2527"/>
      <c r="AE43" s="2527"/>
      <c r="AF43" s="2528"/>
      <c r="AG43" s="2526" t="str">
        <f>INDEX(PT_DIFFERENTIATION_TER,MATCH(B43,PT_DIFFERENTIATION_TER_ID,0))</f>
        <v/>
      </c>
      <c r="AH43" s="2527"/>
      <c r="AI43" s="2527"/>
      <c r="AJ43" s="2527"/>
      <c r="AK43" s="2527"/>
      <c r="AL43" s="2527"/>
      <c r="AM43" s="2527"/>
      <c r="AN43" s="2527"/>
      <c r="AO43" s="2527"/>
      <c r="AP43" s="2527"/>
      <c r="AQ43" s="2527"/>
      <c r="AR43" s="2528"/>
      <c r="AS43" s="1542" t="s">
        <v>403</v>
      </c>
      <c r="AU43" s="784"/>
      <c r="AV43" s="784" t="str">
        <f>IF(T43="","",T43)</f>
        <v>Территория действия тарифа</v>
      </c>
      <c r="AW43" s="784"/>
      <c r="AX43" s="784"/>
      <c r="AY43" s="1439">
        <v>23</v>
      </c>
    </row>
    <row customHeight="1" ht="24">
      <c r="A44" s="1647" t="s">
        <v>256</v>
      </c>
      <c r="B44" s="1647" t="s">
        <v>257</v>
      </c>
      <c r="C44" s="1647" t="s">
        <v>258</v>
      </c>
      <c r="D44" s="1647"/>
      <c r="E44" s="2543"/>
      <c r="F44" s="2543"/>
      <c r="G44" s="2542">
        <v>1</v>
      </c>
      <c r="H44" s="1647"/>
      <c r="I44" s="1647"/>
      <c r="J44" s="1647"/>
      <c r="K44" s="1647"/>
      <c r="L44" s="1648"/>
      <c r="M44" s="1649"/>
      <c r="N44" s="1649"/>
      <c r="O44" s="1649"/>
      <c r="P44" s="638"/>
      <c r="Q44" s="636"/>
      <c r="R44" s="637"/>
      <c r="S44" s="1777" t="str">
        <f>INDEX(PT_DIFFERENTIATION_NUM_CS,MATCH(C44,PT_DIFFERENTIATION_CS_ID,0))</f>
        <v>..</v>
      </c>
      <c r="T44" s="593" t="s">
        <v>538</v>
      </c>
      <c r="U44" s="584"/>
      <c r="V44" s="2526"/>
      <c r="W44" s="2527"/>
      <c r="X44" s="2527"/>
      <c r="Y44" s="2527"/>
      <c r="Z44" s="2527"/>
      <c r="AA44" s="2527"/>
      <c r="AB44" s="2527"/>
      <c r="AC44" s="2527"/>
      <c r="AD44" s="2527"/>
      <c r="AE44" s="2527"/>
      <c r="AF44" s="2528"/>
      <c r="AG44" s="2526" t="str">
        <f>INDEX(PT_DIFFERENTIATION_CS,MATCH(C44,PT_DIFFERENTIATION_CS_ID,0))</f>
        <v/>
      </c>
      <c r="AH44" s="2527"/>
      <c r="AI44" s="2527"/>
      <c r="AJ44" s="2527"/>
      <c r="AK44" s="2527"/>
      <c r="AL44" s="2527"/>
      <c r="AM44" s="2527"/>
      <c r="AN44" s="2527"/>
      <c r="AO44" s="2527"/>
      <c r="AP44" s="2527"/>
      <c r="AQ44" s="2527"/>
      <c r="AR44" s="2528"/>
      <c r="AS44" s="1542" t="s">
        <v>539</v>
      </c>
      <c r="AU44" s="784"/>
      <c r="AV44" s="784" t="str">
        <f>IF(T44="","",T44)</f>
        <v>Наименование централизованной системы горячего водоснабжения</v>
      </c>
      <c r="AW44" s="784"/>
      <c r="AX44" s="784"/>
      <c r="AY44" s="1439">
        <v>23</v>
      </c>
    </row>
    <row customHeight="1" ht="24">
      <c r="A45" s="1647" t="s">
        <v>256</v>
      </c>
      <c r="B45" s="1647" t="s">
        <v>257</v>
      </c>
      <c r="C45" s="1647" t="s">
        <v>258</v>
      </c>
      <c r="D45" s="1647" t="s">
        <v>550</v>
      </c>
      <c r="E45" s="2543"/>
      <c r="F45" s="2543"/>
      <c r="G45" s="2543"/>
      <c r="H45" s="2543"/>
      <c r="I45" s="2540" t="str">
        <f>S44&amp;".1"</f>
        <v>...1</v>
      </c>
      <c r="J45" s="1647"/>
      <c r="K45" s="1647"/>
      <c r="L45" s="1648"/>
      <c r="P45" s="2541">
        <v>1</v>
      </c>
      <c r="Q45" s="1765"/>
      <c r="R45" s="640"/>
      <c r="S45" s="1777" t="str">
        <f>$I45</f>
        <v>...1</v>
      </c>
      <c r="T45" s="569" t="s">
        <v>491</v>
      </c>
      <c r="U45" s="584"/>
      <c r="V45" s="2634"/>
      <c r="W45" s="2635"/>
      <c r="X45" s="2635"/>
      <c r="Y45" s="2635"/>
      <c r="Z45" s="2635"/>
      <c r="AA45" s="2635"/>
      <c r="AB45" s="2635"/>
      <c r="AC45" s="2635"/>
      <c r="AD45" s="2635"/>
      <c r="AE45" s="2635"/>
      <c r="AF45" s="2636"/>
      <c r="AG45" s="2637"/>
      <c r="AH45" s="2638"/>
      <c r="AI45" s="2638"/>
      <c r="AJ45" s="2638"/>
      <c r="AK45" s="2638"/>
      <c r="AL45" s="2638"/>
      <c r="AM45" s="2638"/>
      <c r="AN45" s="2638"/>
      <c r="AO45" s="2638"/>
      <c r="AP45" s="2638"/>
      <c r="AQ45" s="2638"/>
      <c r="AR45" s="2639"/>
      <c r="AS45" s="1542" t="s">
        <v>492</v>
      </c>
      <c r="AU45" s="784"/>
      <c r="AV45" s="784" t="str">
        <f>IF(T45="","",T45)</f>
        <v>Наименование признака дифференциации</v>
      </c>
      <c r="AW45" s="784"/>
      <c r="AX45" s="784"/>
      <c r="AY45" s="1439">
        <v>23</v>
      </c>
    </row>
    <row customHeight="1" ht="24">
      <c r="A46" s="1647" t="s">
        <v>256</v>
      </c>
      <c r="B46" s="1647" t="s">
        <v>257</v>
      </c>
      <c r="C46" s="1647" t="s">
        <v>258</v>
      </c>
      <c r="D46" s="1647" t="s">
        <v>550</v>
      </c>
      <c r="E46" s="2543"/>
      <c r="F46" s="2543"/>
      <c r="G46" s="2543"/>
      <c r="H46" s="2543"/>
      <c r="I46" s="2570"/>
      <c r="J46" s="2540" t="str">
        <f>I45&amp;".1"</f>
        <v>...1.1</v>
      </c>
      <c r="K46" s="1647"/>
      <c r="L46" s="1648" t="s">
        <v>411</v>
      </c>
      <c r="P46" s="2541"/>
      <c r="Q46" s="2541">
        <v>1</v>
      </c>
      <c r="R46" s="641"/>
      <c r="S46" s="1777" t="str">
        <f>$J46</f>
        <v>...1.1</v>
      </c>
      <c r="T46" s="570" t="s">
        <v>412</v>
      </c>
      <c r="U46" s="584"/>
      <c r="V46" s="2529"/>
      <c r="W46" s="2530"/>
      <c r="X46" s="2530"/>
      <c r="Y46" s="2530"/>
      <c r="Z46" s="2530"/>
      <c r="AA46" s="2530"/>
      <c r="AB46" s="2530"/>
      <c r="AC46" s="2530"/>
      <c r="AD46" s="2530"/>
      <c r="AE46" s="2530"/>
      <c r="AF46" s="2531"/>
      <c r="AG46" s="2529"/>
      <c r="AH46" s="2530"/>
      <c r="AI46" s="2530"/>
      <c r="AJ46" s="2530"/>
      <c r="AK46" s="2530"/>
      <c r="AL46" s="2530"/>
      <c r="AM46" s="2530"/>
      <c r="AN46" s="2530"/>
      <c r="AO46" s="2530"/>
      <c r="AP46" s="2530"/>
      <c r="AQ46" s="2530"/>
      <c r="AR46" s="2531"/>
      <c r="AS46" s="1591" t="s">
        <v>493</v>
      </c>
      <c r="AU46" s="784"/>
      <c r="AV46" s="784" t="str">
        <f>IF(T46="","",T46)</f>
        <v>Группа потребителей</v>
      </c>
      <c r="AW46" s="784"/>
      <c r="AX46" s="784"/>
      <c r="AY46" s="1439">
        <v>23</v>
      </c>
    </row>
    <row customHeight="1" ht="24">
      <c r="A47" s="1647" t="s">
        <v>256</v>
      </c>
      <c r="B47" s="1647" t="s">
        <v>257</v>
      </c>
      <c r="C47" s="1647" t="s">
        <v>258</v>
      </c>
      <c r="D47" s="1647" t="s">
        <v>550</v>
      </c>
      <c r="E47" s="2543"/>
      <c r="F47" s="2543"/>
      <c r="G47" s="2543"/>
      <c r="H47" s="2543"/>
      <c r="I47" s="2570"/>
      <c r="J47" s="2570"/>
      <c r="K47" s="2540" t="str">
        <f>J46&amp;".1"</f>
        <v>...1.1.1</v>
      </c>
      <c r="L47" s="1648"/>
      <c r="P47" s="2541"/>
      <c r="Q47" s="2541"/>
      <c r="R47" s="641">
        <v>1</v>
      </c>
      <c r="S47" s="1777" t="str">
        <f>$K47</f>
        <v>...1.1.1</v>
      </c>
      <c r="T47" s="1721"/>
      <c r="U47" s="584"/>
      <c r="V47" s="1035"/>
      <c r="W47" s="1035"/>
      <c r="X47" s="1035"/>
      <c r="Y47" s="1035"/>
      <c r="Z47" s="1035"/>
      <c r="AA47" s="1035"/>
      <c r="AB47" s="1035"/>
      <c r="AC47" s="2551"/>
      <c r="AD47" s="2552" t="s">
        <v>67</v>
      </c>
      <c r="AE47" s="2551"/>
      <c r="AF47" s="2552" t="s">
        <v>67</v>
      </c>
      <c r="AG47" s="1035"/>
      <c r="AH47" s="1035"/>
      <c r="AI47" s="1035"/>
      <c r="AJ47" s="1035"/>
      <c r="AK47" s="1035"/>
      <c r="AL47" s="1035"/>
      <c r="AM47" s="1035"/>
      <c r="AN47" s="2549"/>
      <c r="AO47" s="2391" t="s">
        <v>67</v>
      </c>
      <c r="AP47" s="2571"/>
      <c r="AQ47" s="2391" t="s">
        <v>19</v>
      </c>
      <c r="AR47" s="1722"/>
      <c r="AS47" s="263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795">
        <f>STRCHECKDATE(V48:AR48)</f>
      </c>
      <c r="AU47" s="784"/>
      <c r="AV47" s="784" t="str">
        <f>IF(T47="","",T47)</f>
        <v/>
      </c>
      <c r="AW47" s="784"/>
      <c r="AX47" s="784"/>
      <c r="AY47" s="1439">
        <v>23</v>
      </c>
    </row>
    <row customHeight="1" ht="0">
      <c r="A48" s="1647" t="s">
        <v>256</v>
      </c>
      <c r="B48" s="1647" t="s">
        <v>257</v>
      </c>
      <c r="C48" s="1647" t="s">
        <v>258</v>
      </c>
      <c r="D48" s="1647" t="s">
        <v>550</v>
      </c>
      <c r="E48" s="2543"/>
      <c r="F48" s="2543"/>
      <c r="G48" s="2543"/>
      <c r="H48" s="2543"/>
      <c r="I48" s="2570"/>
      <c r="J48" s="2570"/>
      <c r="K48" s="2540"/>
      <c r="L48" s="1648"/>
      <c r="P48" s="2541"/>
      <c r="Q48" s="2541"/>
      <c r="R48" s="641"/>
      <c r="S48" s="1774"/>
      <c r="T48" s="584"/>
      <c r="U48" s="584"/>
      <c r="V48" s="1644"/>
      <c r="W48" s="1644"/>
      <c r="X48" s="1644"/>
      <c r="Y48" s="1644"/>
      <c r="Z48" s="1644"/>
      <c r="AA48" s="1644"/>
      <c r="AB48" s="1644"/>
      <c r="AC48" s="2552"/>
      <c r="AD48" s="2552"/>
      <c r="AE48" s="2552"/>
      <c r="AF48" s="2552"/>
      <c r="AG48" s="609"/>
      <c r="AH48" s="609"/>
      <c r="AI48" s="609"/>
      <c r="AJ48" s="609"/>
      <c r="AK48" s="609"/>
      <c r="AL48" s="609"/>
      <c r="AM48" s="609"/>
      <c r="AN48" s="2550"/>
      <c r="AO48" s="2391"/>
      <c r="AP48" s="2572"/>
      <c r="AQ48" s="2391"/>
      <c r="AR48" s="1723"/>
      <c r="AS48" s="2633"/>
      <c r="AU48" s="784"/>
      <c r="AV48" s="784" t="str">
        <f>IF(T48="","",T48)</f>
        <v/>
      </c>
      <c r="AW48" s="784"/>
      <c r="AX48" s="784"/>
      <c r="AY48" s="1439">
        <v>0</v>
      </c>
    </row>
    <row customHeight="1" ht="21">
      <c r="A49" s="1647" t="s">
        <v>256</v>
      </c>
      <c r="B49" s="1647" t="s">
        <v>257</v>
      </c>
      <c r="C49" s="1647" t="s">
        <v>258</v>
      </c>
      <c r="D49" s="1647" t="s">
        <v>550</v>
      </c>
      <c r="E49" s="2543"/>
      <c r="F49" s="2543"/>
      <c r="G49" s="2543"/>
      <c r="H49" s="2543"/>
      <c r="I49" s="2570"/>
      <c r="J49" s="2540"/>
      <c r="K49" s="1647"/>
      <c r="L49" s="1648"/>
      <c r="P49" s="2541"/>
      <c r="Q49" s="2541"/>
      <c r="R49" s="640"/>
      <c r="S49" s="1562"/>
      <c r="T49" s="571" t="s">
        <v>494</v>
      </c>
      <c r="U49" s="651"/>
      <c r="V49" s="651"/>
      <c r="W49" s="884"/>
      <c r="X49" s="884"/>
      <c r="Y49" s="884"/>
      <c r="Z49" s="884"/>
      <c r="AA49" s="884"/>
      <c r="AB49" s="884"/>
      <c r="AC49" s="651"/>
      <c r="AD49" s="651"/>
      <c r="AE49" s="651"/>
      <c r="AF49" s="651"/>
      <c r="AG49" s="651"/>
      <c r="AH49" s="884"/>
      <c r="AI49" s="884"/>
      <c r="AJ49" s="884"/>
      <c r="AK49" s="884"/>
      <c r="AL49" s="884"/>
      <c r="AM49" s="651"/>
      <c r="AN49" s="651"/>
      <c r="AO49" s="651"/>
      <c r="AP49" s="651"/>
      <c r="AQ49" s="651"/>
      <c r="AR49" s="651"/>
      <c r="AS49" s="1542" t="s">
        <v>495</v>
      </c>
      <c r="AU49" s="784"/>
      <c r="AV49" s="784" t="str">
        <f>IF(T49="","",T49)</f>
        <v>Добавить значение признака дифференциации</v>
      </c>
      <c r="AW49" s="784"/>
      <c r="AX49" s="784"/>
      <c r="AY49" s="1439">
        <v>20</v>
      </c>
    </row>
    <row customHeight="1" ht="22.049999999999997">
      <c r="A50" s="1647" t="s">
        <v>256</v>
      </c>
      <c r="B50" s="1647" t="s">
        <v>257</v>
      </c>
      <c r="C50" s="1647" t="s">
        <v>258</v>
      </c>
      <c r="D50" s="1647" t="s">
        <v>550</v>
      </c>
      <c r="E50" s="2543"/>
      <c r="F50" s="2543"/>
      <c r="G50" s="2543"/>
      <c r="H50" s="2543"/>
      <c r="I50" s="2540"/>
      <c r="J50" s="1647"/>
      <c r="K50" s="1647"/>
      <c r="L50" s="1648"/>
      <c r="P50" s="2541"/>
      <c r="Q50" s="1765"/>
      <c r="R50" s="640"/>
      <c r="S50" s="1562"/>
      <c r="T50" s="649" t="s">
        <v>417</v>
      </c>
      <c r="U50" s="651"/>
      <c r="V50" s="651"/>
      <c r="W50" s="884"/>
      <c r="X50" s="884"/>
      <c r="Y50" s="884"/>
      <c r="Z50" s="884"/>
      <c r="AA50" s="884"/>
      <c r="AB50" s="884"/>
      <c r="AC50" s="651"/>
      <c r="AD50" s="651"/>
      <c r="AE50" s="651"/>
      <c r="AF50" s="650"/>
      <c r="AG50" s="651"/>
      <c r="AH50" s="884"/>
      <c r="AI50" s="884"/>
      <c r="AJ50" s="884"/>
      <c r="AK50" s="884"/>
      <c r="AL50" s="884"/>
      <c r="AM50" s="651"/>
      <c r="AN50" s="651"/>
      <c r="AO50" s="651"/>
      <c r="AP50" s="651"/>
      <c r="AQ50" s="650"/>
      <c r="AR50" s="651"/>
      <c r="AS50" s="1724"/>
      <c r="AU50" s="784"/>
      <c r="AV50" s="784" t="str">
        <f>IF(T50="","",T50)</f>
        <v>Добавить группу потребителей</v>
      </c>
      <c r="AW50" s="784"/>
      <c r="AX50" s="784"/>
      <c r="AY50" s="1439">
        <v>21</v>
      </c>
    </row>
    <row customHeight="1" ht="22.049999999999997">
      <c r="A51" s="1647" t="s">
        <v>256</v>
      </c>
      <c r="B51" s="1647" t="s">
        <v>257</v>
      </c>
      <c r="C51" s="1647" t="s">
        <v>258</v>
      </c>
      <c r="D51" s="1647" t="s">
        <v>550</v>
      </c>
      <c r="E51" s="2543"/>
      <c r="F51" s="2543"/>
      <c r="G51" s="2543"/>
      <c r="H51" s="2542"/>
      <c r="I51" s="1647"/>
      <c r="J51" s="1647"/>
      <c r="K51" s="1647"/>
      <c r="L51" s="1648"/>
      <c r="M51" s="1649"/>
      <c r="N51" s="1649"/>
      <c r="O51" s="821"/>
      <c r="P51" s="644"/>
      <c r="Q51" s="659"/>
      <c r="R51" s="639"/>
      <c r="S51" s="1562"/>
      <c r="T51" s="656" t="s">
        <v>496</v>
      </c>
      <c r="U51" s="651"/>
      <c r="V51" s="651"/>
      <c r="W51" s="884"/>
      <c r="X51" s="884"/>
      <c r="Y51" s="884"/>
      <c r="Z51" s="884"/>
      <c r="AA51" s="884"/>
      <c r="AB51" s="884"/>
      <c r="AC51" s="651"/>
      <c r="AD51" s="651"/>
      <c r="AE51" s="651"/>
      <c r="AF51" s="650"/>
      <c r="AG51" s="651"/>
      <c r="AH51" s="884"/>
      <c r="AI51" s="884"/>
      <c r="AJ51" s="884"/>
      <c r="AK51" s="884"/>
      <c r="AL51" s="884"/>
      <c r="AM51" s="651"/>
      <c r="AN51" s="651"/>
      <c r="AO51" s="651"/>
      <c r="AP51" s="651"/>
      <c r="AQ51" s="650"/>
      <c r="AR51" s="651"/>
      <c r="AS51" s="587"/>
      <c r="AU51" s="784"/>
      <c r="AV51" s="784" t="str">
        <f>IF(T51="","",T51)</f>
        <v>Добавить наименование признака дифференциации</v>
      </c>
      <c r="AW51" s="784"/>
      <c r="AX51" s="784"/>
      <c r="AY51" s="1439">
        <v>21</v>
      </c>
    </row>
    <row s="14158" customFormat="1" customHeight="1" ht="0">
      <c r="A52" s="1627" t="s">
        <v>256</v>
      </c>
      <c r="B52" s="1627" t="s">
        <v>257</v>
      </c>
      <c r="C52" s="1598"/>
      <c r="D52" s="1598"/>
      <c r="E52" s="2543"/>
      <c r="F52" s="2542"/>
      <c r="G52" s="1598"/>
      <c r="H52" s="1598"/>
      <c r="I52" s="1598"/>
      <c r="J52" s="1598"/>
      <c r="K52" s="1598"/>
      <c r="L52" s="1778"/>
      <c r="M52" s="1605"/>
      <c r="N52" s="1605"/>
      <c r="P52" s="1600"/>
      <c r="Q52" s="1601"/>
      <c r="R52" s="1600"/>
      <c r="S52" s="1606"/>
      <c r="T52" s="1609" t="s">
        <v>170</v>
      </c>
      <c r="U52" s="1608"/>
      <c r="V52" s="1608"/>
      <c r="W52" s="1608"/>
      <c r="X52" s="1608"/>
      <c r="Y52" s="1608"/>
      <c r="Z52" s="1608"/>
      <c r="AA52" s="1608"/>
      <c r="AB52" s="1608"/>
      <c r="AC52" s="1608"/>
      <c r="AD52" s="1608"/>
      <c r="AE52" s="1608"/>
      <c r="AF52" s="1608"/>
      <c r="AG52" s="1608"/>
      <c r="AH52" s="1608"/>
      <c r="AI52" s="1608"/>
      <c r="AJ52" s="1608"/>
      <c r="AK52" s="1608"/>
      <c r="AL52" s="1608"/>
      <c r="AM52" s="1608"/>
      <c r="AN52" s="1608"/>
      <c r="AO52" s="1608"/>
      <c r="AP52" s="1608"/>
      <c r="AQ52" s="1608"/>
      <c r="AR52" s="1608"/>
      <c r="AS52" s="1608"/>
      <c r="AU52" s="1073"/>
      <c r="AV52" s="1073" t="str">
        <f>IF(T52="","",T52)</f>
        <v>Добавить централизованную систему для дифференциации</v>
      </c>
      <c r="AW52" s="1073"/>
      <c r="AX52" s="1073"/>
      <c r="AY52" s="802">
        <v>0</v>
      </c>
    </row>
    <row s="14158" customFormat="1" customHeight="1" ht="0">
      <c r="A53" s="1627" t="s">
        <v>256</v>
      </c>
      <c r="B53" s="1627"/>
      <c r="C53" s="1627"/>
      <c r="D53" s="1627"/>
      <c r="E53" s="2542"/>
      <c r="F53" s="1627"/>
      <c r="G53" s="1627"/>
      <c r="H53" s="1627"/>
      <c r="I53" s="1627"/>
      <c r="J53" s="1627"/>
      <c r="K53" s="1627"/>
      <c r="L53" s="1630"/>
      <c r="M53" s="1605"/>
      <c r="N53" s="1605"/>
      <c r="O53" s="802"/>
      <c r="P53" s="664"/>
      <c r="Q53" s="1628"/>
      <c r="R53" s="664"/>
      <c r="S53" s="1606"/>
      <c r="T53" s="1609" t="s">
        <v>171</v>
      </c>
      <c r="U53" s="1608"/>
      <c r="V53" s="1608"/>
      <c r="W53" s="1608"/>
      <c r="X53" s="1608"/>
      <c r="Y53" s="1608"/>
      <c r="Z53" s="1608"/>
      <c r="AA53" s="1608"/>
      <c r="AB53" s="1608"/>
      <c r="AC53" s="1608"/>
      <c r="AD53" s="1608"/>
      <c r="AE53" s="1608"/>
      <c r="AF53" s="1608"/>
      <c r="AG53" s="1608"/>
      <c r="AH53" s="1608"/>
      <c r="AI53" s="1608"/>
      <c r="AJ53" s="1608"/>
      <c r="AK53" s="1608"/>
      <c r="AL53" s="1608"/>
      <c r="AM53" s="1608"/>
      <c r="AN53" s="1608"/>
      <c r="AO53" s="1608"/>
      <c r="AP53" s="1608"/>
      <c r="AQ53" s="1608"/>
      <c r="AR53" s="1608"/>
      <c r="AS53" s="1608"/>
      <c r="AU53" s="784"/>
      <c r="AV53" s="784" t="str">
        <f>IF(T53="","",T53)</f>
        <v>Добавить территорию для дифференциации</v>
      </c>
      <c r="AW53" s="784"/>
      <c r="AX53" s="784"/>
      <c r="AY53" s="795">
        <v>0</v>
      </c>
    </row>
    <row s="14158" customFormat="1" customHeight="1" ht="0">
      <c r="A54" s="1598"/>
      <c r="B54" s="1598"/>
      <c r="C54" s="1598"/>
      <c r="D54" s="1598"/>
      <c r="E54" s="1627"/>
      <c r="F54" s="1598"/>
      <c r="G54" s="1598"/>
      <c r="H54" s="1598"/>
      <c r="I54" s="1598"/>
      <c r="J54" s="1598"/>
      <c r="K54" s="1598"/>
      <c r="L54" s="1778"/>
      <c r="M54" s="1605"/>
      <c r="N54" s="1605"/>
      <c r="P54" s="1600"/>
      <c r="Q54" s="1601"/>
      <c r="R54" s="1600"/>
      <c r="S54" s="1606"/>
      <c r="T54" s="1609" t="s">
        <v>172</v>
      </c>
      <c r="U54" s="1608"/>
      <c r="V54" s="1608"/>
      <c r="W54" s="1608"/>
      <c r="X54" s="1608"/>
      <c r="Y54" s="1608"/>
      <c r="Z54" s="1608"/>
      <c r="AA54" s="1608"/>
      <c r="AB54" s="1608"/>
      <c r="AC54" s="1608"/>
      <c r="AD54" s="1608"/>
      <c r="AE54" s="1608"/>
      <c r="AF54" s="1608"/>
      <c r="AG54" s="1608"/>
      <c r="AH54" s="1608"/>
      <c r="AI54" s="1608"/>
      <c r="AJ54" s="1608"/>
      <c r="AK54" s="1608"/>
      <c r="AL54" s="1608"/>
      <c r="AM54" s="1608"/>
      <c r="AN54" s="1608"/>
      <c r="AO54" s="1608"/>
      <c r="AP54" s="1608"/>
      <c r="AQ54" s="1608"/>
      <c r="AR54" s="1608"/>
      <c r="AS54" s="1608"/>
      <c r="AU54" s="1073"/>
      <c r="AV54" s="1073" t="str">
        <f>IF(T54="","",T54)</f>
        <v>Добавить наименование тарифа</v>
      </c>
      <c r="AW54" s="1073"/>
      <c r="AX54" s="1073"/>
      <c r="AY54" s="802">
        <v>0</v>
      </c>
    </row>
    <row customHeight="1" ht="11.549999999999999">
      <c r="M55" s="1444"/>
      <c r="N55" s="1444"/>
      <c r="O55" s="821"/>
      <c r="P55" s="1439"/>
      <c r="Q55" s="1439"/>
      <c r="R55" s="1439"/>
      <c r="S55" s="1439"/>
      <c r="AT55" s="1439"/>
      <c r="AU55" s="1439"/>
      <c r="AV55" s="1439"/>
      <c r="AW55" s="1439"/>
      <c r="AX55" s="1439"/>
      <c r="AY55" s="1439">
        <v>11</v>
      </c>
    </row>
    <row customHeight="1" ht="14.699999999999998">
      <c r="O56" s="821"/>
      <c r="S56" s="1537"/>
      <c r="T56" s="2569"/>
      <c r="U56" s="2569"/>
      <c r="V56" s="2569"/>
      <c r="W56" s="2569"/>
      <c r="X56" s="2569"/>
      <c r="Y56" s="2569"/>
      <c r="Z56" s="2569"/>
      <c r="AA56" s="2569"/>
      <c r="AB56" s="2569"/>
      <c r="AC56" s="2569"/>
      <c r="AD56" s="2569"/>
      <c r="AE56" s="2569"/>
      <c r="AF56" s="2569"/>
      <c r="AG56" s="2569"/>
      <c r="AH56" s="2569"/>
      <c r="AI56" s="2569"/>
      <c r="AJ56" s="2569"/>
      <c r="AK56" s="2569"/>
      <c r="AL56" s="2569"/>
      <c r="AM56" s="2569"/>
      <c r="AN56" s="2569"/>
      <c r="AO56" s="2569"/>
      <c r="AP56" s="2569"/>
      <c r="AQ56" s="2569"/>
      <c r="AR56" s="2569"/>
      <c r="AS56" s="2569"/>
      <c r="AY56" s="1439">
        <v>14</v>
      </c>
    </row>
    <row customHeight="1" ht="14.699999999999998">
      <c r="O57" s="821"/>
      <c r="AY57" s="1439">
        <v>14</v>
      </c>
    </row>
    <row customHeight="1" ht="14.699999999999998">
      <c r="O58" s="821"/>
      <c r="S58" s="1537"/>
      <c r="T58" s="2569"/>
      <c r="U58" s="2569"/>
      <c r="V58" s="2569"/>
      <c r="W58" s="2569"/>
      <c r="X58" s="2569"/>
      <c r="Y58" s="2569"/>
      <c r="Z58" s="2569"/>
      <c r="AA58" s="2569"/>
      <c r="AB58" s="2569"/>
      <c r="AC58" s="2569"/>
      <c r="AD58" s="2569"/>
      <c r="AE58" s="2569"/>
      <c r="AF58" s="2569"/>
      <c r="AG58" s="2569"/>
      <c r="AH58" s="2569"/>
      <c r="AI58" s="2569"/>
      <c r="AJ58" s="2569"/>
      <c r="AK58" s="2569"/>
      <c r="AL58" s="2569"/>
      <c r="AM58" s="2569"/>
      <c r="AN58" s="2569"/>
      <c r="AO58" s="2569"/>
      <c r="AP58" s="2569"/>
      <c r="AQ58" s="2569"/>
      <c r="AR58" s="2569"/>
      <c r="AS58" s="2569"/>
      <c r="AY58" s="1439">
        <v>14</v>
      </c>
    </row>
    <row customHeight="1" ht="22.5" hidden="1">
      <c r="A59" s="1444" t="s">
        <v>83</v>
      </c>
      <c r="B59" s="1444">
        <v>0</v>
      </c>
      <c r="C59" s="1444">
        <v>0</v>
      </c>
      <c r="D59" s="1444">
        <v>0</v>
      </c>
      <c r="E59" s="1444">
        <v>0</v>
      </c>
      <c r="F59" s="1444">
        <v>0</v>
      </c>
      <c r="G59" s="1444">
        <v>0</v>
      </c>
      <c r="H59" s="1444">
        <v>0</v>
      </c>
      <c r="I59" s="1444">
        <v>0</v>
      </c>
      <c r="J59" s="1444">
        <v>0</v>
      </c>
      <c r="K59" s="1444">
        <v>0</v>
      </c>
      <c r="L59" s="1762">
        <v>0</v>
      </c>
      <c r="M59" s="1646">
        <v>0</v>
      </c>
      <c r="N59" s="1646">
        <v>0</v>
      </c>
      <c r="O59" s="1646">
        <v>0</v>
      </c>
      <c r="P59" s="1757">
        <v>3</v>
      </c>
      <c r="Q59" s="628">
        <v>3</v>
      </c>
      <c r="R59" s="628">
        <v>3</v>
      </c>
      <c r="S59" s="865">
        <v>12</v>
      </c>
      <c r="T59" s="1439">
        <v>35</v>
      </c>
      <c r="U59" s="1439">
        <v>0</v>
      </c>
      <c r="V59" s="1439">
        <v>0</v>
      </c>
      <c r="W59" s="1915">
        <v>0</v>
      </c>
      <c r="X59" s="1915">
        <v>0</v>
      </c>
      <c r="Y59" s="1915">
        <v>0</v>
      </c>
      <c r="Z59" s="1915">
        <v>0</v>
      </c>
      <c r="AA59" s="1915">
        <v>0</v>
      </c>
      <c r="AB59" s="1915">
        <v>0</v>
      </c>
      <c r="AC59" s="1439">
        <v>0</v>
      </c>
      <c r="AD59" s="1439">
        <v>0</v>
      </c>
      <c r="AE59" s="1439">
        <v>0</v>
      </c>
      <c r="AF59" s="1439">
        <v>0</v>
      </c>
      <c r="AG59" s="1439">
        <v>19</v>
      </c>
      <c r="AH59" s="1915">
        <v>19</v>
      </c>
      <c r="AI59" s="1915">
        <v>19</v>
      </c>
      <c r="AJ59" s="1915">
        <v>19</v>
      </c>
      <c r="AK59" s="1915">
        <v>19</v>
      </c>
      <c r="AL59" s="1915">
        <v>19</v>
      </c>
      <c r="AM59" s="1439">
        <v>19</v>
      </c>
      <c r="AN59" s="1439">
        <v>11</v>
      </c>
      <c r="AO59" s="1439">
        <v>3</v>
      </c>
      <c r="AP59" s="1439">
        <v>11</v>
      </c>
      <c r="AQ59" s="1439">
        <v>0</v>
      </c>
      <c r="AR59" s="1439">
        <v>4</v>
      </c>
      <c r="AS59" s="1439">
        <v>115</v>
      </c>
      <c r="AT59" s="795">
        <v>10</v>
      </c>
      <c r="AU59" s="795">
        <v>10</v>
      </c>
      <c r="AV59" s="795">
        <v>10</v>
      </c>
      <c r="AW59" s="795">
        <v>10</v>
      </c>
      <c r="AX59" s="795">
        <v>10</v>
      </c>
      <c r="AY59" s="1439">
        <v>23</v>
      </c>
    </row>
  </sheetData>
  <sheetProtection formatColumns="0" formatRows="0" autoFilter="0" sort="0" insertRows="0" insertColumns="1" deleteRows="0" deleteColumns="0"/>
  <mergeCells count="113">
    <mergeCell ref="AS47:AS48"/>
    <mergeCell ref="T56:AS56"/>
    <mergeCell ref="T58:AS58"/>
    <mergeCell ref="K47:K48"/>
    <mergeCell ref="AC47:AC48"/>
    <mergeCell ref="AD47:AD48"/>
    <mergeCell ref="AE47:AE48"/>
    <mergeCell ref="AF47:AF48"/>
    <mergeCell ref="AN47:AN48"/>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H38:AJ38"/>
    <mergeCell ref="AK38:AM38"/>
    <mergeCell ref="AH39:AH40"/>
    <mergeCell ref="AI39:AJ39"/>
    <mergeCell ref="AK39:AK40"/>
    <mergeCell ref="X39:Y39"/>
    <mergeCell ref="W39:W40"/>
    <mergeCell ref="Z39:Z40"/>
    <mergeCell ref="AA39:AB39"/>
    <mergeCell ref="W38:Y38"/>
    <mergeCell ref="Z38:AB38"/>
  </mergeCells>
  <dataValidations count="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formula1>kind_of_scheme_in</formula1>
    </dataValidation>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E9AE1A8-5AE8-5139-4AA8-FEA66223AD0A}" mc:Ignorable="x14ac xr xr2 xr3">
  <sheetPr>
    <tabColor theme="6" tint="0.4"/>
  </sheetPr>
  <dimension ref="A1:AY59"/>
  <sheetViews>
    <sheetView topLeftCell="A1" showGridLines="0" zoomScale="90" workbookViewId="0">
      <selection activeCell="A1" sqref="A1"/>
    </sheetView>
  </sheetViews>
  <sheetFormatPr defaultColWidth="10.57421875" customHeight="1" defaultRowHeight="14.25"/>
  <cols>
    <col min="1" max="1" style="14157" width="10.57421875" hidden="1"/>
    <col min="2" max="2" style="14157" width="11.00390625" hidden="1" customWidth="1"/>
    <col min="3" max="3" style="14157" width="10.57421875" hidden="1"/>
    <col min="4" max="4" style="14157" width="11.8515625" hidden="1" customWidth="1"/>
    <col min="5" max="5" style="14157" width="10.00390625" hidden="1" customWidth="1"/>
    <col min="6" max="6" style="14157" width="8.7109375" hidden="1" customWidth="1"/>
    <col min="7" max="7" style="14157" width="7.57421875" hidden="1" customWidth="1"/>
    <col min="8" max="8" style="14157" width="11.421875" hidden="1" customWidth="1"/>
    <col min="9" max="9" style="14157" width="14.140625" hidden="1" customWidth="1"/>
    <col min="10" max="10" style="14157" width="9.8515625" hidden="1" customWidth="1"/>
    <col min="11" max="11" style="14157" width="14.7109375" hidden="1" customWidth="1"/>
    <col min="12" max="12" style="14974" width="19.140625" hidden="1" customWidth="1"/>
    <col min="13" max="14" style="14975" width="12.28125" hidden="1" customWidth="1"/>
    <col min="15" max="15" style="14975" width="23.421875" hidden="1" customWidth="1"/>
    <col min="16" max="16" style="14976" width="3.00390625" customWidth="1"/>
    <col min="17" max="18" style="14977" width="3.00390625" customWidth="1"/>
    <col min="19" max="19" style="14978" width="12.00390625" customWidth="1"/>
    <col min="20" max="20" style="14077" width="35.00390625" customWidth="1"/>
    <col min="21" max="21" style="14077" width="0.140625" customWidth="1"/>
    <col min="22" max="28" style="14077" width="19.7109375" hidden="1" customWidth="1"/>
    <col min="29" max="29" style="14077" width="11.7109375" hidden="1" customWidth="1"/>
    <col min="30" max="30" style="14077" width="3.7109375" hidden="1" customWidth="1"/>
    <col min="31" max="31" style="14077" width="11.7109375" hidden="1" customWidth="1"/>
    <col min="32" max="32" style="14077" width="8.57421875" hidden="1" customWidth="1"/>
    <col min="33" max="33" style="14077" width="19.7109375" customWidth="1"/>
    <col min="34" max="39" style="14077" width="19.00390625" customWidth="1"/>
    <col min="40" max="40" style="14077" width="11.00390625" customWidth="1"/>
    <col min="41" max="41" style="14077" width="3.7109375" customWidth="1"/>
    <col min="42" max="42" style="14077" width="11.00390625" customWidth="1"/>
    <col min="43" max="43" style="14077" width="8.57421875" hidden="1" customWidth="1"/>
    <col min="44" max="44" style="14077" width="4.00390625" customWidth="1"/>
    <col min="45" max="45" style="14077" width="115.00390625" customWidth="1"/>
    <col min="46" max="50" style="14158" width="10.00390625" customWidth="1"/>
    <col min="51" max="51" style="14077" width="10.57421875" hidden="1"/>
  </cols>
  <sheetData>
    <row customHeight="1" ht="22.5" hidden="1">
      <c r="AB1" s="611"/>
      <c r="AC1" s="611"/>
      <c r="AM1" s="611"/>
      <c r="AN1" s="611"/>
      <c r="AY1" s="1439" t="s">
        <v>14</v>
      </c>
    </row>
    <row customHeight="1" ht="23.25" hidden="1">
      <c r="A2" s="1647"/>
      <c r="B2" s="1647"/>
      <c r="C2" s="1647"/>
      <c r="D2" s="1647"/>
      <c r="E2" s="2542">
        <v>1</v>
      </c>
      <c r="F2" s="1647"/>
      <c r="G2" s="1647"/>
      <c r="H2" s="1647"/>
      <c r="I2" s="1647"/>
      <c r="J2" s="1647"/>
      <c r="K2" s="1647"/>
      <c r="L2" s="1648"/>
      <c r="M2" s="1649"/>
      <c r="N2" s="1649"/>
      <c r="O2" s="1649"/>
      <c r="P2" s="645"/>
      <c r="Q2" s="644"/>
      <c r="R2" s="639"/>
      <c r="S2" s="1777">
        <f>INDEX(PT_DIFFERENTIATION_NUM_NTAR,MATCH(A2,PT_DIFFERENTIATION_NTAR_ID,0))</f>
      </c>
      <c r="T2" s="582" t="s">
        <v>124</v>
      </c>
      <c r="U2" s="584"/>
      <c r="V2" s="2526"/>
      <c r="W2" s="2527"/>
      <c r="X2" s="2527"/>
      <c r="Y2" s="2527"/>
      <c r="Z2" s="2527"/>
      <c r="AA2" s="2527"/>
      <c r="AB2" s="2527"/>
      <c r="AC2" s="2527"/>
      <c r="AD2" s="2527"/>
      <c r="AE2" s="2527"/>
      <c r="AF2" s="2528"/>
      <c r="AG2" s="2526">
        <f>INDEX(PT_DIFFERENTIATION_NTAR,MATCH(A2,PT_DIFFERENTIATION_NTAR_ID,0))</f>
      </c>
      <c r="AH2" s="2527"/>
      <c r="AI2" s="2527"/>
      <c r="AJ2" s="2527"/>
      <c r="AK2" s="2527"/>
      <c r="AL2" s="2527"/>
      <c r="AM2" s="2527"/>
      <c r="AN2" s="2527"/>
      <c r="AO2" s="2527"/>
      <c r="AP2" s="2527"/>
      <c r="AQ2" s="2527"/>
      <c r="AR2" s="2528"/>
      <c r="AS2" s="154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784"/>
      <c r="AV2" s="784" t="str">
        <f>IF(T2="","",T2)</f>
        <v>Наименование тарифа</v>
      </c>
      <c r="AW2" s="784"/>
      <c r="AX2" s="784"/>
      <c r="AY2" s="1439">
        <v>0</v>
      </c>
    </row>
    <row customHeight="1" ht="23.25" hidden="1">
      <c r="A3" s="1647"/>
      <c r="B3" s="1647"/>
      <c r="C3" s="1647"/>
      <c r="D3" s="1647"/>
      <c r="E3" s="2543"/>
      <c r="F3" s="2542">
        <v>1</v>
      </c>
      <c r="G3" s="1647"/>
      <c r="H3" s="1647"/>
      <c r="I3" s="1647"/>
      <c r="J3" s="1647"/>
      <c r="K3" s="1647"/>
      <c r="L3" s="1648"/>
      <c r="M3" s="1649"/>
      <c r="N3" s="1649"/>
      <c r="O3" s="1649"/>
      <c r="P3" s="1771"/>
      <c r="Q3" s="636"/>
      <c r="R3" s="637"/>
      <c r="S3" s="1777">
        <f>INDEX(PT_DIFFERENTIATION_NUM_TER,MATCH(B3,PT_DIFFERENTIATION_TER_ID,0))</f>
      </c>
      <c r="T3" s="592" t="s">
        <v>402</v>
      </c>
      <c r="U3" s="584"/>
      <c r="V3" s="2526"/>
      <c r="W3" s="2527"/>
      <c r="X3" s="2527"/>
      <c r="Y3" s="2527"/>
      <c r="Z3" s="2527"/>
      <c r="AA3" s="2527"/>
      <c r="AB3" s="2527"/>
      <c r="AC3" s="2527"/>
      <c r="AD3" s="2527"/>
      <c r="AE3" s="2527"/>
      <c r="AF3" s="2528"/>
      <c r="AG3" s="2526">
        <f>INDEX(PT_DIFFERENTIATION_TER,MATCH(B3,PT_DIFFERENTIATION_TER_ID,0))</f>
      </c>
      <c r="AH3" s="2527"/>
      <c r="AI3" s="2527"/>
      <c r="AJ3" s="2527"/>
      <c r="AK3" s="2527"/>
      <c r="AL3" s="2527"/>
      <c r="AM3" s="2527"/>
      <c r="AN3" s="2527"/>
      <c r="AO3" s="2527"/>
      <c r="AP3" s="2527"/>
      <c r="AQ3" s="2527"/>
      <c r="AR3" s="2528"/>
      <c r="AS3" s="1542" t="s">
        <v>403</v>
      </c>
      <c r="AU3" s="784"/>
      <c r="AV3" s="784" t="str">
        <f>IF(T3="","",T3)</f>
        <v>Территория действия тарифа</v>
      </c>
      <c r="AW3" s="784"/>
      <c r="AX3" s="784"/>
      <c r="AY3" s="1439">
        <v>0</v>
      </c>
    </row>
    <row customHeight="1" ht="23.25" hidden="1">
      <c r="A4" s="1647"/>
      <c r="B4" s="1647"/>
      <c r="C4" s="1647"/>
      <c r="D4" s="1647"/>
      <c r="E4" s="2543"/>
      <c r="F4" s="2543"/>
      <c r="G4" s="2542">
        <v>1</v>
      </c>
      <c r="H4" s="1647"/>
      <c r="I4" s="1647"/>
      <c r="J4" s="1647"/>
      <c r="K4" s="1647"/>
      <c r="L4" s="1648"/>
      <c r="M4" s="1649"/>
      <c r="N4" s="1649"/>
      <c r="O4" s="1649"/>
      <c r="P4" s="638"/>
      <c r="Q4" s="636"/>
      <c r="R4" s="637"/>
      <c r="S4" s="1777">
        <f>INDEX(PT_DIFFERENTIATION_NUM_CS,MATCH(C4,PT_DIFFERENTIATION_CS_ID,0))</f>
      </c>
      <c r="T4" s="593" t="s">
        <v>538</v>
      </c>
      <c r="U4" s="584"/>
      <c r="V4" s="2526"/>
      <c r="W4" s="2527"/>
      <c r="X4" s="2527"/>
      <c r="Y4" s="2527"/>
      <c r="Z4" s="2527"/>
      <c r="AA4" s="2527"/>
      <c r="AB4" s="2527"/>
      <c r="AC4" s="2527"/>
      <c r="AD4" s="2527"/>
      <c r="AE4" s="2527"/>
      <c r="AF4" s="2528"/>
      <c r="AG4" s="2526">
        <f>INDEX(PT_DIFFERENTIATION_CS,MATCH(C4,PT_DIFFERENTIATION_CS_ID,0))</f>
      </c>
      <c r="AH4" s="2527"/>
      <c r="AI4" s="2527"/>
      <c r="AJ4" s="2527"/>
      <c r="AK4" s="2527"/>
      <c r="AL4" s="2527"/>
      <c r="AM4" s="2527"/>
      <c r="AN4" s="2527"/>
      <c r="AO4" s="2527"/>
      <c r="AP4" s="2527"/>
      <c r="AQ4" s="2527"/>
      <c r="AR4" s="2528"/>
      <c r="AS4" s="1542" t="s">
        <v>539</v>
      </c>
      <c r="AU4" s="784"/>
      <c r="AV4" s="784" t="str">
        <f>IF(T4="","",T4)</f>
        <v>Наименование централизованной системы горячего водоснабжения</v>
      </c>
      <c r="AW4" s="784"/>
      <c r="AX4" s="784"/>
      <c r="AY4" s="1439">
        <v>0</v>
      </c>
    </row>
    <row customHeight="1" ht="23.25" hidden="1">
      <c r="A5" s="1647"/>
      <c r="B5" s="1647"/>
      <c r="C5" s="1647"/>
      <c r="D5" s="1647"/>
      <c r="E5" s="2543"/>
      <c r="F5" s="2543"/>
      <c r="G5" s="2543"/>
      <c r="H5" s="2543"/>
      <c r="I5" s="2540">
        <f>S4&amp;".1"</f>
      </c>
      <c r="J5" s="1647"/>
      <c r="K5" s="1647"/>
      <c r="L5" s="1648"/>
      <c r="P5" s="2541">
        <v>1</v>
      </c>
      <c r="Q5" s="1765"/>
      <c r="R5" s="640"/>
      <c r="S5" s="1777">
        <f>$I5</f>
      </c>
      <c r="T5" s="569" t="s">
        <v>491</v>
      </c>
      <c r="U5" s="584"/>
      <c r="V5" s="2634"/>
      <c r="W5" s="2635"/>
      <c r="X5" s="2635"/>
      <c r="Y5" s="2635"/>
      <c r="Z5" s="2635"/>
      <c r="AA5" s="2635"/>
      <c r="AB5" s="2635"/>
      <c r="AC5" s="2635"/>
      <c r="AD5" s="2635"/>
      <c r="AE5" s="2635"/>
      <c r="AF5" s="2636"/>
      <c r="AG5" s="2637"/>
      <c r="AH5" s="2638"/>
      <c r="AI5" s="2638"/>
      <c r="AJ5" s="2638"/>
      <c r="AK5" s="2638"/>
      <c r="AL5" s="2638"/>
      <c r="AM5" s="2638"/>
      <c r="AN5" s="2638"/>
      <c r="AO5" s="2638"/>
      <c r="AP5" s="2638"/>
      <c r="AQ5" s="2638"/>
      <c r="AR5" s="2639"/>
      <c r="AS5" s="1542" t="s">
        <v>492</v>
      </c>
      <c r="AU5" s="784"/>
      <c r="AV5" s="784" t="str">
        <f>IF(T5="","",T5)</f>
        <v>Наименование признака дифференциации</v>
      </c>
      <c r="AW5" s="784"/>
      <c r="AX5" s="784"/>
      <c r="AY5" s="1439">
        <v>0</v>
      </c>
    </row>
    <row customHeight="1" ht="23.25" hidden="1">
      <c r="A6" s="1647"/>
      <c r="B6" s="1647"/>
      <c r="C6" s="1647"/>
      <c r="D6" s="1647"/>
      <c r="E6" s="2543"/>
      <c r="F6" s="2543"/>
      <c r="G6" s="2543"/>
      <c r="H6" s="2543"/>
      <c r="I6" s="2570"/>
      <c r="J6" s="2540">
        <f>I5&amp;".1"</f>
      </c>
      <c r="K6" s="1647"/>
      <c r="L6" s="1648" t="s">
        <v>411</v>
      </c>
      <c r="P6" s="2541"/>
      <c r="Q6" s="2541">
        <v>1</v>
      </c>
      <c r="R6" s="641"/>
      <c r="S6" s="1777">
        <f>$J6</f>
      </c>
      <c r="T6" s="570" t="s">
        <v>412</v>
      </c>
      <c r="U6" s="584"/>
      <c r="V6" s="2529"/>
      <c r="W6" s="2530"/>
      <c r="X6" s="2530"/>
      <c r="Y6" s="2530"/>
      <c r="Z6" s="2530"/>
      <c r="AA6" s="2530"/>
      <c r="AB6" s="2530"/>
      <c r="AC6" s="2530"/>
      <c r="AD6" s="2530"/>
      <c r="AE6" s="2530"/>
      <c r="AF6" s="2531"/>
      <c r="AG6" s="2529"/>
      <c r="AH6" s="2530"/>
      <c r="AI6" s="2530"/>
      <c r="AJ6" s="2530"/>
      <c r="AK6" s="2530"/>
      <c r="AL6" s="2530"/>
      <c r="AM6" s="2530"/>
      <c r="AN6" s="2530"/>
      <c r="AO6" s="2530"/>
      <c r="AP6" s="2530"/>
      <c r="AQ6" s="2530"/>
      <c r="AR6" s="2531"/>
      <c r="AS6" s="1591" t="s">
        <v>493</v>
      </c>
      <c r="AU6" s="784"/>
      <c r="AV6" s="784" t="str">
        <f>IF(T6="","",T6)</f>
        <v>Группа потребителей</v>
      </c>
      <c r="AW6" s="784"/>
      <c r="AX6" s="784"/>
      <c r="AY6" s="1439">
        <v>0</v>
      </c>
    </row>
    <row customHeight="1" ht="23.25" hidden="1">
      <c r="A7" s="1647"/>
      <c r="B7" s="1647"/>
      <c r="C7" s="1647"/>
      <c r="D7" s="1647"/>
      <c r="E7" s="2543"/>
      <c r="F7" s="2543"/>
      <c r="G7" s="2543"/>
      <c r="H7" s="2543"/>
      <c r="I7" s="2570"/>
      <c r="J7" s="2570"/>
      <c r="K7" s="2540">
        <f>J6&amp;".1"</f>
      </c>
      <c r="L7" s="1648"/>
      <c r="P7" s="2541"/>
      <c r="Q7" s="2541"/>
      <c r="R7" s="641">
        <v>1</v>
      </c>
      <c r="S7" s="1777">
        <f>$K7</f>
      </c>
      <c r="T7" s="1721"/>
      <c r="U7" s="584"/>
      <c r="V7" s="1035"/>
      <c r="W7" s="1035"/>
      <c r="X7" s="1035"/>
      <c r="Y7" s="1035"/>
      <c r="Z7" s="1035"/>
      <c r="AA7" s="1035"/>
      <c r="AB7" s="1541"/>
      <c r="AC7" s="2549"/>
      <c r="AD7" s="2391" t="s">
        <v>67</v>
      </c>
      <c r="AE7" s="2549"/>
      <c r="AF7" s="2391" t="s">
        <v>67</v>
      </c>
      <c r="AG7" s="1035"/>
      <c r="AH7" s="1035"/>
      <c r="AI7" s="1035"/>
      <c r="AJ7" s="1035"/>
      <c r="AK7" s="1035"/>
      <c r="AL7" s="1035"/>
      <c r="AM7" s="1541"/>
      <c r="AN7" s="2549"/>
      <c r="AO7" s="2391" t="s">
        <v>67</v>
      </c>
      <c r="AP7" s="2571"/>
      <c r="AQ7" s="2391" t="s">
        <v>67</v>
      </c>
      <c r="AR7" s="1722"/>
      <c r="AS7" s="263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795">
        <f>STRCHECKDATE(V8:AR8)</f>
      </c>
      <c r="AU7" s="784"/>
      <c r="AV7" s="784" t="str">
        <f>IF(T7="","",T7)</f>
        <v/>
      </c>
      <c r="AW7" s="784"/>
      <c r="AX7" s="784"/>
      <c r="AY7" s="1439">
        <v>0</v>
      </c>
    </row>
    <row customHeight="1" ht="14.25" hidden="1">
      <c r="A8" s="1647"/>
      <c r="B8" s="1647"/>
      <c r="C8" s="1647"/>
      <c r="D8" s="1647"/>
      <c r="E8" s="2543"/>
      <c r="F8" s="2543"/>
      <c r="G8" s="2543"/>
      <c r="H8" s="2543"/>
      <c r="I8" s="2570"/>
      <c r="J8" s="2570"/>
      <c r="K8" s="2540"/>
      <c r="L8" s="1648"/>
      <c r="P8" s="2541"/>
      <c r="Q8" s="2541"/>
      <c r="R8" s="641"/>
      <c r="S8" s="1774"/>
      <c r="T8" s="584"/>
      <c r="U8" s="584"/>
      <c r="V8" s="609"/>
      <c r="W8" s="609"/>
      <c r="X8" s="609"/>
      <c r="Y8" s="609"/>
      <c r="Z8" s="609"/>
      <c r="AA8" s="609"/>
      <c r="AB8" s="612" t="str">
        <f>AC7&amp;"-"&amp;AE7</f>
        <v>-</v>
      </c>
      <c r="AC8" s="2550"/>
      <c r="AD8" s="2391"/>
      <c r="AE8" s="2550"/>
      <c r="AF8" s="2391"/>
      <c r="AG8" s="609"/>
      <c r="AH8" s="609"/>
      <c r="AI8" s="609"/>
      <c r="AJ8" s="609"/>
      <c r="AK8" s="609"/>
      <c r="AL8" s="609"/>
      <c r="AM8" s="612" t="str">
        <f>AN7&amp;"-"&amp;AP7</f>
        <v>-</v>
      </c>
      <c r="AN8" s="2550"/>
      <c r="AO8" s="2391"/>
      <c r="AP8" s="2572"/>
      <c r="AQ8" s="2391"/>
      <c r="AR8" s="1723"/>
      <c r="AS8" s="2633"/>
      <c r="AU8" s="784"/>
      <c r="AV8" s="784" t="str">
        <f>IF(T8="","",T8)</f>
        <v/>
      </c>
      <c r="AW8" s="784"/>
      <c r="AX8" s="784"/>
      <c r="AY8" s="1439">
        <v>0</v>
      </c>
    </row>
    <row customHeight="1" ht="21" hidden="1">
      <c r="A9" s="1647"/>
      <c r="B9" s="1647"/>
      <c r="C9" s="1647"/>
      <c r="D9" s="1647"/>
      <c r="E9" s="2543"/>
      <c r="F9" s="2543"/>
      <c r="G9" s="2543"/>
      <c r="H9" s="2543"/>
      <c r="I9" s="2570"/>
      <c r="J9" s="2540"/>
      <c r="K9" s="1647"/>
      <c r="L9" s="1648"/>
      <c r="P9" s="2541"/>
      <c r="Q9" s="2541"/>
      <c r="R9" s="640"/>
      <c r="S9" s="1562"/>
      <c r="T9" s="571" t="s">
        <v>494</v>
      </c>
      <c r="U9" s="651"/>
      <c r="V9" s="651"/>
      <c r="W9" s="884"/>
      <c r="X9" s="884"/>
      <c r="Y9" s="884"/>
      <c r="Z9" s="884"/>
      <c r="AA9" s="884"/>
      <c r="AB9" s="651"/>
      <c r="AC9" s="651"/>
      <c r="AD9" s="651"/>
      <c r="AE9" s="651"/>
      <c r="AF9" s="651"/>
      <c r="AG9" s="651"/>
      <c r="AH9" s="884"/>
      <c r="AI9" s="884"/>
      <c r="AJ9" s="884"/>
      <c r="AK9" s="884"/>
      <c r="AL9" s="884"/>
      <c r="AM9" s="651"/>
      <c r="AN9" s="651"/>
      <c r="AO9" s="651"/>
      <c r="AP9" s="651"/>
      <c r="AQ9" s="651"/>
      <c r="AR9" s="651"/>
      <c r="AS9" s="1542" t="s">
        <v>495</v>
      </c>
      <c r="AU9" s="784"/>
      <c r="AV9" s="784" t="str">
        <f>IF(T9="","",T9)</f>
        <v>Добавить значение признака дифференциации</v>
      </c>
      <c r="AW9" s="784"/>
      <c r="AX9" s="784"/>
      <c r="AY9" s="1439">
        <v>0</v>
      </c>
    </row>
    <row customHeight="1" ht="21" hidden="1">
      <c r="A10" s="1647"/>
      <c r="B10" s="1647"/>
      <c r="C10" s="1647"/>
      <c r="D10" s="1647"/>
      <c r="E10" s="2543"/>
      <c r="F10" s="2543"/>
      <c r="G10" s="2543"/>
      <c r="H10" s="2543"/>
      <c r="I10" s="2540"/>
      <c r="J10" s="1647"/>
      <c r="K10" s="1647"/>
      <c r="L10" s="1648"/>
      <c r="P10" s="2541"/>
      <c r="Q10" s="1765"/>
      <c r="R10" s="640"/>
      <c r="S10" s="1562"/>
      <c r="T10" s="649" t="s">
        <v>417</v>
      </c>
      <c r="U10" s="651"/>
      <c r="V10" s="651"/>
      <c r="W10" s="884"/>
      <c r="X10" s="884"/>
      <c r="Y10" s="884"/>
      <c r="Z10" s="884"/>
      <c r="AA10" s="884"/>
      <c r="AB10" s="651"/>
      <c r="AC10" s="651"/>
      <c r="AD10" s="651"/>
      <c r="AE10" s="651"/>
      <c r="AF10" s="650"/>
      <c r="AG10" s="651"/>
      <c r="AH10" s="884"/>
      <c r="AI10" s="884"/>
      <c r="AJ10" s="884"/>
      <c r="AK10" s="884"/>
      <c r="AL10" s="884"/>
      <c r="AM10" s="651"/>
      <c r="AN10" s="651"/>
      <c r="AO10" s="651"/>
      <c r="AP10" s="651"/>
      <c r="AQ10" s="650"/>
      <c r="AR10" s="651"/>
      <c r="AS10" s="1724"/>
      <c r="AU10" s="784"/>
      <c r="AV10" s="784" t="str">
        <f>IF(T10="","",T10)</f>
        <v>Добавить группу потребителей</v>
      </c>
      <c r="AW10" s="784"/>
      <c r="AX10" s="784"/>
      <c r="AY10" s="1439">
        <v>0</v>
      </c>
    </row>
    <row customHeight="1" ht="21" hidden="1">
      <c r="A11" s="1647"/>
      <c r="B11" s="1647"/>
      <c r="C11" s="1647"/>
      <c r="D11" s="1647"/>
      <c r="E11" s="2543"/>
      <c r="F11" s="2543"/>
      <c r="G11" s="2543"/>
      <c r="H11" s="2542"/>
      <c r="I11" s="1647"/>
      <c r="J11" s="1647"/>
      <c r="K11" s="1647"/>
      <c r="L11" s="1648"/>
      <c r="M11" s="1649"/>
      <c r="N11" s="1649"/>
      <c r="O11" s="821"/>
      <c r="P11" s="644"/>
      <c r="Q11" s="659"/>
      <c r="R11" s="639"/>
      <c r="S11" s="1562"/>
      <c r="T11" s="656" t="s">
        <v>496</v>
      </c>
      <c r="U11" s="651"/>
      <c r="V11" s="651"/>
      <c r="W11" s="884"/>
      <c r="X11" s="884"/>
      <c r="Y11" s="884"/>
      <c r="Z11" s="884"/>
      <c r="AA11" s="884"/>
      <c r="AB11" s="651"/>
      <c r="AC11" s="651"/>
      <c r="AD11" s="651"/>
      <c r="AE11" s="651"/>
      <c r="AF11" s="650"/>
      <c r="AG11" s="651"/>
      <c r="AH11" s="884"/>
      <c r="AI11" s="884"/>
      <c r="AJ11" s="884"/>
      <c r="AK11" s="884"/>
      <c r="AL11" s="884"/>
      <c r="AM11" s="651"/>
      <c r="AN11" s="651"/>
      <c r="AO11" s="651"/>
      <c r="AP11" s="651"/>
      <c r="AQ11" s="650"/>
      <c r="AR11" s="651"/>
      <c r="AS11" s="587"/>
      <c r="AU11" s="784"/>
      <c r="AV11" s="784" t="str">
        <f>IF(T11="","",T11)</f>
        <v>Добавить наименование признака дифференциации</v>
      </c>
      <c r="AW11" s="784"/>
      <c r="AX11" s="784"/>
      <c r="AY11" s="1439">
        <v>0</v>
      </c>
    </row>
    <row s="14158" customFormat="1" customHeight="1" ht="14.25" hidden="1">
      <c r="A12" s="1627"/>
      <c r="B12" s="1627"/>
      <c r="C12" s="1598"/>
      <c r="D12" s="1598"/>
      <c r="E12" s="2543"/>
      <c r="F12" s="2542"/>
      <c r="G12" s="1598"/>
      <c r="H12" s="1598"/>
      <c r="I12" s="1598"/>
      <c r="J12" s="1598"/>
      <c r="K12" s="1598"/>
      <c r="L12" s="1778"/>
      <c r="M12" s="1605"/>
      <c r="N12" s="1605"/>
      <c r="P12" s="1600"/>
      <c r="Q12" s="1601"/>
      <c r="R12" s="1600"/>
      <c r="S12" s="1606"/>
      <c r="T12" s="1609" t="s">
        <v>170</v>
      </c>
      <c r="U12" s="1608"/>
      <c r="V12" s="1608"/>
      <c r="W12" s="1608"/>
      <c r="X12" s="1608"/>
      <c r="Y12" s="1608"/>
      <c r="Z12" s="1608"/>
      <c r="AA12" s="1608"/>
      <c r="AB12" s="1608"/>
      <c r="AC12" s="1608"/>
      <c r="AD12" s="1608"/>
      <c r="AE12" s="1608"/>
      <c r="AF12" s="1608"/>
      <c r="AG12" s="1608"/>
      <c r="AH12" s="1608"/>
      <c r="AI12" s="1608"/>
      <c r="AJ12" s="1608"/>
      <c r="AK12" s="1608"/>
      <c r="AL12" s="1608"/>
      <c r="AM12" s="1608"/>
      <c r="AN12" s="1608"/>
      <c r="AO12" s="1608"/>
      <c r="AP12" s="1608"/>
      <c r="AQ12" s="1608"/>
      <c r="AR12" s="1608"/>
      <c r="AS12" s="1608"/>
      <c r="AU12" s="1073"/>
      <c r="AV12" s="1073" t="str">
        <f>IF(T12="","",T12)</f>
        <v>Добавить централизованную систему для дифференциации</v>
      </c>
      <c r="AW12" s="1073"/>
      <c r="AX12" s="1073"/>
      <c r="AY12" s="802">
        <v>0</v>
      </c>
    </row>
    <row s="14158" customFormat="1" customHeight="1" ht="14.25" hidden="1">
      <c r="A13" s="1627"/>
      <c r="B13" s="1627"/>
      <c r="C13" s="1627"/>
      <c r="D13" s="1627"/>
      <c r="E13" s="2542"/>
      <c r="F13" s="1627"/>
      <c r="G13" s="1627"/>
      <c r="H13" s="1627"/>
      <c r="I13" s="1627"/>
      <c r="J13" s="1627"/>
      <c r="K13" s="1627"/>
      <c r="L13" s="1630"/>
      <c r="M13" s="1605"/>
      <c r="N13" s="1605"/>
      <c r="O13" s="802"/>
      <c r="P13" s="664"/>
      <c r="Q13" s="1628"/>
      <c r="R13" s="664"/>
      <c r="S13" s="1606"/>
      <c r="T13" s="1609" t="s">
        <v>171</v>
      </c>
      <c r="U13" s="1608"/>
      <c r="V13" s="1608"/>
      <c r="W13" s="1608"/>
      <c r="X13" s="1608"/>
      <c r="Y13" s="1608"/>
      <c r="Z13" s="1608"/>
      <c r="AA13" s="1608"/>
      <c r="AB13" s="1608"/>
      <c r="AC13" s="1608"/>
      <c r="AD13" s="1608"/>
      <c r="AE13" s="1608"/>
      <c r="AF13" s="1608"/>
      <c r="AG13" s="1608"/>
      <c r="AH13" s="1608"/>
      <c r="AI13" s="1608"/>
      <c r="AJ13" s="1608"/>
      <c r="AK13" s="1608"/>
      <c r="AL13" s="1608"/>
      <c r="AM13" s="1608"/>
      <c r="AN13" s="1608"/>
      <c r="AO13" s="1608"/>
      <c r="AP13" s="1608"/>
      <c r="AQ13" s="1608"/>
      <c r="AR13" s="1608"/>
      <c r="AS13" s="1608"/>
      <c r="AU13" s="784"/>
      <c r="AV13" s="784" t="str">
        <f>IF(T13="","",T13)</f>
        <v>Добавить территорию для дифференциации</v>
      </c>
      <c r="AW13" s="784"/>
      <c r="AX13" s="784"/>
      <c r="AY13" s="795">
        <v>0</v>
      </c>
    </row>
    <row customHeight="1" ht="14.25" hidden="1">
      <c r="AF14" s="611"/>
      <c r="AQ14" s="611"/>
      <c r="AY14" s="1439">
        <v>0</v>
      </c>
    </row>
    <row customHeight="1" ht="14.25" hidden="1">
      <c r="AG15" s="1644"/>
      <c r="AH15" s="1644"/>
      <c r="AI15" s="1644"/>
      <c r="AJ15" s="1644"/>
      <c r="AK15" s="1644"/>
      <c r="AL15" s="1644"/>
      <c r="AM15" s="1645"/>
      <c r="AN15" s="2551"/>
      <c r="AO15" s="2552" t="s">
        <v>67</v>
      </c>
      <c r="AP15" s="2551"/>
      <c r="AQ15" s="2552" t="s">
        <v>67</v>
      </c>
      <c r="AY15" s="1439">
        <v>0</v>
      </c>
    </row>
    <row customHeight="1" ht="14.25" hidden="1">
      <c r="AG16" s="1644"/>
      <c r="AH16" s="1644"/>
      <c r="AI16" s="1644"/>
      <c r="AJ16" s="1644"/>
      <c r="AK16" s="1644"/>
      <c r="AL16" s="1644"/>
      <c r="AM16" s="612" t="str">
        <f>AN15&amp;"-"&amp;AP15</f>
        <v>-</v>
      </c>
      <c r="AN16" s="2552"/>
      <c r="AO16" s="2552"/>
      <c r="AP16" s="2552"/>
      <c r="AQ16" s="2552"/>
      <c r="AY16" s="1439">
        <v>0</v>
      </c>
    </row>
    <row customHeight="1" ht="14.25" hidden="1">
      <c r="AQ17" s="611"/>
      <c r="AY17" s="1439">
        <v>0</v>
      </c>
    </row>
    <row s="14157" customFormat="1" customHeight="1" ht="22.5" hidden="1">
      <c r="L18" s="1762"/>
      <c r="M18" s="1646"/>
      <c r="N18" s="1646"/>
      <c r="O18" s="1651" t="s">
        <v>419</v>
      </c>
      <c r="P18" s="1646"/>
      <c r="Q18" s="1655"/>
      <c r="R18" s="1655"/>
      <c r="S18" s="1013"/>
      <c r="W18" s="1650"/>
      <c r="X18" s="1650"/>
      <c r="Y18" s="1650"/>
      <c r="Z18" s="1650"/>
      <c r="AA18" s="1650"/>
      <c r="AC18" s="1651"/>
      <c r="AE18" s="1651"/>
      <c r="AF18" s="1650"/>
      <c r="AH18" s="1650"/>
      <c r="AI18" s="1650"/>
      <c r="AJ18" s="1650"/>
      <c r="AK18" s="1650"/>
      <c r="AL18" s="1650"/>
      <c r="AN18" s="1651"/>
      <c r="AP18" s="1651"/>
      <c r="AQ18" s="1650"/>
      <c r="AT18" s="795"/>
      <c r="AU18" s="795"/>
      <c r="AV18" s="795"/>
      <c r="AW18" s="795"/>
      <c r="AX18" s="795"/>
      <c r="AY18" s="1444">
        <v>0</v>
      </c>
    </row>
    <row s="14157" customFormat="1" customHeight="1" ht="14.25" hidden="1">
      <c r="L19" s="1762"/>
      <c r="M19" s="1646"/>
      <c r="N19" s="1646"/>
      <c r="O19" s="1646"/>
      <c r="P19" s="1646"/>
      <c r="Q19" s="1655"/>
      <c r="R19" s="1655"/>
      <c r="S19" s="1013"/>
      <c r="W19" s="1650"/>
      <c r="X19" s="1650"/>
      <c r="Y19" s="1650"/>
      <c r="Z19" s="1650"/>
      <c r="AA19" s="1650"/>
      <c r="AF19" s="1650"/>
      <c r="AH19" s="1650"/>
      <c r="AI19" s="1650"/>
      <c r="AJ19" s="1650"/>
      <c r="AK19" s="1650"/>
      <c r="AL19" s="1650"/>
      <c r="AQ19" s="1650"/>
      <c r="AT19" s="795"/>
      <c r="AU19" s="795"/>
      <c r="AV19" s="795"/>
      <c r="AW19" s="795"/>
      <c r="AX19" s="795"/>
      <c r="AY19" s="1444">
        <v>0</v>
      </c>
    </row>
    <row s="14157" customFormat="1" customHeight="1" ht="12" hidden="1">
      <c r="L20" s="1762"/>
      <c r="M20" s="1646"/>
      <c r="N20" s="1646"/>
      <c r="O20" s="1648" t="s">
        <v>420</v>
      </c>
      <c r="P20" s="1646"/>
      <c r="Q20" s="1726"/>
      <c r="R20" s="1726"/>
      <c r="S20" s="1013"/>
      <c r="T20" s="1444" t="s">
        <v>421</v>
      </c>
      <c r="W20" s="1650"/>
      <c r="X20" s="1650"/>
      <c r="Y20" s="1650"/>
      <c r="Z20" s="1650"/>
      <c r="AA20" s="1650"/>
      <c r="AD20" s="470" t="s">
        <v>422</v>
      </c>
      <c r="AF20" s="470" t="s">
        <v>423</v>
      </c>
      <c r="AG20" s="1444" t="s">
        <v>421</v>
      </c>
      <c r="AH20" s="1650"/>
      <c r="AI20" s="1650"/>
      <c r="AJ20" s="1650"/>
      <c r="AK20" s="1650"/>
      <c r="AL20" s="1650"/>
      <c r="AO20" s="470" t="s">
        <v>424</v>
      </c>
      <c r="AQ20" s="470" t="s">
        <v>423</v>
      </c>
      <c r="AY20" s="1444">
        <v>0</v>
      </c>
    </row>
    <row customHeight="1" ht="14.25" hidden="1">
      <c r="O21" s="1648"/>
      <c r="AY21" s="1439">
        <v>0</v>
      </c>
    </row>
    <row customHeight="1" ht="14.25" hidden="1">
      <c r="O22" s="1648"/>
      <c r="AY22" s="1439">
        <v>0</v>
      </c>
    </row>
    <row customHeight="1" ht="14.699999999999998">
      <c r="Q23" s="660"/>
      <c r="R23" s="660"/>
      <c r="S23" s="1559"/>
      <c r="T23" s="647"/>
      <c r="U23" s="647"/>
      <c r="V23" s="793"/>
      <c r="W23" s="1919"/>
      <c r="X23" s="1919"/>
      <c r="Y23" s="1919"/>
      <c r="Z23" s="1919"/>
      <c r="AA23" s="1919"/>
      <c r="AB23" s="793"/>
      <c r="AC23" s="793"/>
      <c r="AD23" s="793"/>
      <c r="AE23" s="793"/>
      <c r="AF23" s="793"/>
      <c r="AG23" s="793"/>
      <c r="AH23" s="1919"/>
      <c r="AI23" s="1919"/>
      <c r="AJ23" s="1919"/>
      <c r="AK23" s="1919"/>
      <c r="AL23" s="1919"/>
      <c r="AM23" s="793"/>
      <c r="AN23" s="793"/>
      <c r="AO23" s="793"/>
      <c r="AP23" s="793"/>
      <c r="AQ23" s="793"/>
      <c r="AY23" s="1439">
        <v>14</v>
      </c>
    </row>
    <row customHeight="1" ht="26.25">
      <c r="Q24" s="660"/>
      <c r="R24" s="660"/>
      <c r="S24" s="2532"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532"/>
      <c r="U24" s="2532"/>
      <c r="V24" s="2532"/>
      <c r="W24" s="2532"/>
      <c r="X24" s="2532"/>
      <c r="Y24" s="2532"/>
      <c r="Z24" s="2532"/>
      <c r="AA24" s="2532"/>
      <c r="AB24" s="2532"/>
      <c r="AC24" s="2532"/>
      <c r="AD24" s="2532"/>
      <c r="AE24" s="2532"/>
      <c r="AF24" s="2532"/>
      <c r="AG24" s="2532"/>
      <c r="AH24" s="2532"/>
      <c r="AI24" s="2532"/>
      <c r="AJ24" s="2532"/>
      <c r="AK24" s="2532"/>
      <c r="AL24" s="2532"/>
      <c r="AM24" s="2532"/>
      <c r="AN24" s="2532"/>
      <c r="AO24" s="2532"/>
      <c r="AP24" s="2532"/>
      <c r="AQ24" s="1527"/>
      <c r="AY24" s="1439">
        <v>25</v>
      </c>
    </row>
    <row customHeight="1" ht="14.699999999999998">
      <c r="Q25" s="660"/>
      <c r="R25" s="660"/>
      <c r="S25" s="2533" t="str">
        <f>IF(org=0,"Не определено",org)</f>
        <v>МУП г. Азова "Теплоэнерго"</v>
      </c>
      <c r="T25" s="2533"/>
      <c r="U25" s="2533"/>
      <c r="V25" s="2533"/>
      <c r="W25" s="2533"/>
      <c r="X25" s="2533"/>
      <c r="Y25" s="2533"/>
      <c r="Z25" s="2533"/>
      <c r="AA25" s="2533"/>
      <c r="AB25" s="2533"/>
      <c r="AC25" s="2533"/>
      <c r="AD25" s="2533"/>
      <c r="AE25" s="2533"/>
      <c r="AF25" s="2533"/>
      <c r="AG25" s="2533"/>
      <c r="AH25" s="2533"/>
      <c r="AI25" s="2533"/>
      <c r="AJ25" s="2533"/>
      <c r="AK25" s="2533"/>
      <c r="AL25" s="2533"/>
      <c r="AM25" s="2533"/>
      <c r="AN25" s="2533"/>
      <c r="AO25" s="2533"/>
      <c r="AP25" s="2533"/>
      <c r="AQ25" s="1527"/>
      <c r="AY25" s="1439">
        <v>14</v>
      </c>
    </row>
    <row customHeight="1" ht="14.25" hidden="1">
      <c r="Q26" s="660"/>
      <c r="R26" s="660"/>
      <c r="S26" s="1559"/>
      <c r="T26" s="647"/>
      <c r="U26" s="647"/>
      <c r="V26" s="606"/>
      <c r="W26" s="606"/>
      <c r="X26" s="606"/>
      <c r="Y26" s="606"/>
      <c r="Z26" s="606"/>
      <c r="AA26" s="606"/>
      <c r="AB26" s="606"/>
      <c r="AC26" s="606"/>
      <c r="AD26" s="606"/>
      <c r="AE26" s="606"/>
      <c r="AF26" s="606"/>
      <c r="AG26" s="606"/>
      <c r="AH26" s="606"/>
      <c r="AI26" s="606"/>
      <c r="AJ26" s="606"/>
      <c r="AK26" s="606"/>
      <c r="AL26" s="606"/>
      <c r="AM26" s="606"/>
      <c r="AN26" s="606"/>
      <c r="AO26" s="606"/>
      <c r="AP26" s="606"/>
      <c r="AQ26" s="606"/>
      <c r="AR26" s="793"/>
      <c r="AY26" s="1439">
        <v>0</v>
      </c>
    </row>
    <row s="14284" customFormat="1" customHeight="1" ht="25.5" hidden="1">
      <c r="A27" s="1652"/>
      <c r="B27" s="1652"/>
      <c r="C27" s="1652"/>
      <c r="D27" s="1652"/>
      <c r="E27" s="1652"/>
      <c r="F27" s="1652"/>
      <c r="G27" s="1652"/>
      <c r="H27" s="1652"/>
      <c r="I27" s="1652"/>
      <c r="J27" s="1652"/>
      <c r="K27" s="1652"/>
      <c r="L27" s="1653"/>
      <c r="M27" s="1652"/>
      <c r="N27" s="1652"/>
      <c r="O27" s="1652"/>
      <c r="S27" s="2534" t="s">
        <v>42</v>
      </c>
      <c r="T27" s="2534"/>
      <c r="U27" s="1656"/>
      <c r="V27" s="2535" t="str">
        <f>IF(TITLE_NAME_OR_PR_CHANGE="",IF(TITLE_NAME_OR_PR="","",TITLE_NAME_OR_PR),TITLE_NAME_OR_PR_CHANGE)</f>
        <v/>
      </c>
      <c r="W27" s="2535"/>
      <c r="X27" s="2535"/>
      <c r="Y27" s="2535"/>
      <c r="Z27" s="2535"/>
      <c r="AA27" s="2535"/>
      <c r="AB27" s="2535"/>
      <c r="AC27" s="2535"/>
      <c r="AD27" s="2535"/>
      <c r="AE27" s="2535"/>
      <c r="AF27" s="610"/>
      <c r="AG27" s="2535" t="str">
        <f>IF(TITLE_NAME_OR_PR_CHANGE="",IF(TITLE_NAME_OR_PR="","",TITLE_NAME_OR_PR),TITLE_NAME_OR_PR_CHANGE)</f>
        <v/>
      </c>
      <c r="AH27" s="2535"/>
      <c r="AI27" s="2535"/>
      <c r="AJ27" s="2535"/>
      <c r="AK27" s="2535"/>
      <c r="AL27" s="2535"/>
      <c r="AM27" s="2535"/>
      <c r="AN27" s="2535"/>
      <c r="AO27" s="2535"/>
      <c r="AP27" s="2535"/>
      <c r="AQ27" s="610"/>
      <c r="AR27" s="610"/>
      <c r="AS27" s="564"/>
      <c r="AT27" s="652"/>
      <c r="AU27" s="652"/>
      <c r="AV27" s="652"/>
      <c r="AW27" s="652"/>
      <c r="AX27" s="652"/>
      <c r="AY27" s="702">
        <v>0</v>
      </c>
    </row>
    <row s="14284" customFormat="1" customHeight="1" ht="18.75" hidden="1">
      <c r="A28" s="1652"/>
      <c r="B28" s="1652"/>
      <c r="C28" s="1652"/>
      <c r="D28" s="1652"/>
      <c r="E28" s="1652"/>
      <c r="F28" s="1652"/>
      <c r="G28" s="1652"/>
      <c r="H28" s="1652"/>
      <c r="I28" s="1652"/>
      <c r="J28" s="1652"/>
      <c r="K28" s="1652"/>
      <c r="L28" s="1653"/>
      <c r="M28" s="1652"/>
      <c r="N28" s="1652"/>
      <c r="O28" s="1652"/>
      <c r="S28" s="2534" t="s">
        <v>425</v>
      </c>
      <c r="T28" s="2534"/>
      <c r="U28" s="1656"/>
      <c r="V28" s="2548" t="str">
        <f>IF(TITLE_DATE_PR_CHANGE="",IF(TITLE_DATE_PR="","",TITLE_DATE_PR),TITLE_DATE_PR_CHANGE)</f>
        <v>45471</v>
      </c>
      <c r="W28" s="2548"/>
      <c r="X28" s="2548"/>
      <c r="Y28" s="2548"/>
      <c r="Z28" s="2548"/>
      <c r="AA28" s="2548"/>
      <c r="AB28" s="2548"/>
      <c r="AC28" s="2548"/>
      <c r="AD28" s="2548"/>
      <c r="AE28" s="2548"/>
      <c r="AF28" s="610"/>
      <c r="AG28" s="2548" t="str">
        <f>IF(TITLE_DATE_PR_CHANGE="",IF(TITLE_DATE_PR="","",TITLE_DATE_PR),TITLE_DATE_PR_CHANGE)</f>
        <v>45471</v>
      </c>
      <c r="AH28" s="2548"/>
      <c r="AI28" s="2548"/>
      <c r="AJ28" s="2548"/>
      <c r="AK28" s="2548"/>
      <c r="AL28" s="2548"/>
      <c r="AM28" s="2548"/>
      <c r="AN28" s="2548"/>
      <c r="AO28" s="2548"/>
      <c r="AP28" s="2548"/>
      <c r="AQ28" s="610"/>
      <c r="AR28" s="610"/>
      <c r="AS28" s="564"/>
      <c r="AT28" s="652"/>
      <c r="AU28" s="652"/>
      <c r="AV28" s="652"/>
      <c r="AW28" s="652"/>
      <c r="AX28" s="652"/>
      <c r="AY28" s="702">
        <v>0</v>
      </c>
    </row>
    <row s="14284" customFormat="1" customHeight="1" ht="18.75" hidden="1">
      <c r="A29" s="1652"/>
      <c r="B29" s="1652"/>
      <c r="C29" s="1652"/>
      <c r="D29" s="1652"/>
      <c r="E29" s="1652"/>
      <c r="F29" s="1652"/>
      <c r="G29" s="1652"/>
      <c r="H29" s="1652"/>
      <c r="I29" s="1652"/>
      <c r="J29" s="1652"/>
      <c r="K29" s="1652"/>
      <c r="L29" s="1653"/>
      <c r="M29" s="1652"/>
      <c r="N29" s="1652"/>
      <c r="O29" s="1652"/>
      <c r="S29" s="2534" t="s">
        <v>426</v>
      </c>
      <c r="T29" s="2534"/>
      <c r="U29" s="1656"/>
      <c r="V29" s="2535" t="str">
        <f>IF(TITLE_NUMBER_PR_CHANGE="",IF(TITLE_NUMBER_PR="","",TITLE_NUMBER_PR),TITLE_NUMBER_PR_CHANGE)</f>
        <v>50/18-01/261</v>
      </c>
      <c r="W29" s="2535"/>
      <c r="X29" s="2535"/>
      <c r="Y29" s="2535"/>
      <c r="Z29" s="2535"/>
      <c r="AA29" s="2535"/>
      <c r="AB29" s="2535"/>
      <c r="AC29" s="2535"/>
      <c r="AD29" s="2535"/>
      <c r="AE29" s="2535"/>
      <c r="AF29" s="610"/>
      <c r="AG29" s="2535" t="str">
        <f>IF(TITLE_NUMBER_PR_CHANGE="",IF(TITLE_NUMBER_PR="","",TITLE_NUMBER_PR),TITLE_NUMBER_PR_CHANGE)</f>
        <v>50/18-01/261</v>
      </c>
      <c r="AH29" s="2535"/>
      <c r="AI29" s="2535"/>
      <c r="AJ29" s="2535"/>
      <c r="AK29" s="2535"/>
      <c r="AL29" s="2535"/>
      <c r="AM29" s="2535"/>
      <c r="AN29" s="2535"/>
      <c r="AO29" s="2535"/>
      <c r="AP29" s="2535"/>
      <c r="AQ29" s="610"/>
      <c r="AR29" s="610"/>
      <c r="AS29" s="564"/>
      <c r="AT29" s="652"/>
      <c r="AU29" s="652"/>
      <c r="AV29" s="652"/>
      <c r="AW29" s="652"/>
      <c r="AX29" s="652"/>
      <c r="AY29" s="702">
        <v>0</v>
      </c>
    </row>
    <row s="14284" customFormat="1" customHeight="1" ht="18.75" hidden="1">
      <c r="A30" s="1652"/>
      <c r="B30" s="1652"/>
      <c r="C30" s="1652"/>
      <c r="D30" s="1652"/>
      <c r="E30" s="1652"/>
      <c r="F30" s="1652"/>
      <c r="G30" s="1652"/>
      <c r="H30" s="1652"/>
      <c r="I30" s="1652"/>
      <c r="J30" s="1652"/>
      <c r="K30" s="1652"/>
      <c r="L30" s="1653"/>
      <c r="M30" s="1652"/>
      <c r="N30" s="1652"/>
      <c r="O30" s="1652"/>
      <c r="S30" s="2534" t="s">
        <v>43</v>
      </c>
      <c r="T30" s="2534"/>
      <c r="U30" s="1656"/>
      <c r="V30" s="2535" t="str">
        <f>IF(TITLE_IST_PUB_CHANGE="",IF(TITLE_IST_PUB="","",TITLE_IST_PUB),TITLE_IST_PUB_CHANGE)</f>
        <v/>
      </c>
      <c r="W30" s="2535"/>
      <c r="X30" s="2535"/>
      <c r="Y30" s="2535"/>
      <c r="Z30" s="2535"/>
      <c r="AA30" s="2535"/>
      <c r="AB30" s="2535"/>
      <c r="AC30" s="2535"/>
      <c r="AD30" s="2535"/>
      <c r="AE30" s="2535"/>
      <c r="AF30" s="610"/>
      <c r="AG30" s="2535" t="str">
        <f>IF(TITLE_IST_PUB_CHANGE="",IF(TITLE_IST_PUB="","",TITLE_IST_PUB),TITLE_IST_PUB_CHANGE)</f>
        <v/>
      </c>
      <c r="AH30" s="2535"/>
      <c r="AI30" s="2535"/>
      <c r="AJ30" s="2535"/>
      <c r="AK30" s="2535"/>
      <c r="AL30" s="2535"/>
      <c r="AM30" s="2535"/>
      <c r="AN30" s="2535"/>
      <c r="AO30" s="2535"/>
      <c r="AP30" s="2535"/>
      <c r="AQ30" s="610"/>
      <c r="AR30" s="610"/>
      <c r="AS30" s="564"/>
      <c r="AT30" s="652"/>
      <c r="AU30" s="652"/>
      <c r="AV30" s="652"/>
      <c r="AW30" s="652"/>
      <c r="AX30" s="652"/>
      <c r="AY30" s="702">
        <v>0</v>
      </c>
    </row>
    <row customHeight="1" ht="14.25">
      <c r="Q31" s="660"/>
      <c r="R31" s="660"/>
      <c r="S31" s="1559"/>
      <c r="T31" s="647"/>
      <c r="U31" s="647"/>
      <c r="V31" s="606"/>
      <c r="W31" s="606"/>
      <c r="X31" s="606"/>
      <c r="Y31" s="606"/>
      <c r="Z31" s="606"/>
      <c r="AA31" s="606"/>
      <c r="AB31" s="606"/>
      <c r="AC31" s="606"/>
      <c r="AD31" s="606"/>
      <c r="AE31" s="606"/>
      <c r="AF31" s="606"/>
      <c r="AG31" s="606"/>
      <c r="AH31" s="606"/>
      <c r="AI31" s="606"/>
      <c r="AJ31" s="606"/>
      <c r="AK31" s="606"/>
      <c r="AL31" s="606"/>
      <c r="AM31" s="606"/>
      <c r="AN31" s="606"/>
      <c r="AO31" s="606"/>
      <c r="AP31" s="606"/>
      <c r="AQ31" s="606"/>
      <c r="AR31" s="793"/>
      <c r="AY31" s="1439">
        <v>0</v>
      </c>
    </row>
    <row s="14284" customFormat="1" customHeight="1" ht="18.75">
      <c r="A32" s="1652"/>
      <c r="B32" s="1652"/>
      <c r="C32" s="1652"/>
      <c r="D32" s="1652"/>
      <c r="E32" s="1652"/>
      <c r="F32" s="1652"/>
      <c r="G32" s="1652"/>
      <c r="H32" s="1652"/>
      <c r="I32" s="1652"/>
      <c r="J32" s="1652"/>
      <c r="K32" s="1652"/>
      <c r="L32" s="1653"/>
      <c r="M32" s="1652"/>
      <c r="N32" s="1652"/>
      <c r="O32" s="1652"/>
      <c r="S32" s="2534" t="s">
        <v>427</v>
      </c>
      <c r="T32" s="2534"/>
      <c r="U32" s="1656"/>
      <c r="V32" s="2548" t="str">
        <f>IF(TITLE_DATE_PR_CHANGE="",IF(TITLE_DATE_PR="","",TITLE_DATE_PR),TITLE_DATE_PR_CHANGE)</f>
        <v>45471</v>
      </c>
      <c r="W32" s="2548"/>
      <c r="X32" s="2548"/>
      <c r="Y32" s="2548"/>
      <c r="Z32" s="2548"/>
      <c r="AA32" s="2548"/>
      <c r="AB32" s="2548"/>
      <c r="AC32" s="2548"/>
      <c r="AD32" s="2548"/>
      <c r="AE32" s="2548"/>
      <c r="AF32" s="610"/>
      <c r="AG32" s="2548" t="str">
        <f>IF(TITLE_DATE_PR_CHANGE="",IF(TITLE_DATE_PR="","",TITLE_DATE_PR),TITLE_DATE_PR_CHANGE)</f>
        <v>45471</v>
      </c>
      <c r="AH32" s="2548"/>
      <c r="AI32" s="2548"/>
      <c r="AJ32" s="2548"/>
      <c r="AK32" s="2548"/>
      <c r="AL32" s="2548"/>
      <c r="AM32" s="2548"/>
      <c r="AN32" s="2548"/>
      <c r="AO32" s="2548"/>
      <c r="AP32" s="2548"/>
      <c r="AQ32" s="610"/>
      <c r="AR32" s="610"/>
      <c r="AS32" s="564"/>
      <c r="AT32" s="652"/>
      <c r="AU32" s="652"/>
      <c r="AV32" s="652"/>
      <c r="AW32" s="652"/>
      <c r="AX32" s="652"/>
      <c r="AY32" s="702">
        <v>0</v>
      </c>
    </row>
    <row s="14284" customFormat="1" customHeight="1" ht="18.75">
      <c r="A33" s="1652"/>
      <c r="B33" s="1652"/>
      <c r="C33" s="1652"/>
      <c r="D33" s="1652"/>
      <c r="E33" s="1652"/>
      <c r="F33" s="1652"/>
      <c r="G33" s="1652"/>
      <c r="H33" s="1652"/>
      <c r="I33" s="1652"/>
      <c r="J33" s="1652"/>
      <c r="K33" s="1652"/>
      <c r="L33" s="1653"/>
      <c r="M33" s="1652"/>
      <c r="N33" s="1652"/>
      <c r="O33" s="1652"/>
      <c r="S33" s="2534" t="s">
        <v>428</v>
      </c>
      <c r="T33" s="2534"/>
      <c r="U33" s="1656"/>
      <c r="V33" s="2535" t="str">
        <f>IF(TITLE_NUMBER_PR_CHANGE="",IF(TITLE_NUMBER_PR="","",TITLE_NUMBER_PR),TITLE_NUMBER_PR_CHANGE)</f>
        <v>50/18-01/261</v>
      </c>
      <c r="W33" s="2535"/>
      <c r="X33" s="2535"/>
      <c r="Y33" s="2535"/>
      <c r="Z33" s="2535"/>
      <c r="AA33" s="2535"/>
      <c r="AB33" s="2535"/>
      <c r="AC33" s="2535"/>
      <c r="AD33" s="2535"/>
      <c r="AE33" s="2535"/>
      <c r="AF33" s="610"/>
      <c r="AG33" s="2535" t="str">
        <f>IF(TITLE_NUMBER_PR_CHANGE="",IF(TITLE_NUMBER_PR="","",TITLE_NUMBER_PR),TITLE_NUMBER_PR_CHANGE)</f>
        <v>50/18-01/261</v>
      </c>
      <c r="AH33" s="2535"/>
      <c r="AI33" s="2535"/>
      <c r="AJ33" s="2535"/>
      <c r="AK33" s="2535"/>
      <c r="AL33" s="2535"/>
      <c r="AM33" s="2535"/>
      <c r="AN33" s="2535"/>
      <c r="AO33" s="2535"/>
      <c r="AP33" s="2535"/>
      <c r="AQ33" s="610"/>
      <c r="AR33" s="610"/>
      <c r="AS33" s="564"/>
      <c r="AT33" s="652"/>
      <c r="AU33" s="652"/>
      <c r="AV33" s="652"/>
      <c r="AW33" s="652"/>
      <c r="AX33" s="652"/>
      <c r="AY33" s="702">
        <v>0</v>
      </c>
    </row>
    <row s="14284" customFormat="1" customHeight="1" ht="1.05">
      <c r="A34" s="1652"/>
      <c r="B34" s="1652"/>
      <c r="C34" s="1652"/>
      <c r="D34" s="1652"/>
      <c r="E34" s="1652"/>
      <c r="F34" s="1652"/>
      <c r="G34" s="1652"/>
      <c r="H34" s="1652"/>
      <c r="I34" s="1652"/>
      <c r="J34" s="1652"/>
      <c r="K34" s="1652"/>
      <c r="L34" s="1653"/>
      <c r="M34" s="1652"/>
      <c r="N34" s="1652"/>
      <c r="O34" s="1652"/>
      <c r="S34" s="607"/>
      <c r="T34" s="607"/>
      <c r="U34" s="1772"/>
      <c r="V34" s="610"/>
      <c r="W34" s="1919"/>
      <c r="X34" s="1919"/>
      <c r="Y34" s="1919"/>
      <c r="Z34" s="1919"/>
      <c r="AA34" s="1919"/>
      <c r="AB34" s="610"/>
      <c r="AC34" s="610"/>
      <c r="AD34" s="610"/>
      <c r="AE34" s="610"/>
      <c r="AF34" s="562" t="s">
        <v>429</v>
      </c>
      <c r="AG34" s="610"/>
      <c r="AH34" s="1919"/>
      <c r="AI34" s="1919"/>
      <c r="AJ34" s="1919"/>
      <c r="AK34" s="1919"/>
      <c r="AL34" s="1919"/>
      <c r="AM34" s="610"/>
      <c r="AN34" s="610"/>
      <c r="AO34" s="610"/>
      <c r="AP34" s="610"/>
      <c r="AQ34" s="562" t="s">
        <v>429</v>
      </c>
      <c r="AT34" s="652"/>
      <c r="AU34" s="652"/>
      <c r="AV34" s="652"/>
      <c r="AW34" s="652"/>
      <c r="AX34" s="652"/>
      <c r="AY34" s="702">
        <v>1</v>
      </c>
    </row>
    <row customHeight="1" ht="14.699999999999998">
      <c r="Q35" s="660"/>
      <c r="R35" s="660"/>
      <c r="S35" s="1559"/>
      <c r="T35" s="647"/>
      <c r="U35" s="1528"/>
      <c r="V35" s="2536"/>
      <c r="W35" s="2536"/>
      <c r="X35" s="2536"/>
      <c r="Y35" s="2536"/>
      <c r="Z35" s="2536"/>
      <c r="AA35" s="2536"/>
      <c r="AB35" s="2536"/>
      <c r="AC35" s="2536"/>
      <c r="AD35" s="2536"/>
      <c r="AE35" s="2536"/>
      <c r="AF35" s="2536"/>
      <c r="AG35" s="2536"/>
      <c r="AH35" s="2536"/>
      <c r="AI35" s="2536"/>
      <c r="AJ35" s="2536"/>
      <c r="AK35" s="2536"/>
      <c r="AL35" s="2536"/>
      <c r="AM35" s="2536"/>
      <c r="AN35" s="2536"/>
      <c r="AO35" s="2536"/>
      <c r="AP35" s="2536"/>
      <c r="AQ35" s="2536"/>
      <c r="AY35" s="1439">
        <v>14</v>
      </c>
    </row>
    <row customHeight="1" ht="14.699999999999998">
      <c r="Q36" s="660"/>
      <c r="R36" s="660"/>
      <c r="S36" s="2411" t="s">
        <v>305</v>
      </c>
      <c r="T36" s="2411"/>
      <c r="U36" s="2411"/>
      <c r="V36" s="2411"/>
      <c r="W36" s="2411"/>
      <c r="X36" s="2411"/>
      <c r="Y36" s="2411"/>
      <c r="Z36" s="2411"/>
      <c r="AA36" s="2411"/>
      <c r="AB36" s="2411"/>
      <c r="AC36" s="2411"/>
      <c r="AD36" s="2411"/>
      <c r="AE36" s="2411"/>
      <c r="AF36" s="2411"/>
      <c r="AG36" s="2411"/>
      <c r="AH36" s="2411"/>
      <c r="AI36" s="2411"/>
      <c r="AJ36" s="2411"/>
      <c r="AK36" s="2411"/>
      <c r="AL36" s="2411"/>
      <c r="AM36" s="2411"/>
      <c r="AN36" s="2411"/>
      <c r="AO36" s="2411"/>
      <c r="AP36" s="2411"/>
      <c r="AQ36" s="2411"/>
      <c r="AR36" s="2411"/>
      <c r="AS36" s="2411" t="s">
        <v>306</v>
      </c>
      <c r="AY36" s="1439">
        <v>14</v>
      </c>
    </row>
    <row customHeight="1" ht="14.699999999999998">
      <c r="Q37" s="660"/>
      <c r="R37" s="660"/>
      <c r="S37" s="2557" t="s">
        <v>89</v>
      </c>
      <c r="T37" s="2493" t="s">
        <v>430</v>
      </c>
      <c r="U37" s="585"/>
      <c r="V37" s="2558" t="s">
        <v>431</v>
      </c>
      <c r="W37" s="2559"/>
      <c r="X37" s="2559"/>
      <c r="Y37" s="2559"/>
      <c r="Z37" s="2559"/>
      <c r="AA37" s="2559"/>
      <c r="AB37" s="2559"/>
      <c r="AC37" s="2559"/>
      <c r="AD37" s="2559"/>
      <c r="AE37" s="2560"/>
      <c r="AF37" s="2561" t="s">
        <v>432</v>
      </c>
      <c r="AG37" s="2558" t="s">
        <v>431</v>
      </c>
      <c r="AH37" s="2559"/>
      <c r="AI37" s="2559"/>
      <c r="AJ37" s="2559"/>
      <c r="AK37" s="2559"/>
      <c r="AL37" s="2559"/>
      <c r="AM37" s="2559"/>
      <c r="AN37" s="2559"/>
      <c r="AO37" s="2559"/>
      <c r="AP37" s="2560"/>
      <c r="AQ37" s="2561" t="s">
        <v>433</v>
      </c>
      <c r="AR37" s="2564" t="s">
        <v>434</v>
      </c>
      <c r="AS37" s="2411"/>
      <c r="AY37" s="1439">
        <v>14</v>
      </c>
    </row>
    <row s="14077" customFormat="1" customHeight="1" ht="19.95">
      <c r="A38" s="1650"/>
      <c r="B38" s="1650"/>
      <c r="C38" s="1650"/>
      <c r="D38" s="1650"/>
      <c r="E38" s="1650"/>
      <c r="F38" s="1650"/>
      <c r="G38" s="1650"/>
      <c r="H38" s="1650"/>
      <c r="I38" s="1650"/>
      <c r="J38" s="1650"/>
      <c r="K38" s="1650"/>
      <c r="L38" s="2264"/>
      <c r="M38" s="1646"/>
      <c r="N38" s="1646"/>
      <c r="O38" s="1646"/>
      <c r="P38" s="2265"/>
      <c r="Q38" s="660"/>
      <c r="R38" s="660"/>
      <c r="S38" s="2557"/>
      <c r="T38" s="2493"/>
      <c r="U38" s="1315"/>
      <c r="V38" s="2650" t="s">
        <v>540</v>
      </c>
      <c r="W38" s="2649" t="s">
        <v>541</v>
      </c>
      <c r="X38" s="2649"/>
      <c r="Y38" s="2649"/>
      <c r="Z38" s="2649" t="s">
        <v>542</v>
      </c>
      <c r="AA38" s="2649"/>
      <c r="AB38" s="2649"/>
      <c r="AC38" s="2578" t="s">
        <v>438</v>
      </c>
      <c r="AD38" s="2597"/>
      <c r="AE38" s="2598"/>
      <c r="AF38" s="2562"/>
      <c r="AG38" s="2650" t="s">
        <v>540</v>
      </c>
      <c r="AH38" s="2649" t="s">
        <v>541</v>
      </c>
      <c r="AI38" s="2649"/>
      <c r="AJ38" s="2649"/>
      <c r="AK38" s="2649" t="s">
        <v>542</v>
      </c>
      <c r="AL38" s="2649"/>
      <c r="AM38" s="2649"/>
      <c r="AN38" s="2578" t="s">
        <v>438</v>
      </c>
      <c r="AO38" s="2597"/>
      <c r="AP38" s="2598"/>
      <c r="AQ38" s="2562"/>
      <c r="AR38" s="2565"/>
      <c r="AS38" s="2411"/>
      <c r="AT38" s="1920"/>
      <c r="AU38" s="1920"/>
      <c r="AV38" s="1920"/>
      <c r="AW38" s="1920"/>
      <c r="AX38" s="1920"/>
      <c r="AY38" s="1915">
        <v>19</v>
      </c>
    </row>
    <row customHeight="1" ht="19.95">
      <c r="Q39" s="660"/>
      <c r="R39" s="660"/>
      <c r="S39" s="2557"/>
      <c r="T39" s="2493"/>
      <c r="U39" s="1315"/>
      <c r="V39" s="2650"/>
      <c r="W39" s="2649" t="s">
        <v>543</v>
      </c>
      <c r="X39" s="2649" t="s">
        <v>544</v>
      </c>
      <c r="Y39" s="2649"/>
      <c r="Z39" s="2649" t="s">
        <v>545</v>
      </c>
      <c r="AA39" s="2649" t="s">
        <v>544</v>
      </c>
      <c r="AB39" s="2649"/>
      <c r="AC39" s="2579"/>
      <c r="AD39" s="2599"/>
      <c r="AE39" s="2600"/>
      <c r="AF39" s="2562"/>
      <c r="AG39" s="2650"/>
      <c r="AH39" s="2649" t="s">
        <v>543</v>
      </c>
      <c r="AI39" s="2649" t="s">
        <v>544</v>
      </c>
      <c r="AJ39" s="2649"/>
      <c r="AK39" s="2649" t="s">
        <v>545</v>
      </c>
      <c r="AL39" s="2649" t="s">
        <v>544</v>
      </c>
      <c r="AM39" s="2649"/>
      <c r="AN39" s="2579"/>
      <c r="AO39" s="2599"/>
      <c r="AP39" s="2600"/>
      <c r="AQ39" s="2562"/>
      <c r="AR39" s="2565"/>
      <c r="AS39" s="2411"/>
      <c r="AY39" s="1439">
        <v>19</v>
      </c>
    </row>
    <row customHeight="1" ht="61.949999999999996">
      <c r="A40" s="1654"/>
      <c r="B40" s="1654" t="s">
        <v>136</v>
      </c>
      <c r="C40" s="1654" t="s">
        <v>137</v>
      </c>
      <c r="D40" s="1654" t="s">
        <v>138</v>
      </c>
      <c r="E40" s="1648" t="s">
        <v>439</v>
      </c>
      <c r="F40" s="1648" t="s">
        <v>440</v>
      </c>
      <c r="G40" s="1648" t="s">
        <v>441</v>
      </c>
      <c r="H40" s="1648"/>
      <c r="I40" s="1648" t="s">
        <v>498</v>
      </c>
      <c r="J40" s="1648" t="s">
        <v>444</v>
      </c>
      <c r="K40" s="1648" t="s">
        <v>499</v>
      </c>
      <c r="L40" s="1648" t="s">
        <v>420</v>
      </c>
      <c r="Q40" s="660"/>
      <c r="R40" s="660"/>
      <c r="S40" s="2557"/>
      <c r="T40" s="2493"/>
      <c r="U40" s="586"/>
      <c r="V40" s="2650"/>
      <c r="W40" s="2649"/>
      <c r="X40" s="2267" t="s">
        <v>546</v>
      </c>
      <c r="Y40" s="2267" t="s">
        <v>547</v>
      </c>
      <c r="Z40" s="2649"/>
      <c r="AA40" s="2267" t="s">
        <v>548</v>
      </c>
      <c r="AB40" s="2267" t="s">
        <v>549</v>
      </c>
      <c r="AC40" s="1773" t="s">
        <v>448</v>
      </c>
      <c r="AD40" s="2554" t="s">
        <v>449</v>
      </c>
      <c r="AE40" s="2555"/>
      <c r="AF40" s="2563"/>
      <c r="AG40" s="2650"/>
      <c r="AH40" s="2649"/>
      <c r="AI40" s="2267" t="s">
        <v>546</v>
      </c>
      <c r="AJ40" s="2267" t="s">
        <v>547</v>
      </c>
      <c r="AK40" s="2649"/>
      <c r="AL40" s="2267" t="s">
        <v>548</v>
      </c>
      <c r="AM40" s="2267" t="s">
        <v>549</v>
      </c>
      <c r="AN40" s="1773" t="s">
        <v>448</v>
      </c>
      <c r="AO40" s="2554" t="s">
        <v>449</v>
      </c>
      <c r="AP40" s="2555"/>
      <c r="AQ40" s="2563"/>
      <c r="AR40" s="2566"/>
      <c r="AS40" s="2411"/>
      <c r="AY40" s="1439">
        <v>59</v>
      </c>
    </row>
    <row s="14730" customFormat="1" customHeight="1" ht="11.25" hidden="1">
      <c r="A41" s="1654"/>
      <c r="B41" s="1654"/>
      <c r="C41" s="1654"/>
      <c r="D41" s="1654"/>
      <c r="E41" s="1654"/>
      <c r="F41" s="1654"/>
      <c r="G41" s="1654"/>
      <c r="H41" s="1654"/>
      <c r="I41" s="1654"/>
      <c r="J41" s="1654"/>
      <c r="K41" s="1654"/>
      <c r="L41" s="1648"/>
      <c r="M41" s="1646"/>
      <c r="N41" s="1646"/>
      <c r="O41" s="1646"/>
      <c r="P41" s="1530"/>
      <c r="Q41" s="1531"/>
      <c r="R41" s="1538">
        <v>1</v>
      </c>
      <c r="S41" s="1561" t="s">
        <v>110</v>
      </c>
      <c r="T41" s="1539" t="s">
        <v>111</v>
      </c>
      <c r="U41" s="1529" t="str">
        <f>OFFSET(U41,0,-1)</f>
        <v>2</v>
      </c>
      <c r="V41" s="1766">
        <f>OFFSET(V41,0,-1)+1</f>
        <v>3</v>
      </c>
      <c r="W41" s="2263"/>
      <c r="X41" s="2263"/>
      <c r="Y41" s="2263"/>
      <c r="Z41" s="2263"/>
      <c r="AA41" s="2263"/>
      <c r="AB41" s="1766">
        <f>OFFSET(AB41,0,-1)+1</f>
        <v>1</v>
      </c>
      <c r="AC41" s="1766">
        <f>OFFSET(AC41,0,-1)+1</f>
        <v>2</v>
      </c>
      <c r="AD41" s="2556">
        <f>OFFSET(AD41,0,-1)+1</f>
        <v>3</v>
      </c>
      <c r="AE41" s="2556"/>
      <c r="AF41" s="1766">
        <f>OFFSET(AF41,0,-2)+1</f>
        <v>4</v>
      </c>
      <c r="AG41" s="1766">
        <f>OFFSET(AG41,0,-1)+1</f>
        <v>5</v>
      </c>
      <c r="AH41" s="2263"/>
      <c r="AI41" s="2263"/>
      <c r="AJ41" s="2263"/>
      <c r="AK41" s="2263"/>
      <c r="AL41" s="2263"/>
      <c r="AM41" s="1766">
        <f>OFFSET(AM41,0,-1)+1</f>
        <v>1</v>
      </c>
      <c r="AN41" s="1766">
        <f>OFFSET(AN41,0,-1)+1</f>
        <v>2</v>
      </c>
      <c r="AO41" s="2556">
        <f>OFFSET(AO41,0,-1)+1</f>
        <v>3</v>
      </c>
      <c r="AP41" s="2556"/>
      <c r="AQ41" s="1766">
        <f>OFFSET(AQ41,0,-2)+1</f>
        <v>4</v>
      </c>
      <c r="AR41" s="1529">
        <f>OFFSET(AR41,0,-1)</f>
        <v>4</v>
      </c>
      <c r="AS41" s="1766">
        <f>OFFSET(AS41,0,-1)+1</f>
        <v>5</v>
      </c>
      <c r="AT41" s="795"/>
      <c r="AU41" s="795"/>
      <c r="AV41" s="795"/>
      <c r="AW41" s="795"/>
      <c r="AX41" s="795"/>
      <c r="AY41" s="780">
        <v>0</v>
      </c>
    </row>
    <row customHeight="1" ht="24">
      <c r="A42" s="1647" t="s">
        <v>261</v>
      </c>
      <c r="B42" s="1647"/>
      <c r="C42" s="1647"/>
      <c r="D42" s="1647"/>
      <c r="E42" s="2542">
        <v>1</v>
      </c>
      <c r="F42" s="1647"/>
      <c r="G42" s="1647"/>
      <c r="H42" s="1647"/>
      <c r="I42" s="1647"/>
      <c r="J42" s="1647"/>
      <c r="K42" s="1647"/>
      <c r="L42" s="1648"/>
      <c r="M42" s="1649"/>
      <c r="N42" s="1649"/>
      <c r="O42" s="1649"/>
      <c r="P42" s="645"/>
      <c r="Q42" s="644"/>
      <c r="R42" s="639"/>
      <c r="S42" s="1777">
        <f>INDEX(PT_DIFFERENTIATION_NUM_NTAR,MATCH(A42,PT_DIFFERENTIATION_NTAR_ID,0))</f>
        <v>0</v>
      </c>
      <c r="T42" s="582" t="s">
        <v>124</v>
      </c>
      <c r="U42" s="584"/>
      <c r="V42" s="2526"/>
      <c r="W42" s="2527"/>
      <c r="X42" s="2527"/>
      <c r="Y42" s="2527"/>
      <c r="Z42" s="2527"/>
      <c r="AA42" s="2527"/>
      <c r="AB42" s="2527"/>
      <c r="AC42" s="2527"/>
      <c r="AD42" s="2527"/>
      <c r="AE42" s="2527"/>
      <c r="AF42" s="2528"/>
      <c r="AG42" s="2526" t="str">
        <f>INDEX(PT_DIFFERENTIATION_NTAR,MATCH(A42,PT_DIFFERENTIATION_NTAR_ID,0))</f>
        <v/>
      </c>
      <c r="AH42" s="2527"/>
      <c r="AI42" s="2527"/>
      <c r="AJ42" s="2527"/>
      <c r="AK42" s="2527"/>
      <c r="AL42" s="2527"/>
      <c r="AM42" s="2527"/>
      <c r="AN42" s="2527"/>
      <c r="AO42" s="2527"/>
      <c r="AP42" s="2527"/>
      <c r="AQ42" s="2527"/>
      <c r="AR42" s="2528"/>
      <c r="AS42" s="154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784"/>
      <c r="AV42" s="784" t="str">
        <f>IF(T42="","",T42)</f>
        <v>Наименование тарифа</v>
      </c>
      <c r="AW42" s="784"/>
      <c r="AX42" s="784"/>
      <c r="AY42" s="1439">
        <v>23</v>
      </c>
    </row>
    <row customHeight="1" ht="24">
      <c r="A43" s="1647" t="s">
        <v>261</v>
      </c>
      <c r="B43" s="1647" t="s">
        <v>262</v>
      </c>
      <c r="C43" s="1647"/>
      <c r="D43" s="1647"/>
      <c r="E43" s="2543"/>
      <c r="F43" s="2542">
        <v>1</v>
      </c>
      <c r="G43" s="1647"/>
      <c r="H43" s="1647"/>
      <c r="I43" s="1647"/>
      <c r="J43" s="1647"/>
      <c r="K43" s="1647"/>
      <c r="L43" s="1648"/>
      <c r="M43" s="1649"/>
      <c r="N43" s="1649"/>
      <c r="O43" s="1649"/>
      <c r="P43" s="1771"/>
      <c r="Q43" s="636"/>
      <c r="R43" s="637"/>
      <c r="S43" s="1777" t="str">
        <f>INDEX(PT_DIFFERENTIATION_NUM_TER,MATCH(B43,PT_DIFFERENTIATION_TER_ID,0))</f>
        <v>.</v>
      </c>
      <c r="T43" s="592" t="s">
        <v>402</v>
      </c>
      <c r="U43" s="584"/>
      <c r="V43" s="2526"/>
      <c r="W43" s="2527"/>
      <c r="X43" s="2527"/>
      <c r="Y43" s="2527"/>
      <c r="Z43" s="2527"/>
      <c r="AA43" s="2527"/>
      <c r="AB43" s="2527"/>
      <c r="AC43" s="2527"/>
      <c r="AD43" s="2527"/>
      <c r="AE43" s="2527"/>
      <c r="AF43" s="2528"/>
      <c r="AG43" s="2526" t="str">
        <f>INDEX(PT_DIFFERENTIATION_TER,MATCH(B43,PT_DIFFERENTIATION_TER_ID,0))</f>
        <v/>
      </c>
      <c r="AH43" s="2527"/>
      <c r="AI43" s="2527"/>
      <c r="AJ43" s="2527"/>
      <c r="AK43" s="2527"/>
      <c r="AL43" s="2527"/>
      <c r="AM43" s="2527"/>
      <c r="AN43" s="2527"/>
      <c r="AO43" s="2527"/>
      <c r="AP43" s="2527"/>
      <c r="AQ43" s="2527"/>
      <c r="AR43" s="2528"/>
      <c r="AS43" s="1542" t="s">
        <v>403</v>
      </c>
      <c r="AU43" s="784"/>
      <c r="AV43" s="784" t="str">
        <f>IF(T43="","",T43)</f>
        <v>Территория действия тарифа</v>
      </c>
      <c r="AW43" s="784"/>
      <c r="AX43" s="784"/>
      <c r="AY43" s="1439">
        <v>23</v>
      </c>
    </row>
    <row customHeight="1" ht="24">
      <c r="A44" s="1647" t="s">
        <v>261</v>
      </c>
      <c r="B44" s="1647" t="s">
        <v>262</v>
      </c>
      <c r="C44" s="1647" t="s">
        <v>263</v>
      </c>
      <c r="D44" s="1647"/>
      <c r="E44" s="2543"/>
      <c r="F44" s="2543"/>
      <c r="G44" s="2542">
        <v>1</v>
      </c>
      <c r="H44" s="1647"/>
      <c r="I44" s="1647"/>
      <c r="J44" s="1647"/>
      <c r="K44" s="1647"/>
      <c r="L44" s="1648"/>
      <c r="M44" s="1649"/>
      <c r="N44" s="1649"/>
      <c r="O44" s="1649"/>
      <c r="P44" s="638"/>
      <c r="Q44" s="636"/>
      <c r="R44" s="637"/>
      <c r="S44" s="1777" t="str">
        <f>INDEX(PT_DIFFERENTIATION_NUM_CS,MATCH(C44,PT_DIFFERENTIATION_CS_ID,0))</f>
        <v>..</v>
      </c>
      <c r="T44" s="593" t="s">
        <v>538</v>
      </c>
      <c r="U44" s="584"/>
      <c r="V44" s="2526"/>
      <c r="W44" s="2527"/>
      <c r="X44" s="2527"/>
      <c r="Y44" s="2527"/>
      <c r="Z44" s="2527"/>
      <c r="AA44" s="2527"/>
      <c r="AB44" s="2527"/>
      <c r="AC44" s="2527"/>
      <c r="AD44" s="2527"/>
      <c r="AE44" s="2527"/>
      <c r="AF44" s="2528"/>
      <c r="AG44" s="2526" t="str">
        <f>INDEX(PT_DIFFERENTIATION_CS,MATCH(C44,PT_DIFFERENTIATION_CS_ID,0))</f>
        <v/>
      </c>
      <c r="AH44" s="2527"/>
      <c r="AI44" s="2527"/>
      <c r="AJ44" s="2527"/>
      <c r="AK44" s="2527"/>
      <c r="AL44" s="2527"/>
      <c r="AM44" s="2527"/>
      <c r="AN44" s="2527"/>
      <c r="AO44" s="2527"/>
      <c r="AP44" s="2527"/>
      <c r="AQ44" s="2527"/>
      <c r="AR44" s="2528"/>
      <c r="AS44" s="1542" t="s">
        <v>539</v>
      </c>
      <c r="AU44" s="784"/>
      <c r="AV44" s="784" t="str">
        <f>IF(T44="","",T44)</f>
        <v>Наименование централизованной системы горячего водоснабжения</v>
      </c>
      <c r="AW44" s="784"/>
      <c r="AX44" s="784"/>
      <c r="AY44" s="1439">
        <v>23</v>
      </c>
    </row>
    <row customHeight="1" ht="24">
      <c r="A45" s="1647" t="s">
        <v>261</v>
      </c>
      <c r="B45" s="1647" t="s">
        <v>262</v>
      </c>
      <c r="C45" s="1647" t="s">
        <v>263</v>
      </c>
      <c r="D45" s="1647" t="s">
        <v>551</v>
      </c>
      <c r="E45" s="2543"/>
      <c r="F45" s="2543"/>
      <c r="G45" s="2543"/>
      <c r="H45" s="2543"/>
      <c r="I45" s="2540" t="str">
        <f>S44&amp;".1"</f>
        <v>...1</v>
      </c>
      <c r="J45" s="1647"/>
      <c r="K45" s="1647"/>
      <c r="L45" s="1648"/>
      <c r="P45" s="2541">
        <v>1</v>
      </c>
      <c r="Q45" s="1765"/>
      <c r="R45" s="640"/>
      <c r="S45" s="1777" t="str">
        <f>$I45</f>
        <v>...1</v>
      </c>
      <c r="T45" s="569" t="s">
        <v>491</v>
      </c>
      <c r="U45" s="584"/>
      <c r="V45" s="2634"/>
      <c r="W45" s="2635"/>
      <c r="X45" s="2635"/>
      <c r="Y45" s="2635"/>
      <c r="Z45" s="2635"/>
      <c r="AA45" s="2635"/>
      <c r="AB45" s="2635"/>
      <c r="AC45" s="2635"/>
      <c r="AD45" s="2635"/>
      <c r="AE45" s="2635"/>
      <c r="AF45" s="2636"/>
      <c r="AG45" s="2637"/>
      <c r="AH45" s="2638"/>
      <c r="AI45" s="2638"/>
      <c r="AJ45" s="2638"/>
      <c r="AK45" s="2638"/>
      <c r="AL45" s="2638"/>
      <c r="AM45" s="2638"/>
      <c r="AN45" s="2638"/>
      <c r="AO45" s="2638"/>
      <c r="AP45" s="2638"/>
      <c r="AQ45" s="2638"/>
      <c r="AR45" s="2639"/>
      <c r="AS45" s="1542" t="s">
        <v>492</v>
      </c>
      <c r="AU45" s="784"/>
      <c r="AV45" s="784" t="str">
        <f>IF(T45="","",T45)</f>
        <v>Наименование признака дифференциации</v>
      </c>
      <c r="AW45" s="784"/>
      <c r="AX45" s="784"/>
      <c r="AY45" s="1439">
        <v>23</v>
      </c>
    </row>
    <row customHeight="1" ht="24">
      <c r="A46" s="1647" t="s">
        <v>261</v>
      </c>
      <c r="B46" s="1647" t="s">
        <v>262</v>
      </c>
      <c r="C46" s="1647" t="s">
        <v>263</v>
      </c>
      <c r="D46" s="1647" t="s">
        <v>551</v>
      </c>
      <c r="E46" s="2543"/>
      <c r="F46" s="2543"/>
      <c r="G46" s="2543"/>
      <c r="H46" s="2543"/>
      <c r="I46" s="2570"/>
      <c r="J46" s="2540" t="str">
        <f>I45&amp;".1"</f>
        <v>...1.1</v>
      </c>
      <c r="K46" s="1647"/>
      <c r="L46" s="1648" t="s">
        <v>411</v>
      </c>
      <c r="P46" s="2541"/>
      <c r="Q46" s="2541">
        <v>1</v>
      </c>
      <c r="R46" s="641"/>
      <c r="S46" s="1777" t="str">
        <f>$J46</f>
        <v>...1.1</v>
      </c>
      <c r="T46" s="570" t="s">
        <v>412</v>
      </c>
      <c r="U46" s="584"/>
      <c r="V46" s="2529"/>
      <c r="W46" s="2530"/>
      <c r="X46" s="2530"/>
      <c r="Y46" s="2530"/>
      <c r="Z46" s="2530"/>
      <c r="AA46" s="2530"/>
      <c r="AB46" s="2530"/>
      <c r="AC46" s="2530"/>
      <c r="AD46" s="2530"/>
      <c r="AE46" s="2530"/>
      <c r="AF46" s="2531"/>
      <c r="AG46" s="2529"/>
      <c r="AH46" s="2530"/>
      <c r="AI46" s="2530"/>
      <c r="AJ46" s="2530"/>
      <c r="AK46" s="2530"/>
      <c r="AL46" s="2530"/>
      <c r="AM46" s="2530"/>
      <c r="AN46" s="2530"/>
      <c r="AO46" s="2530"/>
      <c r="AP46" s="2530"/>
      <c r="AQ46" s="2530"/>
      <c r="AR46" s="2531"/>
      <c r="AS46" s="1591" t="s">
        <v>493</v>
      </c>
      <c r="AU46" s="784"/>
      <c r="AV46" s="784" t="str">
        <f>IF(T46="","",T46)</f>
        <v>Группа потребителей</v>
      </c>
      <c r="AW46" s="784"/>
      <c r="AX46" s="784"/>
      <c r="AY46" s="1439">
        <v>23</v>
      </c>
    </row>
    <row customHeight="1" ht="24">
      <c r="A47" s="1647" t="s">
        <v>261</v>
      </c>
      <c r="B47" s="1647" t="s">
        <v>262</v>
      </c>
      <c r="C47" s="1647" t="s">
        <v>263</v>
      </c>
      <c r="D47" s="1647" t="s">
        <v>551</v>
      </c>
      <c r="E47" s="2543"/>
      <c r="F47" s="2543"/>
      <c r="G47" s="2543"/>
      <c r="H47" s="2543"/>
      <c r="I47" s="2570"/>
      <c r="J47" s="2570"/>
      <c r="K47" s="2540" t="str">
        <f>J46&amp;".1"</f>
        <v>...1.1.1</v>
      </c>
      <c r="L47" s="1648"/>
      <c r="P47" s="2541"/>
      <c r="Q47" s="2541"/>
      <c r="R47" s="641">
        <v>1</v>
      </c>
      <c r="S47" s="1777" t="str">
        <f>$K47</f>
        <v>...1.1.1</v>
      </c>
      <c r="T47" s="1721"/>
      <c r="U47" s="584"/>
      <c r="V47" s="1644"/>
      <c r="W47" s="1644"/>
      <c r="X47" s="1644"/>
      <c r="Y47" s="1644"/>
      <c r="Z47" s="1644"/>
      <c r="AA47" s="1644"/>
      <c r="AB47" s="1645"/>
      <c r="AC47" s="2551"/>
      <c r="AD47" s="2552" t="s">
        <v>67</v>
      </c>
      <c r="AE47" s="2551"/>
      <c r="AF47" s="2552" t="s">
        <v>67</v>
      </c>
      <c r="AG47" s="1035"/>
      <c r="AH47" s="1035"/>
      <c r="AI47" s="1035"/>
      <c r="AJ47" s="1035"/>
      <c r="AK47" s="1035"/>
      <c r="AL47" s="1035"/>
      <c r="AM47" s="1541"/>
      <c r="AN47" s="2549"/>
      <c r="AO47" s="2391" t="s">
        <v>67</v>
      </c>
      <c r="AP47" s="2571"/>
      <c r="AQ47" s="2391" t="s">
        <v>19</v>
      </c>
      <c r="AR47" s="1722"/>
      <c r="AS47" s="263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795">
        <f>STRCHECKDATE(V48:AR48)</f>
      </c>
      <c r="AU47" s="784"/>
      <c r="AV47" s="784" t="str">
        <f>IF(T47="","",T47)</f>
        <v/>
      </c>
      <c r="AW47" s="784"/>
      <c r="AX47" s="784"/>
      <c r="AY47" s="1439">
        <v>23</v>
      </c>
    </row>
    <row customHeight="1" ht="0">
      <c r="A48" s="1647" t="s">
        <v>261</v>
      </c>
      <c r="B48" s="1647" t="s">
        <v>262</v>
      </c>
      <c r="C48" s="1647" t="s">
        <v>263</v>
      </c>
      <c r="D48" s="1647" t="s">
        <v>551</v>
      </c>
      <c r="E48" s="2543"/>
      <c r="F48" s="2543"/>
      <c r="G48" s="2543"/>
      <c r="H48" s="2543"/>
      <c r="I48" s="2570"/>
      <c r="J48" s="2570"/>
      <c r="K48" s="2540"/>
      <c r="L48" s="1648"/>
      <c r="P48" s="2541"/>
      <c r="Q48" s="2541"/>
      <c r="R48" s="641"/>
      <c r="S48" s="1774"/>
      <c r="T48" s="584"/>
      <c r="U48" s="584"/>
      <c r="V48" s="1644"/>
      <c r="W48" s="1644"/>
      <c r="X48" s="1644"/>
      <c r="Y48" s="1644"/>
      <c r="Z48" s="1644"/>
      <c r="AA48" s="1644"/>
      <c r="AB48" s="612" t="str">
        <f>AC47&amp;"-"&amp;AE47</f>
        <v>-</v>
      </c>
      <c r="AC48" s="2552"/>
      <c r="AD48" s="2552"/>
      <c r="AE48" s="2552"/>
      <c r="AF48" s="2552"/>
      <c r="AG48" s="609"/>
      <c r="AH48" s="609"/>
      <c r="AI48" s="609"/>
      <c r="AJ48" s="609"/>
      <c r="AK48" s="609"/>
      <c r="AL48" s="609"/>
      <c r="AM48" s="612" t="str">
        <f>AN47&amp;"-"&amp;AP47</f>
        <v>-</v>
      </c>
      <c r="AN48" s="2550"/>
      <c r="AO48" s="2391"/>
      <c r="AP48" s="2572"/>
      <c r="AQ48" s="2391"/>
      <c r="AR48" s="1723"/>
      <c r="AS48" s="2633"/>
      <c r="AU48" s="784"/>
      <c r="AV48" s="784" t="str">
        <f>IF(T48="","",T48)</f>
        <v/>
      </c>
      <c r="AW48" s="784"/>
      <c r="AX48" s="784"/>
      <c r="AY48" s="1439">
        <v>0</v>
      </c>
    </row>
    <row customHeight="1" ht="21">
      <c r="A49" s="1647" t="s">
        <v>261</v>
      </c>
      <c r="B49" s="1647" t="s">
        <v>262</v>
      </c>
      <c r="C49" s="1647" t="s">
        <v>263</v>
      </c>
      <c r="D49" s="1647" t="s">
        <v>551</v>
      </c>
      <c r="E49" s="2543"/>
      <c r="F49" s="2543"/>
      <c r="G49" s="2543"/>
      <c r="H49" s="2543"/>
      <c r="I49" s="2570"/>
      <c r="J49" s="2540"/>
      <c r="K49" s="1647"/>
      <c r="L49" s="1648"/>
      <c r="P49" s="2541"/>
      <c r="Q49" s="2541"/>
      <c r="R49" s="640"/>
      <c r="S49" s="1562"/>
      <c r="T49" s="571" t="s">
        <v>494</v>
      </c>
      <c r="U49" s="651"/>
      <c r="V49" s="651"/>
      <c r="W49" s="884"/>
      <c r="X49" s="884"/>
      <c r="Y49" s="884"/>
      <c r="Z49" s="884"/>
      <c r="AA49" s="884"/>
      <c r="AB49" s="651"/>
      <c r="AC49" s="651"/>
      <c r="AD49" s="651"/>
      <c r="AE49" s="651"/>
      <c r="AF49" s="651"/>
      <c r="AG49" s="651"/>
      <c r="AH49" s="884"/>
      <c r="AI49" s="884"/>
      <c r="AJ49" s="884"/>
      <c r="AK49" s="884"/>
      <c r="AL49" s="884"/>
      <c r="AM49" s="651"/>
      <c r="AN49" s="651"/>
      <c r="AO49" s="651"/>
      <c r="AP49" s="651"/>
      <c r="AQ49" s="651"/>
      <c r="AR49" s="651"/>
      <c r="AS49" s="1542" t="s">
        <v>495</v>
      </c>
      <c r="AU49" s="784"/>
      <c r="AV49" s="784" t="str">
        <f>IF(T49="","",T49)</f>
        <v>Добавить значение признака дифференциации</v>
      </c>
      <c r="AW49" s="784"/>
      <c r="AX49" s="784"/>
      <c r="AY49" s="1439">
        <v>20</v>
      </c>
    </row>
    <row customHeight="1" ht="22.049999999999997">
      <c r="A50" s="1647" t="s">
        <v>261</v>
      </c>
      <c r="B50" s="1647" t="s">
        <v>262</v>
      </c>
      <c r="C50" s="1647" t="s">
        <v>263</v>
      </c>
      <c r="D50" s="1647" t="s">
        <v>551</v>
      </c>
      <c r="E50" s="2543"/>
      <c r="F50" s="2543"/>
      <c r="G50" s="2543"/>
      <c r="H50" s="2543"/>
      <c r="I50" s="2540"/>
      <c r="J50" s="1647"/>
      <c r="K50" s="1647"/>
      <c r="L50" s="1648"/>
      <c r="P50" s="2541"/>
      <c r="Q50" s="1765"/>
      <c r="R50" s="640"/>
      <c r="S50" s="1562"/>
      <c r="T50" s="649" t="s">
        <v>417</v>
      </c>
      <c r="U50" s="651"/>
      <c r="V50" s="651"/>
      <c r="W50" s="884"/>
      <c r="X50" s="884"/>
      <c r="Y50" s="884"/>
      <c r="Z50" s="884"/>
      <c r="AA50" s="884"/>
      <c r="AB50" s="651"/>
      <c r="AC50" s="651"/>
      <c r="AD50" s="651"/>
      <c r="AE50" s="651"/>
      <c r="AF50" s="650"/>
      <c r="AG50" s="651"/>
      <c r="AH50" s="884"/>
      <c r="AI50" s="884"/>
      <c r="AJ50" s="884"/>
      <c r="AK50" s="884"/>
      <c r="AL50" s="884"/>
      <c r="AM50" s="651"/>
      <c r="AN50" s="651"/>
      <c r="AO50" s="651"/>
      <c r="AP50" s="651"/>
      <c r="AQ50" s="650"/>
      <c r="AR50" s="651"/>
      <c r="AS50" s="1724"/>
      <c r="AU50" s="784"/>
      <c r="AV50" s="784" t="str">
        <f>IF(T50="","",T50)</f>
        <v>Добавить группу потребителей</v>
      </c>
      <c r="AW50" s="784"/>
      <c r="AX50" s="784"/>
      <c r="AY50" s="1439">
        <v>21</v>
      </c>
    </row>
    <row customHeight="1" ht="22.049999999999997">
      <c r="A51" s="1647" t="s">
        <v>261</v>
      </c>
      <c r="B51" s="1647" t="s">
        <v>262</v>
      </c>
      <c r="C51" s="1647" t="s">
        <v>263</v>
      </c>
      <c r="D51" s="1647" t="s">
        <v>551</v>
      </c>
      <c r="E51" s="2543"/>
      <c r="F51" s="2543"/>
      <c r="G51" s="2543"/>
      <c r="H51" s="2542"/>
      <c r="I51" s="1647"/>
      <c r="J51" s="1647"/>
      <c r="K51" s="1647"/>
      <c r="L51" s="1648"/>
      <c r="M51" s="1649"/>
      <c r="N51" s="1649"/>
      <c r="O51" s="821"/>
      <c r="P51" s="644"/>
      <c r="Q51" s="659"/>
      <c r="R51" s="639"/>
      <c r="S51" s="1562"/>
      <c r="T51" s="656" t="s">
        <v>496</v>
      </c>
      <c r="U51" s="651"/>
      <c r="V51" s="651"/>
      <c r="W51" s="884"/>
      <c r="X51" s="884"/>
      <c r="Y51" s="884"/>
      <c r="Z51" s="884"/>
      <c r="AA51" s="884"/>
      <c r="AB51" s="651"/>
      <c r="AC51" s="651"/>
      <c r="AD51" s="651"/>
      <c r="AE51" s="651"/>
      <c r="AF51" s="650"/>
      <c r="AG51" s="651"/>
      <c r="AH51" s="884"/>
      <c r="AI51" s="884"/>
      <c r="AJ51" s="884"/>
      <c r="AK51" s="884"/>
      <c r="AL51" s="884"/>
      <c r="AM51" s="651"/>
      <c r="AN51" s="651"/>
      <c r="AO51" s="651"/>
      <c r="AP51" s="651"/>
      <c r="AQ51" s="650"/>
      <c r="AR51" s="651"/>
      <c r="AS51" s="587"/>
      <c r="AU51" s="784"/>
      <c r="AV51" s="784" t="str">
        <f>IF(T51="","",T51)</f>
        <v>Добавить наименование признака дифференциации</v>
      </c>
      <c r="AW51" s="784"/>
      <c r="AX51" s="784"/>
      <c r="AY51" s="1439">
        <v>21</v>
      </c>
    </row>
    <row s="14158" customFormat="1" customHeight="1" ht="0">
      <c r="A52" s="1627" t="s">
        <v>261</v>
      </c>
      <c r="B52" s="1627" t="s">
        <v>262</v>
      </c>
      <c r="C52" s="1598"/>
      <c r="D52" s="1598"/>
      <c r="E52" s="2543"/>
      <c r="F52" s="2542"/>
      <c r="G52" s="1598"/>
      <c r="H52" s="1598"/>
      <c r="I52" s="1598"/>
      <c r="J52" s="1598"/>
      <c r="K52" s="1598"/>
      <c r="L52" s="1778"/>
      <c r="M52" s="1605"/>
      <c r="N52" s="1605"/>
      <c r="P52" s="1600"/>
      <c r="Q52" s="1601"/>
      <c r="R52" s="1600"/>
      <c r="S52" s="1606"/>
      <c r="T52" s="1609" t="s">
        <v>170</v>
      </c>
      <c r="U52" s="1608"/>
      <c r="V52" s="1608"/>
      <c r="W52" s="1608"/>
      <c r="X52" s="1608"/>
      <c r="Y52" s="1608"/>
      <c r="Z52" s="1608"/>
      <c r="AA52" s="1608"/>
      <c r="AB52" s="1608"/>
      <c r="AC52" s="1608"/>
      <c r="AD52" s="1608"/>
      <c r="AE52" s="1608"/>
      <c r="AF52" s="1608"/>
      <c r="AG52" s="1608"/>
      <c r="AH52" s="1608"/>
      <c r="AI52" s="1608"/>
      <c r="AJ52" s="1608"/>
      <c r="AK52" s="1608"/>
      <c r="AL52" s="1608"/>
      <c r="AM52" s="1608"/>
      <c r="AN52" s="1608"/>
      <c r="AO52" s="1608"/>
      <c r="AP52" s="1608"/>
      <c r="AQ52" s="1608"/>
      <c r="AR52" s="1608"/>
      <c r="AS52" s="1608"/>
      <c r="AU52" s="1073"/>
      <c r="AV52" s="1073" t="str">
        <f>IF(T52="","",T52)</f>
        <v>Добавить централизованную систему для дифференциации</v>
      </c>
      <c r="AW52" s="1073"/>
      <c r="AX52" s="1073"/>
      <c r="AY52" s="802">
        <v>0</v>
      </c>
    </row>
    <row s="14158" customFormat="1" customHeight="1" ht="0">
      <c r="A53" s="1627" t="s">
        <v>261</v>
      </c>
      <c r="B53" s="1627"/>
      <c r="C53" s="1627"/>
      <c r="D53" s="1627"/>
      <c r="E53" s="2542"/>
      <c r="F53" s="1627"/>
      <c r="G53" s="1627"/>
      <c r="H53" s="1627"/>
      <c r="I53" s="1627"/>
      <c r="J53" s="1627"/>
      <c r="K53" s="1627"/>
      <c r="L53" s="1630"/>
      <c r="M53" s="1605"/>
      <c r="N53" s="1605"/>
      <c r="O53" s="802"/>
      <c r="P53" s="664"/>
      <c r="Q53" s="1628"/>
      <c r="R53" s="664"/>
      <c r="S53" s="1606"/>
      <c r="T53" s="1609" t="s">
        <v>171</v>
      </c>
      <c r="U53" s="1608"/>
      <c r="V53" s="1608"/>
      <c r="W53" s="1608"/>
      <c r="X53" s="1608"/>
      <c r="Y53" s="1608"/>
      <c r="Z53" s="1608"/>
      <c r="AA53" s="1608"/>
      <c r="AB53" s="1608"/>
      <c r="AC53" s="1608"/>
      <c r="AD53" s="1608"/>
      <c r="AE53" s="1608"/>
      <c r="AF53" s="1608"/>
      <c r="AG53" s="1608"/>
      <c r="AH53" s="1608"/>
      <c r="AI53" s="1608"/>
      <c r="AJ53" s="1608"/>
      <c r="AK53" s="1608"/>
      <c r="AL53" s="1608"/>
      <c r="AM53" s="1608"/>
      <c r="AN53" s="1608"/>
      <c r="AO53" s="1608"/>
      <c r="AP53" s="1608"/>
      <c r="AQ53" s="1608"/>
      <c r="AR53" s="1608"/>
      <c r="AS53" s="1608"/>
      <c r="AU53" s="784"/>
      <c r="AV53" s="784" t="str">
        <f>IF(T53="","",T53)</f>
        <v>Добавить территорию для дифференциации</v>
      </c>
      <c r="AW53" s="784"/>
      <c r="AX53" s="784"/>
      <c r="AY53" s="795">
        <v>0</v>
      </c>
    </row>
    <row s="14158" customFormat="1" customHeight="1" ht="0">
      <c r="A54" s="1598"/>
      <c r="B54" s="1598"/>
      <c r="C54" s="1598"/>
      <c r="D54" s="1598"/>
      <c r="E54" s="1627"/>
      <c r="F54" s="1598"/>
      <c r="G54" s="1598"/>
      <c r="H54" s="1598"/>
      <c r="I54" s="1598"/>
      <c r="J54" s="1598"/>
      <c r="K54" s="1598"/>
      <c r="L54" s="1778"/>
      <c r="M54" s="1605"/>
      <c r="N54" s="1605"/>
      <c r="P54" s="1600"/>
      <c r="Q54" s="1601"/>
      <c r="R54" s="1600"/>
      <c r="S54" s="1606"/>
      <c r="T54" s="1609" t="s">
        <v>172</v>
      </c>
      <c r="U54" s="1608"/>
      <c r="V54" s="1608"/>
      <c r="W54" s="1608"/>
      <c r="X54" s="1608"/>
      <c r="Y54" s="1608"/>
      <c r="Z54" s="1608"/>
      <c r="AA54" s="1608"/>
      <c r="AB54" s="1608"/>
      <c r="AC54" s="1608"/>
      <c r="AD54" s="1608"/>
      <c r="AE54" s="1608"/>
      <c r="AF54" s="1608"/>
      <c r="AG54" s="1608"/>
      <c r="AH54" s="1608"/>
      <c r="AI54" s="1608"/>
      <c r="AJ54" s="1608"/>
      <c r="AK54" s="1608"/>
      <c r="AL54" s="1608"/>
      <c r="AM54" s="1608"/>
      <c r="AN54" s="1608"/>
      <c r="AO54" s="1608"/>
      <c r="AP54" s="1608"/>
      <c r="AQ54" s="1608"/>
      <c r="AR54" s="1608"/>
      <c r="AS54" s="1608"/>
      <c r="AU54" s="1073"/>
      <c r="AV54" s="1073" t="str">
        <f>IF(T54="","",T54)</f>
        <v>Добавить наименование тарифа</v>
      </c>
      <c r="AW54" s="1073"/>
      <c r="AX54" s="1073"/>
      <c r="AY54" s="802">
        <v>0</v>
      </c>
    </row>
    <row customHeight="1" ht="11.549999999999999">
      <c r="M55" s="1444"/>
      <c r="N55" s="1444"/>
      <c r="O55" s="821"/>
      <c r="P55" s="1439"/>
      <c r="Q55" s="1439"/>
      <c r="R55" s="1439"/>
      <c r="S55" s="1439"/>
      <c r="AT55" s="1439"/>
      <c r="AU55" s="1439"/>
      <c r="AV55" s="1439"/>
      <c r="AW55" s="1439"/>
      <c r="AX55" s="1439"/>
      <c r="AY55" s="1439">
        <v>11</v>
      </c>
    </row>
    <row customHeight="1" ht="14.699999999999998">
      <c r="O56" s="821"/>
      <c r="S56" s="1537"/>
      <c r="T56" s="2569"/>
      <c r="U56" s="2569"/>
      <c r="V56" s="2569"/>
      <c r="W56" s="2569"/>
      <c r="X56" s="2569"/>
      <c r="Y56" s="2569"/>
      <c r="Z56" s="2569"/>
      <c r="AA56" s="2569"/>
      <c r="AB56" s="2569"/>
      <c r="AC56" s="2569"/>
      <c r="AD56" s="2569"/>
      <c r="AE56" s="2569"/>
      <c r="AF56" s="2569"/>
      <c r="AG56" s="2569"/>
      <c r="AH56" s="2569"/>
      <c r="AI56" s="2569"/>
      <c r="AJ56" s="2569"/>
      <c r="AK56" s="2569"/>
      <c r="AL56" s="2569"/>
      <c r="AM56" s="2569"/>
      <c r="AN56" s="2569"/>
      <c r="AO56" s="2569"/>
      <c r="AP56" s="2569"/>
      <c r="AQ56" s="2569"/>
      <c r="AR56" s="2569"/>
      <c r="AS56" s="2569"/>
      <c r="AY56" s="1439">
        <v>14</v>
      </c>
    </row>
    <row customHeight="1" ht="14.699999999999998">
      <c r="O57" s="821"/>
      <c r="AY57" s="1439">
        <v>14</v>
      </c>
    </row>
    <row customHeight="1" ht="14.699999999999998">
      <c r="O58" s="821"/>
      <c r="S58" s="1537"/>
      <c r="T58" s="2569"/>
      <c r="U58" s="2569"/>
      <c r="V58" s="2569"/>
      <c r="W58" s="2569"/>
      <c r="X58" s="2569"/>
      <c r="Y58" s="2569"/>
      <c r="Z58" s="2569"/>
      <c r="AA58" s="2569"/>
      <c r="AB58" s="2569"/>
      <c r="AC58" s="2569"/>
      <c r="AD58" s="2569"/>
      <c r="AE58" s="2569"/>
      <c r="AF58" s="2569"/>
      <c r="AG58" s="2569"/>
      <c r="AH58" s="2569"/>
      <c r="AI58" s="2569"/>
      <c r="AJ58" s="2569"/>
      <c r="AK58" s="2569"/>
      <c r="AL58" s="2569"/>
      <c r="AM58" s="2569"/>
      <c r="AN58" s="2569"/>
      <c r="AO58" s="2569"/>
      <c r="AP58" s="2569"/>
      <c r="AQ58" s="2569"/>
      <c r="AR58" s="2569"/>
      <c r="AS58" s="2569"/>
      <c r="AY58" s="1439">
        <v>14</v>
      </c>
    </row>
    <row customHeight="1" ht="22.5" hidden="1">
      <c r="A59" s="1444" t="s">
        <v>83</v>
      </c>
      <c r="B59" s="1444">
        <v>0</v>
      </c>
      <c r="C59" s="1444">
        <v>0</v>
      </c>
      <c r="D59" s="1444">
        <v>0</v>
      </c>
      <c r="E59" s="1444">
        <v>0</v>
      </c>
      <c r="F59" s="1444">
        <v>0</v>
      </c>
      <c r="G59" s="1444">
        <v>0</v>
      </c>
      <c r="H59" s="1444">
        <v>0</v>
      </c>
      <c r="I59" s="1444">
        <v>0</v>
      </c>
      <c r="J59" s="1444">
        <v>0</v>
      </c>
      <c r="K59" s="1444">
        <v>0</v>
      </c>
      <c r="L59" s="1762">
        <v>0</v>
      </c>
      <c r="M59" s="1646">
        <v>0</v>
      </c>
      <c r="N59" s="1646">
        <v>0</v>
      </c>
      <c r="O59" s="1646">
        <v>0</v>
      </c>
      <c r="P59" s="1757">
        <v>3</v>
      </c>
      <c r="Q59" s="628">
        <v>3</v>
      </c>
      <c r="R59" s="628">
        <v>3</v>
      </c>
      <c r="S59" s="865">
        <v>12</v>
      </c>
      <c r="T59" s="1439">
        <v>35</v>
      </c>
      <c r="U59" s="1439">
        <v>0</v>
      </c>
      <c r="V59" s="1439">
        <v>0</v>
      </c>
      <c r="W59" s="1915">
        <v>0</v>
      </c>
      <c r="X59" s="1915">
        <v>0</v>
      </c>
      <c r="Y59" s="1915">
        <v>0</v>
      </c>
      <c r="Z59" s="1915">
        <v>0</v>
      </c>
      <c r="AA59" s="1915">
        <v>0</v>
      </c>
      <c r="AB59" s="1439">
        <v>0</v>
      </c>
      <c r="AC59" s="1439">
        <v>0</v>
      </c>
      <c r="AD59" s="1439">
        <v>0</v>
      </c>
      <c r="AE59" s="1439">
        <v>0</v>
      </c>
      <c r="AF59" s="1439">
        <v>0</v>
      </c>
      <c r="AG59" s="1439">
        <v>19</v>
      </c>
      <c r="AH59" s="1915">
        <v>19</v>
      </c>
      <c r="AI59" s="1915">
        <v>19</v>
      </c>
      <c r="AJ59" s="1915">
        <v>19</v>
      </c>
      <c r="AK59" s="1915">
        <v>19</v>
      </c>
      <c r="AL59" s="1915">
        <v>19</v>
      </c>
      <c r="AM59" s="1439">
        <v>19</v>
      </c>
      <c r="AN59" s="1439">
        <v>11</v>
      </c>
      <c r="AO59" s="1439">
        <v>3</v>
      </c>
      <c r="AP59" s="1439">
        <v>11</v>
      </c>
      <c r="AQ59" s="1439">
        <v>0</v>
      </c>
      <c r="AR59" s="1439">
        <v>4</v>
      </c>
      <c r="AS59" s="1439">
        <v>115</v>
      </c>
      <c r="AT59" s="795">
        <v>10</v>
      </c>
      <c r="AU59" s="795">
        <v>10</v>
      </c>
      <c r="AV59" s="795">
        <v>10</v>
      </c>
      <c r="AW59" s="795">
        <v>10</v>
      </c>
      <c r="AX59" s="795">
        <v>10</v>
      </c>
      <c r="AY59" s="1439">
        <v>23</v>
      </c>
    </row>
  </sheetData>
  <sheetProtection formatColumns="0" formatRows="0" autoFilter="0" sort="0" insertRows="0" insertColumns="1" deleteRows="0" deleteColumns="0"/>
  <mergeCells count="113">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7:AS8"/>
    <mergeCell ref="AN15:AN16"/>
    <mergeCell ref="AO15:AO16"/>
    <mergeCell ref="AP15:AP16"/>
    <mergeCell ref="AQ15:AQ16"/>
    <mergeCell ref="AD7:AD8"/>
    <mergeCell ref="AE7:AE8"/>
    <mergeCell ref="AF7:AF8"/>
    <mergeCell ref="AN7:AN8"/>
    <mergeCell ref="AO7:AO8"/>
    <mergeCell ref="AP7:AP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s>
  <dataValidations count="8">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D340E98-5DA4-A5AC-1B9A-8B485B708BD3}"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14157" width="11.57421875" hidden="1" customWidth="1"/>
    <col min="2" max="2" style="14157" width="11.00390625" hidden="1" customWidth="1"/>
    <col min="3" max="3" style="14157" width="10.57421875" hidden="1"/>
    <col min="4" max="4" style="14157" width="12.8515625" hidden="1" customWidth="1"/>
    <col min="5" max="5" style="14157" width="10.00390625" hidden="1" customWidth="1"/>
    <col min="6" max="6" style="14157" width="8.7109375" hidden="1" customWidth="1"/>
    <col min="7" max="7" style="14157" width="7.57421875" hidden="1" customWidth="1"/>
    <col min="8" max="8" style="14157" width="11.421875" hidden="1" customWidth="1"/>
    <col min="9" max="9" style="14157" width="12.00390625" hidden="1" customWidth="1"/>
    <col min="10" max="10" style="14157" width="9.8515625" hidden="1" customWidth="1"/>
    <col min="11" max="11" style="14157" width="11.421875" hidden="1" customWidth="1"/>
    <col min="12" max="12" style="14974" width="19.140625" hidden="1" customWidth="1"/>
    <col min="13" max="14" style="14975" width="12.28125" hidden="1" customWidth="1"/>
    <col min="15" max="15" style="14975" width="23.421875" hidden="1" customWidth="1"/>
    <col min="16" max="16" style="14975" width="3.7109375" hidden="1" customWidth="1"/>
    <col min="17" max="17" style="15266" width="3.7109375" hidden="1" customWidth="1"/>
    <col min="18" max="18" style="14977" width="3.00390625" customWidth="1"/>
    <col min="19" max="19" style="14978" width="12.00390625" customWidth="1"/>
    <col min="20" max="20" style="14077" width="31.00390625" customWidth="1"/>
    <col min="21" max="21" style="14077" width="0.140625" customWidth="1"/>
    <col min="22" max="25" style="14077" width="21.7109375" hidden="1" customWidth="1"/>
    <col min="26" max="26" style="14077" width="11.7109375" hidden="1" customWidth="1"/>
    <col min="27" max="27" style="14077" width="3.7109375" hidden="1" customWidth="1"/>
    <col min="28" max="28" style="14077" width="11.7109375" hidden="1" customWidth="1"/>
    <col min="29" max="29" style="14077" width="8.57421875" hidden="1" customWidth="1"/>
    <col min="30" max="30" style="14077" width="3.7109375" customWidth="1"/>
    <col min="31" max="32" style="14077" width="3.00390625" customWidth="1"/>
    <col min="33" max="33" style="14077" width="24.00390625" customWidth="1"/>
    <col min="34" max="34" style="14077" width="3.7109375" customWidth="1"/>
    <col min="35" max="36" style="14077" width="3.00390625" customWidth="1"/>
    <col min="37" max="37" style="14077" width="24.00390625" customWidth="1"/>
    <col min="38" max="38" style="14077" width="3.7109375" customWidth="1"/>
    <col min="39" max="40" style="14077" width="3.00390625" customWidth="1"/>
    <col min="41" max="41" style="14077" width="18.00390625" customWidth="1"/>
    <col min="42" max="42" style="14077" width="3.7109375" customWidth="1"/>
    <col min="43" max="44" style="14077" width="3.00390625" customWidth="1"/>
    <col min="45" max="45" style="14077" width="18.00390625" customWidth="1"/>
    <col min="46" max="49" style="14077" width="21.00390625" customWidth="1"/>
    <col min="50" max="50" style="14077" width="11.00390625" customWidth="1"/>
    <col min="51" max="51" style="14077" width="3.7109375" customWidth="1"/>
    <col min="52" max="52" style="14077" width="11.00390625" customWidth="1"/>
    <col min="53" max="53" style="14077" width="8.57421875" hidden="1" customWidth="1"/>
    <col min="54" max="54" style="14077" width="4.00390625" customWidth="1"/>
    <col min="55" max="55" style="14077" width="115.00390625" customWidth="1"/>
    <col min="56" max="60" style="14158" width="10.00390625" customWidth="1"/>
    <col min="61" max="61" style="14077" width="10.57421875" hidden="1"/>
  </cols>
  <sheetData>
    <row customHeight="1" ht="22.5" hidden="1">
      <c r="W1" s="611"/>
      <c r="Y1" s="611"/>
      <c r="Z1" s="611"/>
      <c r="AW1" s="611"/>
      <c r="AX1" s="611"/>
      <c r="BI1" s="1439" t="s">
        <v>14</v>
      </c>
    </row>
    <row customHeight="1" ht="21" hidden="1">
      <c r="A2" s="1647"/>
      <c r="B2" s="1647"/>
      <c r="C2" s="1647"/>
      <c r="D2" s="1647"/>
      <c r="E2" s="2542">
        <v>1</v>
      </c>
      <c r="F2" s="1647"/>
      <c r="G2" s="1647"/>
      <c r="H2" s="1647"/>
      <c r="I2" s="1647"/>
      <c r="J2" s="1647"/>
      <c r="K2" s="1647"/>
      <c r="L2" s="1648"/>
      <c r="M2" s="1649"/>
      <c r="N2" s="1649"/>
      <c r="O2" s="1649"/>
      <c r="P2" s="1693"/>
      <c r="Q2" s="1157"/>
      <c r="R2" s="639"/>
      <c r="S2" s="1777">
        <f>INDEX(PT_DIFFERENTIATION_NUM_NTAR,MATCH(A2,PT_DIFFERENTIATION_NTAR_ID,0))</f>
      </c>
      <c r="T2" s="582" t="s">
        <v>124</v>
      </c>
      <c r="U2" s="584"/>
      <c r="V2" s="2527"/>
      <c r="W2" s="2527"/>
      <c r="X2" s="2527"/>
      <c r="Y2" s="2527"/>
      <c r="Z2" s="2527"/>
      <c r="AA2" s="2527"/>
      <c r="AB2" s="2527"/>
      <c r="AC2" s="2528"/>
      <c r="AD2" s="2526">
        <f>INDEX(PT_DIFFERENTIATION_NTAR,MATCH(A2,PT_DIFFERENTIATION_NTAR_ID,0))</f>
      </c>
      <c r="AE2" s="2527"/>
      <c r="AF2" s="2527"/>
      <c r="AG2" s="2527"/>
      <c r="AH2" s="2527"/>
      <c r="AI2" s="2527"/>
      <c r="AJ2" s="2527"/>
      <c r="AK2" s="2527"/>
      <c r="AL2" s="2527"/>
      <c r="AM2" s="2527"/>
      <c r="AN2" s="2527"/>
      <c r="AO2" s="2527"/>
      <c r="AP2" s="2527"/>
      <c r="AQ2" s="2527"/>
      <c r="AR2" s="2527"/>
      <c r="AS2" s="2527"/>
      <c r="AT2" s="2527"/>
      <c r="AU2" s="2527"/>
      <c r="AV2" s="2527"/>
      <c r="AW2" s="2527"/>
      <c r="AX2" s="2527"/>
      <c r="AY2" s="2527"/>
      <c r="AZ2" s="2527"/>
      <c r="BA2" s="2527"/>
      <c r="BB2" s="2528"/>
      <c r="BC2" s="154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784"/>
      <c r="BF2" s="784" t="str">
        <f>IF(T2="","",T2)</f>
        <v>Наименование тарифа</v>
      </c>
      <c r="BG2" s="784"/>
      <c r="BH2" s="784"/>
      <c r="BI2" s="1439">
        <v>0</v>
      </c>
    </row>
    <row customHeight="1" ht="21" hidden="1">
      <c r="A3" s="1647"/>
      <c r="B3" s="1647"/>
      <c r="C3" s="1647"/>
      <c r="D3" s="1647"/>
      <c r="E3" s="2543"/>
      <c r="F3" s="2542">
        <v>1</v>
      </c>
      <c r="G3" s="1647"/>
      <c r="H3" s="1647"/>
      <c r="I3" s="1647"/>
      <c r="J3" s="1647"/>
      <c r="K3" s="1647"/>
      <c r="L3" s="1648"/>
      <c r="M3" s="1649"/>
      <c r="N3" s="1649"/>
      <c r="O3" s="1649"/>
      <c r="P3" s="1694"/>
      <c r="Q3" s="1695"/>
      <c r="R3" s="637"/>
      <c r="S3" s="1777">
        <f>INDEX(PT_DIFFERENTIATION_NUM_TER,MATCH(B3,PT_DIFFERENTIATION_TER_ID,0))</f>
      </c>
      <c r="T3" s="592" t="s">
        <v>402</v>
      </c>
      <c r="U3" s="584"/>
      <c r="V3" s="2527"/>
      <c r="W3" s="2527"/>
      <c r="X3" s="2527"/>
      <c r="Y3" s="2527"/>
      <c r="Z3" s="2527"/>
      <c r="AA3" s="2527"/>
      <c r="AB3" s="2527"/>
      <c r="AC3" s="2528"/>
      <c r="AD3" s="2526">
        <f>INDEX(PT_DIFFERENTIATION_TER,MATCH(B3,PT_DIFFERENTIATION_TER_ID,0))</f>
      </c>
      <c r="AE3" s="2527"/>
      <c r="AF3" s="2527"/>
      <c r="AG3" s="2527"/>
      <c r="AH3" s="2527"/>
      <c r="AI3" s="2527"/>
      <c r="AJ3" s="2527"/>
      <c r="AK3" s="2527"/>
      <c r="AL3" s="2527"/>
      <c r="AM3" s="2527"/>
      <c r="AN3" s="2527"/>
      <c r="AO3" s="2527"/>
      <c r="AP3" s="2527"/>
      <c r="AQ3" s="2527"/>
      <c r="AR3" s="2527"/>
      <c r="AS3" s="2527"/>
      <c r="AT3" s="2527"/>
      <c r="AU3" s="2527"/>
      <c r="AV3" s="2527"/>
      <c r="AW3" s="2527"/>
      <c r="AX3" s="2527"/>
      <c r="AY3" s="2527"/>
      <c r="AZ3" s="2527"/>
      <c r="BA3" s="2527"/>
      <c r="BB3" s="2528"/>
      <c r="BC3" s="1542" t="s">
        <v>403</v>
      </c>
      <c r="BE3" s="784"/>
      <c r="BF3" s="784" t="str">
        <f>IF(T3="","",T3)</f>
        <v>Территория действия тарифа</v>
      </c>
      <c r="BG3" s="784"/>
      <c r="BH3" s="784"/>
      <c r="BI3" s="1439">
        <v>0</v>
      </c>
    </row>
    <row customHeight="1" ht="33.75" hidden="1">
      <c r="A4" s="1647"/>
      <c r="B4" s="1647"/>
      <c r="C4" s="1647"/>
      <c r="D4" s="1647"/>
      <c r="E4" s="2543"/>
      <c r="F4" s="2543"/>
      <c r="G4" s="2542">
        <v>1</v>
      </c>
      <c r="H4" s="1647"/>
      <c r="I4" s="1647"/>
      <c r="J4" s="1647"/>
      <c r="K4" s="1647"/>
      <c r="L4" s="1648"/>
      <c r="M4" s="1649"/>
      <c r="N4" s="1649"/>
      <c r="O4" s="1649"/>
      <c r="P4" s="1696"/>
      <c r="Q4" s="1695"/>
      <c r="R4" s="637"/>
      <c r="S4" s="1777">
        <f>INDEX(PT_DIFFERENTIATION_NUM_CS,MATCH(C4,PT_DIFFERENTIATION_CS_ID,0))</f>
      </c>
      <c r="T4" s="593" t="s">
        <v>538</v>
      </c>
      <c r="U4" s="584"/>
      <c r="V4" s="2527"/>
      <c r="W4" s="2527"/>
      <c r="X4" s="2527"/>
      <c r="Y4" s="2527"/>
      <c r="Z4" s="2527"/>
      <c r="AA4" s="2527"/>
      <c r="AB4" s="2527"/>
      <c r="AC4" s="2528"/>
      <c r="AD4" s="2526">
        <f>INDEX(PT_DIFFERENTIATION_CS,MATCH(C4,PT_DIFFERENTIATION_CS_ID,0))</f>
      </c>
      <c r="AE4" s="2527"/>
      <c r="AF4" s="2527"/>
      <c r="AG4" s="2527"/>
      <c r="AH4" s="2527"/>
      <c r="AI4" s="2527"/>
      <c r="AJ4" s="2527"/>
      <c r="AK4" s="2527"/>
      <c r="AL4" s="2527"/>
      <c r="AM4" s="2527"/>
      <c r="AN4" s="2527"/>
      <c r="AO4" s="2527"/>
      <c r="AP4" s="2527"/>
      <c r="AQ4" s="2527"/>
      <c r="AR4" s="2527"/>
      <c r="AS4" s="2527"/>
      <c r="AT4" s="2527"/>
      <c r="AU4" s="2527"/>
      <c r="AV4" s="2527"/>
      <c r="AW4" s="2527"/>
      <c r="AX4" s="2527"/>
      <c r="AY4" s="2527"/>
      <c r="AZ4" s="2527"/>
      <c r="BA4" s="2527"/>
      <c r="BB4" s="2528"/>
      <c r="BC4" s="1542" t="s">
        <v>539</v>
      </c>
      <c r="BE4" s="784"/>
      <c r="BF4" s="784" t="str">
        <f>IF(T4="","",T4)</f>
        <v>Наименование централизованной системы горячего водоснабжения</v>
      </c>
      <c r="BG4" s="784"/>
      <c r="BH4" s="784"/>
      <c r="BI4" s="1439">
        <v>0</v>
      </c>
    </row>
    <row s="14158" customFormat="1" customHeight="1" ht="14.25" hidden="1">
      <c r="A5" s="1627"/>
      <c r="B5" s="1627"/>
      <c r="C5" s="1627"/>
      <c r="D5" s="1627"/>
      <c r="E5" s="2543"/>
      <c r="F5" s="2543"/>
      <c r="G5" s="2543"/>
      <c r="H5" s="2542">
        <v>1</v>
      </c>
      <c r="I5" s="1627"/>
      <c r="J5" s="1627"/>
      <c r="K5" s="1627"/>
      <c r="L5" s="1630"/>
      <c r="M5" s="1599"/>
      <c r="N5" s="1599"/>
      <c r="O5" s="1599"/>
      <c r="P5" s="1781"/>
      <c r="Q5" s="1782"/>
      <c r="R5" s="641"/>
      <c r="S5" s="1326"/>
      <c r="T5" s="1783"/>
      <c r="U5" s="1668"/>
      <c r="V5" s="2581"/>
      <c r="W5" s="2581"/>
      <c r="X5" s="2581"/>
      <c r="Y5" s="2581"/>
      <c r="Z5" s="2581"/>
      <c r="AA5" s="2581"/>
      <c r="AB5" s="2581"/>
      <c r="AC5" s="2582"/>
      <c r="AD5" s="2580"/>
      <c r="AE5" s="2581"/>
      <c r="AF5" s="2581"/>
      <c r="AG5" s="2581"/>
      <c r="AH5" s="2581"/>
      <c r="AI5" s="2581"/>
      <c r="AJ5" s="2581"/>
      <c r="AK5" s="2581"/>
      <c r="AL5" s="2581"/>
      <c r="AM5" s="2581"/>
      <c r="AN5" s="2581"/>
      <c r="AO5" s="2581"/>
      <c r="AP5" s="2581"/>
      <c r="AQ5" s="2581"/>
      <c r="AR5" s="2581"/>
      <c r="AS5" s="2581"/>
      <c r="AT5" s="2581"/>
      <c r="AU5" s="2581"/>
      <c r="AV5" s="2581"/>
      <c r="AW5" s="2581"/>
      <c r="AX5" s="2581"/>
      <c r="AY5" s="2581"/>
      <c r="AZ5" s="2581"/>
      <c r="BA5" s="2581"/>
      <c r="BB5" s="2582"/>
      <c r="BC5" s="1669" t="s">
        <v>407</v>
      </c>
      <c r="BE5" s="784"/>
      <c r="BF5" s="784" t="str">
        <f>IF(T5="","",T5)</f>
        <v/>
      </c>
      <c r="BG5" s="784"/>
      <c r="BH5" s="784"/>
      <c r="BI5" s="795">
        <v>0</v>
      </c>
    </row>
    <row s="14158" customFormat="1" customHeight="1" ht="14.25" hidden="1">
      <c r="A6" s="1627"/>
      <c r="B6" s="1627"/>
      <c r="C6" s="1627"/>
      <c r="D6" s="1627"/>
      <c r="E6" s="2543"/>
      <c r="F6" s="2543"/>
      <c r="G6" s="2543"/>
      <c r="H6" s="2543"/>
      <c r="I6" s="2540" t="str">
        <f>S5&amp;".1"</f>
        <v>.1</v>
      </c>
      <c r="J6" s="1627"/>
      <c r="K6" s="1627"/>
      <c r="L6" s="1630" t="s">
        <v>408</v>
      </c>
      <c r="M6" s="794"/>
      <c r="N6" s="794"/>
      <c r="O6" s="794"/>
      <c r="P6" s="2541">
        <v>1</v>
      </c>
      <c r="Q6" s="1765"/>
      <c r="R6" s="640"/>
      <c r="S6" s="1326"/>
      <c r="T6" s="1667"/>
      <c r="U6" s="1668"/>
      <c r="V6" s="2581"/>
      <c r="W6" s="2581"/>
      <c r="X6" s="2581"/>
      <c r="Y6" s="2581"/>
      <c r="Z6" s="2581"/>
      <c r="AA6" s="2581"/>
      <c r="AB6" s="2581"/>
      <c r="AC6" s="2582"/>
      <c r="AD6" s="2580"/>
      <c r="AE6" s="2581"/>
      <c r="AF6" s="2581"/>
      <c r="AG6" s="2581"/>
      <c r="AH6" s="2581"/>
      <c r="AI6" s="2581"/>
      <c r="AJ6" s="2581"/>
      <c r="AK6" s="2581"/>
      <c r="AL6" s="2581"/>
      <c r="AM6" s="2581"/>
      <c r="AN6" s="2581"/>
      <c r="AO6" s="2581"/>
      <c r="AP6" s="2581"/>
      <c r="AQ6" s="2581"/>
      <c r="AR6" s="2581"/>
      <c r="AS6" s="2581"/>
      <c r="AT6" s="2581"/>
      <c r="AU6" s="2581"/>
      <c r="AV6" s="2581"/>
      <c r="AW6" s="2581"/>
      <c r="AX6" s="2581"/>
      <c r="AY6" s="2581"/>
      <c r="AZ6" s="2581"/>
      <c r="BA6" s="2581"/>
      <c r="BB6" s="2582"/>
      <c r="BC6" s="1669"/>
      <c r="BE6" s="784"/>
      <c r="BF6" s="784" t="str">
        <f>IF(T6="","",T6)</f>
        <v/>
      </c>
      <c r="BG6" s="784"/>
      <c r="BH6" s="784"/>
      <c r="BI6" s="795">
        <v>0</v>
      </c>
    </row>
    <row s="14158" customFormat="1" customHeight="1" ht="14.25" hidden="1">
      <c r="A7" s="1627"/>
      <c r="B7" s="1627"/>
      <c r="C7" s="1627"/>
      <c r="D7" s="1627"/>
      <c r="E7" s="2543"/>
      <c r="F7" s="2543"/>
      <c r="G7" s="2543"/>
      <c r="H7" s="2543"/>
      <c r="I7" s="2570"/>
      <c r="J7" s="2540" t="str">
        <f>S5&amp;".1"</f>
        <v>.1</v>
      </c>
      <c r="K7" s="1627"/>
      <c r="L7" s="1630"/>
      <c r="M7" s="794"/>
      <c r="N7" s="794"/>
      <c r="O7" s="794"/>
      <c r="P7" s="2541"/>
      <c r="Q7" s="2541">
        <v>1</v>
      </c>
      <c r="R7" s="641"/>
      <c r="S7" s="1326"/>
      <c r="T7" s="1683"/>
      <c r="U7" s="1668"/>
      <c r="V7" s="2581"/>
      <c r="W7" s="2581"/>
      <c r="X7" s="2581"/>
      <c r="Y7" s="2581"/>
      <c r="Z7" s="2581"/>
      <c r="AA7" s="2581"/>
      <c r="AB7" s="2581"/>
      <c r="AC7" s="2582"/>
      <c r="AD7" s="2580"/>
      <c r="AE7" s="2581"/>
      <c r="AF7" s="2581"/>
      <c r="AG7" s="2581"/>
      <c r="AH7" s="2581"/>
      <c r="AI7" s="2581"/>
      <c r="AJ7" s="2581"/>
      <c r="AK7" s="2581"/>
      <c r="AL7" s="2581"/>
      <c r="AM7" s="2581"/>
      <c r="AN7" s="2581"/>
      <c r="AO7" s="2581"/>
      <c r="AP7" s="2581"/>
      <c r="AQ7" s="2581"/>
      <c r="AR7" s="2581"/>
      <c r="AS7" s="2581"/>
      <c r="AT7" s="2581"/>
      <c r="AU7" s="2581"/>
      <c r="AV7" s="2581"/>
      <c r="AW7" s="2581"/>
      <c r="AX7" s="2581"/>
      <c r="AY7" s="2581"/>
      <c r="AZ7" s="2581"/>
      <c r="BA7" s="2581"/>
      <c r="BB7" s="2582"/>
      <c r="BC7" s="1669"/>
      <c r="BE7" s="784"/>
      <c r="BF7" s="784" t="str">
        <f>IF(T7="","",T7)</f>
        <v/>
      </c>
      <c r="BG7" s="784"/>
      <c r="BH7" s="784"/>
      <c r="BI7" s="795">
        <v>0</v>
      </c>
    </row>
    <row customHeight="1" ht="11.25" hidden="1">
      <c r="A8" s="1647"/>
      <c r="B8" s="1647"/>
      <c r="C8" s="1647"/>
      <c r="D8" s="1647"/>
      <c r="E8" s="2543"/>
      <c r="F8" s="2543"/>
      <c r="G8" s="2543"/>
      <c r="H8" s="2543"/>
      <c r="I8" s="2570"/>
      <c r="J8" s="2570"/>
      <c r="K8" s="2540">
        <f>S4&amp;".1"</f>
      </c>
      <c r="L8" s="1648"/>
      <c r="P8" s="2541"/>
      <c r="Q8" s="2541"/>
      <c r="R8" s="2631">
        <v>1</v>
      </c>
      <c r="S8" s="2625">
        <f>$K8</f>
      </c>
      <c r="T8" s="2644"/>
      <c r="U8" s="584"/>
      <c r="V8" s="1035"/>
      <c r="W8" s="1541"/>
      <c r="X8" s="1035"/>
      <c r="Y8" s="1541"/>
      <c r="Z8" s="2018"/>
      <c r="AA8" s="1753" t="s">
        <v>67</v>
      </c>
      <c r="AB8" s="2018"/>
      <c r="AC8" s="1753" t="s">
        <v>67</v>
      </c>
      <c r="AD8" s="2469" t="s">
        <v>67</v>
      </c>
      <c r="AE8" s="2610"/>
      <c r="AF8" s="2489">
        <v>1</v>
      </c>
      <c r="AG8" s="2647"/>
      <c r="AH8" s="2391" t="s">
        <v>67</v>
      </c>
      <c r="AI8" s="2610"/>
      <c r="AJ8" s="2489">
        <v>1</v>
      </c>
      <c r="AK8" s="2611" t="s">
        <v>28</v>
      </c>
      <c r="AL8" s="2391" t="s">
        <v>67</v>
      </c>
      <c r="AM8" s="2476"/>
      <c r="AN8" s="2489">
        <v>1</v>
      </c>
      <c r="AO8" s="2641"/>
      <c r="AP8" s="2642" t="s">
        <v>67</v>
      </c>
      <c r="AQ8" s="595"/>
      <c r="AR8" s="1770">
        <v>1</v>
      </c>
      <c r="AS8" s="1776" t="s">
        <v>28</v>
      </c>
      <c r="AT8" s="1035"/>
      <c r="AU8" s="1541"/>
      <c r="AV8" s="1035"/>
      <c r="AW8" s="1541"/>
      <c r="AX8" s="2018"/>
      <c r="AY8" s="1753" t="s">
        <v>67</v>
      </c>
      <c r="AZ8" s="2018"/>
      <c r="BA8" s="1753" t="s">
        <v>67</v>
      </c>
      <c r="BB8" s="1632"/>
      <c r="BC8" s="2537" t="s">
        <v>509</v>
      </c>
      <c r="BE8" s="784"/>
      <c r="BF8" s="784" t="str">
        <f>IF(T8="","",T8)</f>
        <v/>
      </c>
      <c r="BG8" s="784"/>
      <c r="BH8" s="784"/>
      <c r="BI8" s="1439">
        <v>0</v>
      </c>
    </row>
    <row customHeight="1" ht="11.25" hidden="1">
      <c r="A9" s="1647"/>
      <c r="B9" s="1647"/>
      <c r="C9" s="1647"/>
      <c r="D9" s="1647"/>
      <c r="E9" s="2543"/>
      <c r="F9" s="2543"/>
      <c r="G9" s="2543"/>
      <c r="H9" s="2543"/>
      <c r="I9" s="2570"/>
      <c r="J9" s="2570"/>
      <c r="K9" s="2540"/>
      <c r="L9" s="1648"/>
      <c r="P9" s="2541"/>
      <c r="Q9" s="2541"/>
      <c r="R9" s="2631"/>
      <c r="S9" s="2626"/>
      <c r="T9" s="2645"/>
      <c r="U9" s="584"/>
      <c r="V9" s="1677"/>
      <c r="W9" s="1780"/>
      <c r="X9" s="1677"/>
      <c r="Y9" s="1780"/>
      <c r="Z9" s="1677"/>
      <c r="AA9" s="1677"/>
      <c r="AB9" s="1677"/>
      <c r="AC9" s="1677"/>
      <c r="AD9" s="2470"/>
      <c r="AE9" s="2610"/>
      <c r="AF9" s="2489"/>
      <c r="AG9" s="2647"/>
      <c r="AH9" s="2391"/>
      <c r="AI9" s="2610"/>
      <c r="AJ9" s="2489"/>
      <c r="AK9" s="2611"/>
      <c r="AL9" s="2391"/>
      <c r="AM9" s="2484"/>
      <c r="AN9" s="2489"/>
      <c r="AO9" s="2641"/>
      <c r="AP9" s="2643"/>
      <c r="AQ9" s="600"/>
      <c r="AR9" s="700"/>
      <c r="AS9" s="700" t="s">
        <v>510</v>
      </c>
      <c r="AT9" s="1677"/>
      <c r="AU9" s="1780"/>
      <c r="AV9" s="1677"/>
      <c r="AW9" s="1780"/>
      <c r="AX9" s="1677"/>
      <c r="AY9" s="1677"/>
      <c r="AZ9" s="1677"/>
      <c r="BA9" s="1677"/>
      <c r="BB9" s="1681"/>
      <c r="BC9" s="2538"/>
      <c r="BE9" s="784"/>
      <c r="BF9" s="784"/>
      <c r="BG9" s="784"/>
      <c r="BH9" s="784"/>
      <c r="BI9" s="1439">
        <v>0</v>
      </c>
    </row>
    <row customHeight="1" ht="11.25" hidden="1">
      <c r="A10" s="1647"/>
      <c r="B10" s="1647"/>
      <c r="C10" s="1647"/>
      <c r="D10" s="1647"/>
      <c r="E10" s="2543"/>
      <c r="F10" s="2543"/>
      <c r="G10" s="2543"/>
      <c r="H10" s="2543"/>
      <c r="I10" s="2570"/>
      <c r="J10" s="2570"/>
      <c r="K10" s="2540"/>
      <c r="L10" s="1648"/>
      <c r="P10" s="2541"/>
      <c r="Q10" s="2541"/>
      <c r="R10" s="2631"/>
      <c r="S10" s="2626"/>
      <c r="T10" s="2645"/>
      <c r="U10" s="584"/>
      <c r="V10" s="1677"/>
      <c r="W10" s="1780"/>
      <c r="X10" s="1677"/>
      <c r="Y10" s="1780"/>
      <c r="Z10" s="1677"/>
      <c r="AA10" s="1677"/>
      <c r="AB10" s="1677"/>
      <c r="AC10" s="1677"/>
      <c r="AD10" s="2470"/>
      <c r="AE10" s="2610"/>
      <c r="AF10" s="2489"/>
      <c r="AG10" s="2647"/>
      <c r="AH10" s="2391"/>
      <c r="AI10" s="2610"/>
      <c r="AJ10" s="2489"/>
      <c r="AK10" s="2611"/>
      <c r="AL10" s="2391"/>
      <c r="AM10" s="600"/>
      <c r="AN10" s="1784"/>
      <c r="AO10" s="1784" t="s">
        <v>511</v>
      </c>
      <c r="AP10" s="700"/>
      <c r="AQ10" s="700"/>
      <c r="AR10" s="700"/>
      <c r="AS10" s="1677"/>
      <c r="AT10" s="1677"/>
      <c r="AU10" s="1780"/>
      <c r="AV10" s="1677"/>
      <c r="AW10" s="1780"/>
      <c r="AX10" s="1677"/>
      <c r="AY10" s="1677"/>
      <c r="AZ10" s="1677"/>
      <c r="BA10" s="1677"/>
      <c r="BB10" s="1681"/>
      <c r="BC10" s="2538"/>
      <c r="BE10" s="784"/>
      <c r="BF10" s="784"/>
      <c r="BG10" s="784"/>
      <c r="BH10" s="784"/>
      <c r="BI10" s="1439">
        <v>0</v>
      </c>
    </row>
    <row customHeight="1" ht="11.25" hidden="1">
      <c r="A11" s="1647"/>
      <c r="B11" s="1647"/>
      <c r="C11" s="1647"/>
      <c r="D11" s="1647"/>
      <c r="E11" s="2543"/>
      <c r="F11" s="2543"/>
      <c r="G11" s="2543"/>
      <c r="H11" s="2543"/>
      <c r="I11" s="2570"/>
      <c r="J11" s="2570"/>
      <c r="K11" s="2540"/>
      <c r="L11" s="1648"/>
      <c r="P11" s="2541"/>
      <c r="Q11" s="2541"/>
      <c r="R11" s="2631"/>
      <c r="S11" s="2626"/>
      <c r="T11" s="2645"/>
      <c r="U11" s="584"/>
      <c r="V11" s="1677"/>
      <c r="W11" s="1780"/>
      <c r="X11" s="1677"/>
      <c r="Y11" s="1780"/>
      <c r="Z11" s="1677"/>
      <c r="AA11" s="1677"/>
      <c r="AB11" s="1677"/>
      <c r="AC11" s="1677"/>
      <c r="AD11" s="2470"/>
      <c r="AE11" s="2610"/>
      <c r="AF11" s="2489"/>
      <c r="AG11" s="2647"/>
      <c r="AH11" s="2391"/>
      <c r="AI11" s="578"/>
      <c r="AJ11" s="699"/>
      <c r="AK11" s="597" t="s">
        <v>512</v>
      </c>
      <c r="AL11" s="1677"/>
      <c r="AM11" s="1677"/>
      <c r="AN11" s="1677"/>
      <c r="AO11" s="1677"/>
      <c r="AP11" s="1677"/>
      <c r="AQ11" s="1677"/>
      <c r="AR11" s="1677"/>
      <c r="AS11" s="1677"/>
      <c r="AT11" s="1677"/>
      <c r="AU11" s="1780"/>
      <c r="AV11" s="1677"/>
      <c r="AW11" s="1780"/>
      <c r="AX11" s="1677"/>
      <c r="AY11" s="1677"/>
      <c r="AZ11" s="1677"/>
      <c r="BA11" s="1677"/>
      <c r="BB11" s="1681"/>
      <c r="BC11" s="2538"/>
      <c r="BE11" s="784"/>
      <c r="BF11" s="784"/>
      <c r="BG11" s="784"/>
      <c r="BH11" s="784"/>
      <c r="BI11" s="1439">
        <v>0</v>
      </c>
    </row>
    <row customHeight="1" ht="11.25" hidden="1">
      <c r="A12" s="1647"/>
      <c r="B12" s="1647"/>
      <c r="C12" s="1647"/>
      <c r="D12" s="1647"/>
      <c r="E12" s="2543"/>
      <c r="F12" s="2543"/>
      <c r="G12" s="2543"/>
      <c r="H12" s="2543"/>
      <c r="I12" s="2570"/>
      <c r="J12" s="2570"/>
      <c r="K12" s="2540"/>
      <c r="L12" s="1648"/>
      <c r="P12" s="2541"/>
      <c r="Q12" s="2541"/>
      <c r="R12" s="2631"/>
      <c r="S12" s="2627"/>
      <c r="T12" s="2646"/>
      <c r="U12" s="584"/>
      <c r="V12" s="1677"/>
      <c r="W12" s="1678" t="str">
        <f>Z8&amp;"-"&amp;AB8</f>
        <v>-</v>
      </c>
      <c r="X12" s="1677"/>
      <c r="Y12" s="1678" t="str">
        <f>AB8&amp;"-"&amp;AD8</f>
        <v>-да</v>
      </c>
      <c r="Z12" s="1677"/>
      <c r="AA12" s="1677"/>
      <c r="AB12" s="1677"/>
      <c r="AC12" s="1677"/>
      <c r="AD12" s="2396"/>
      <c r="AE12" s="596"/>
      <c r="AF12" s="598"/>
      <c r="AG12" s="700" t="s">
        <v>513</v>
      </c>
      <c r="AH12" s="1677"/>
      <c r="AI12" s="1677"/>
      <c r="AJ12" s="1677"/>
      <c r="AK12" s="1677"/>
      <c r="AL12" s="1677"/>
      <c r="AM12" s="1677"/>
      <c r="AN12" s="1677"/>
      <c r="AO12" s="1677"/>
      <c r="AP12" s="1677"/>
      <c r="AQ12" s="1677"/>
      <c r="AR12" s="1677"/>
      <c r="AS12" s="1677"/>
      <c r="AT12" s="1677"/>
      <c r="AU12" s="1678" t="str">
        <f>AX8&amp;"-"&amp;AZ8</f>
        <v>-</v>
      </c>
      <c r="AV12" s="1677"/>
      <c r="AW12" s="1678" t="str">
        <f>AZ8&amp;"-"&amp;BB8</f>
        <v>-</v>
      </c>
      <c r="AX12" s="1677"/>
      <c r="AY12" s="1677"/>
      <c r="AZ12" s="1677"/>
      <c r="BA12" s="1677"/>
      <c r="BB12" s="1680" t="str">
        <f>BE8&amp;"-"&amp;BG8</f>
        <v>-</v>
      </c>
      <c r="BC12" s="2538"/>
      <c r="BE12" s="784"/>
      <c r="BF12" s="784" t="str">
        <f>IF(T12="","",T12)</f>
        <v/>
      </c>
      <c r="BG12" s="784"/>
      <c r="BH12" s="784"/>
      <c r="BI12" s="1439">
        <v>0</v>
      </c>
    </row>
    <row customHeight="1" ht="11.25" hidden="1">
      <c r="A13" s="1647"/>
      <c r="B13" s="1647"/>
      <c r="C13" s="1647"/>
      <c r="D13" s="1647"/>
      <c r="E13" s="2543"/>
      <c r="F13" s="2543"/>
      <c r="G13" s="2543"/>
      <c r="H13" s="2543"/>
      <c r="I13" s="2570"/>
      <c r="J13" s="2540"/>
      <c r="K13" s="1647"/>
      <c r="L13" s="1648"/>
      <c r="P13" s="2541"/>
      <c r="Q13" s="2541"/>
      <c r="R13" s="640"/>
      <c r="S13" s="1562"/>
      <c r="T13" s="571" t="s">
        <v>476</v>
      </c>
      <c r="U13" s="651"/>
      <c r="V13" s="651"/>
      <c r="W13" s="651"/>
      <c r="X13" s="651"/>
      <c r="Y13" s="651"/>
      <c r="Z13" s="651"/>
      <c r="AA13" s="651"/>
      <c r="AB13" s="651"/>
      <c r="AC13" s="651"/>
      <c r="AD13" s="1789"/>
      <c r="AE13" s="651"/>
      <c r="AF13" s="651"/>
      <c r="AG13" s="651"/>
      <c r="AH13" s="651"/>
      <c r="AI13" s="651"/>
      <c r="AJ13" s="651"/>
      <c r="AK13" s="651"/>
      <c r="AL13" s="651"/>
      <c r="AM13" s="651"/>
      <c r="AN13" s="651"/>
      <c r="AO13" s="651"/>
      <c r="AP13" s="651"/>
      <c r="AQ13" s="651"/>
      <c r="AR13" s="651"/>
      <c r="AS13" s="651"/>
      <c r="AT13" s="651"/>
      <c r="AU13" s="651"/>
      <c r="AV13" s="651"/>
      <c r="AW13" s="651"/>
      <c r="AX13" s="651"/>
      <c r="AY13" s="651"/>
      <c r="AZ13" s="651"/>
      <c r="BA13" s="651"/>
      <c r="BB13" s="608"/>
      <c r="BC13" s="2539"/>
      <c r="BE13" s="784"/>
      <c r="BF13" s="784" t="str">
        <f>IF(T13="","",T13)</f>
        <v>Добавить строку</v>
      </c>
      <c r="BG13" s="784"/>
      <c r="BH13" s="784"/>
      <c r="BI13" s="1439">
        <v>0</v>
      </c>
    </row>
    <row s="14158" customFormat="1" customHeight="1" ht="14.25" hidden="1">
      <c r="A14" s="1627"/>
      <c r="B14" s="1627"/>
      <c r="C14" s="1627"/>
      <c r="D14" s="1627"/>
      <c r="E14" s="2543"/>
      <c r="F14" s="2543"/>
      <c r="G14" s="2543"/>
      <c r="H14" s="2543"/>
      <c r="I14" s="2540"/>
      <c r="J14" s="1627"/>
      <c r="K14" s="1627"/>
      <c r="L14" s="1630"/>
      <c r="M14" s="794"/>
      <c r="N14" s="794"/>
      <c r="O14" s="794"/>
      <c r="P14" s="2541"/>
      <c r="Q14" s="1765"/>
      <c r="R14" s="640"/>
      <c r="S14" s="1670"/>
      <c r="T14" s="1671"/>
      <c r="U14" s="1672"/>
      <c r="V14" s="1672"/>
      <c r="W14" s="1672"/>
      <c r="X14" s="1672"/>
      <c r="Y14" s="1672"/>
      <c r="Z14" s="1672"/>
      <c r="AA14" s="1672"/>
      <c r="AB14" s="1672"/>
      <c r="AC14" s="1672"/>
      <c r="AD14" s="1672"/>
      <c r="AE14" s="1672"/>
      <c r="AF14" s="1672"/>
      <c r="AG14" s="1672"/>
      <c r="AH14" s="1672"/>
      <c r="AI14" s="1672"/>
      <c r="AJ14" s="1672"/>
      <c r="AK14" s="1672"/>
      <c r="AL14" s="1672"/>
      <c r="AM14" s="1672"/>
      <c r="AN14" s="1672"/>
      <c r="AO14" s="1672"/>
      <c r="AP14" s="1672"/>
      <c r="AQ14" s="1672"/>
      <c r="AR14" s="1672"/>
      <c r="AS14" s="1672"/>
      <c r="AT14" s="1672"/>
      <c r="AU14" s="1672"/>
      <c r="AV14" s="1672"/>
      <c r="AW14" s="1672"/>
      <c r="AX14" s="1672"/>
      <c r="AY14" s="1672"/>
      <c r="AZ14" s="1672"/>
      <c r="BA14" s="1672"/>
      <c r="BB14" s="1672"/>
      <c r="BC14" s="1673"/>
      <c r="BE14" s="784"/>
      <c r="BF14" s="784" t="str">
        <f>IF(T14="","",T14)</f>
        <v/>
      </c>
      <c r="BG14" s="784"/>
      <c r="BH14" s="784"/>
      <c r="BI14" s="795">
        <v>0</v>
      </c>
    </row>
    <row s="14158" customFormat="1" customHeight="1" ht="14.25" hidden="1">
      <c r="A15" s="1627"/>
      <c r="B15" s="1627"/>
      <c r="C15" s="1627"/>
      <c r="D15" s="1627"/>
      <c r="E15" s="2543"/>
      <c r="F15" s="2543"/>
      <c r="G15" s="2543"/>
      <c r="H15" s="2542"/>
      <c r="I15" s="1627"/>
      <c r="J15" s="1627"/>
      <c r="K15" s="1627"/>
      <c r="L15" s="1630"/>
      <c r="M15" s="1599"/>
      <c r="N15" s="1599"/>
      <c r="O15" s="802"/>
      <c r="P15" s="664"/>
      <c r="Q15" s="1628"/>
      <c r="R15" s="1685"/>
      <c r="S15" s="1670"/>
      <c r="T15" s="1671"/>
      <c r="U15" s="1672"/>
      <c r="V15" s="1672"/>
      <c r="W15" s="1672"/>
      <c r="X15" s="1672"/>
      <c r="Y15" s="1672"/>
      <c r="Z15" s="1672"/>
      <c r="AA15" s="1672"/>
      <c r="AB15" s="1672"/>
      <c r="AC15" s="1672"/>
      <c r="AD15" s="1672"/>
      <c r="AE15" s="1672"/>
      <c r="AF15" s="1672"/>
      <c r="AG15" s="1672"/>
      <c r="AH15" s="1672"/>
      <c r="AI15" s="1672"/>
      <c r="AJ15" s="1672"/>
      <c r="AK15" s="1672"/>
      <c r="AL15" s="1672"/>
      <c r="AM15" s="1672"/>
      <c r="AN15" s="1672"/>
      <c r="AO15" s="1672"/>
      <c r="AP15" s="1672"/>
      <c r="AQ15" s="1672"/>
      <c r="AR15" s="1672"/>
      <c r="AS15" s="1672"/>
      <c r="AT15" s="1672"/>
      <c r="AU15" s="1672"/>
      <c r="AV15" s="1672"/>
      <c r="AW15" s="1672"/>
      <c r="AX15" s="1672"/>
      <c r="AY15" s="1672"/>
      <c r="AZ15" s="1672"/>
      <c r="BA15" s="1672"/>
      <c r="BB15" s="1672"/>
      <c r="BC15" s="1673"/>
      <c r="BE15" s="784"/>
      <c r="BF15" s="784" t="str">
        <f>IF(T15="","",T15)</f>
        <v/>
      </c>
      <c r="BG15" s="784"/>
      <c r="BH15" s="784"/>
      <c r="BI15" s="795">
        <v>0</v>
      </c>
    </row>
    <row s="14158" customFormat="1" customHeight="1" ht="14.25" hidden="1">
      <c r="A16" s="1627"/>
      <c r="B16" s="1627"/>
      <c r="C16" s="1627"/>
      <c r="D16" s="1598"/>
      <c r="E16" s="2543"/>
      <c r="F16" s="2543"/>
      <c r="G16" s="2542"/>
      <c r="H16" s="1598"/>
      <c r="I16" s="1598"/>
      <c r="J16" s="1598"/>
      <c r="K16" s="1598"/>
      <c r="L16" s="1778"/>
      <c r="M16" s="1599"/>
      <c r="N16" s="1599"/>
      <c r="P16" s="1600"/>
      <c r="Q16" s="1601"/>
      <c r="R16" s="1600"/>
      <c r="S16" s="1606"/>
      <c r="T16" s="1609"/>
      <c r="U16" s="1608"/>
      <c r="V16" s="1608"/>
      <c r="W16" s="1608"/>
      <c r="X16" s="1608"/>
      <c r="Y16" s="1608"/>
      <c r="Z16" s="1608"/>
      <c r="AA16" s="1608"/>
      <c r="AB16" s="1608"/>
      <c r="AC16" s="1608"/>
      <c r="AD16" s="1608"/>
      <c r="AE16" s="1608"/>
      <c r="AF16" s="1608"/>
      <c r="AG16" s="1608"/>
      <c r="AH16" s="1608"/>
      <c r="AI16" s="1608"/>
      <c r="AJ16" s="1608"/>
      <c r="AK16" s="1608"/>
      <c r="AL16" s="1608"/>
      <c r="AM16" s="1608"/>
      <c r="AN16" s="1608"/>
      <c r="AO16" s="1608"/>
      <c r="AP16" s="1608"/>
      <c r="AQ16" s="1608"/>
      <c r="AR16" s="1608"/>
      <c r="AS16" s="1608"/>
      <c r="AT16" s="1608"/>
      <c r="AU16" s="1608"/>
      <c r="AV16" s="1608"/>
      <c r="AW16" s="1608"/>
      <c r="AX16" s="1608"/>
      <c r="AY16" s="1608"/>
      <c r="AZ16" s="1608"/>
      <c r="BA16" s="1608"/>
      <c r="BB16" s="1608"/>
      <c r="BC16" s="1608"/>
      <c r="BE16" s="1073"/>
      <c r="BF16" s="1073" t="str">
        <f>IF(T16="","",T16)</f>
        <v/>
      </c>
      <c r="BG16" s="1073"/>
      <c r="BH16" s="1073"/>
      <c r="BI16" s="802">
        <v>0</v>
      </c>
    </row>
    <row s="14158" customFormat="1" customHeight="1" ht="14.25" hidden="1">
      <c r="A17" s="1627"/>
      <c r="B17" s="1627"/>
      <c r="C17" s="1598"/>
      <c r="D17" s="1598"/>
      <c r="E17" s="2543"/>
      <c r="F17" s="2542"/>
      <c r="G17" s="1598"/>
      <c r="H17" s="1598"/>
      <c r="I17" s="1598"/>
      <c r="J17" s="1598"/>
      <c r="K17" s="1598"/>
      <c r="L17" s="1778"/>
      <c r="M17" s="1605"/>
      <c r="N17" s="1605"/>
      <c r="P17" s="1600"/>
      <c r="Q17" s="1601"/>
      <c r="R17" s="1600"/>
      <c r="S17" s="1606"/>
      <c r="T17" s="1609" t="s">
        <v>170</v>
      </c>
      <c r="U17" s="1608"/>
      <c r="V17" s="1608"/>
      <c r="W17" s="1608"/>
      <c r="X17" s="1608"/>
      <c r="Y17" s="1608"/>
      <c r="Z17" s="1608"/>
      <c r="AA17" s="1608"/>
      <c r="AB17" s="1608"/>
      <c r="AC17" s="1608"/>
      <c r="AD17" s="1608"/>
      <c r="AE17" s="1608"/>
      <c r="AF17" s="1608"/>
      <c r="AG17" s="1608"/>
      <c r="AH17" s="1608"/>
      <c r="AI17" s="1608"/>
      <c r="AJ17" s="1608"/>
      <c r="AK17" s="1608"/>
      <c r="AL17" s="1608"/>
      <c r="AM17" s="1608"/>
      <c r="AN17" s="1608"/>
      <c r="AO17" s="1608"/>
      <c r="AP17" s="1608"/>
      <c r="AQ17" s="1608"/>
      <c r="AR17" s="1608"/>
      <c r="AS17" s="1608"/>
      <c r="AT17" s="1608"/>
      <c r="AU17" s="1608"/>
      <c r="AV17" s="1608"/>
      <c r="AW17" s="1608"/>
      <c r="AX17" s="1608"/>
      <c r="AY17" s="1608"/>
      <c r="AZ17" s="1608"/>
      <c r="BA17" s="1608"/>
      <c r="BB17" s="1608"/>
      <c r="BC17" s="1608"/>
      <c r="BE17" s="1073"/>
      <c r="BF17" s="1073" t="str">
        <f>IF(T17="","",T17)</f>
        <v>Добавить централизованную систему для дифференциации</v>
      </c>
      <c r="BG17" s="1073"/>
      <c r="BH17" s="1073"/>
      <c r="BI17" s="802">
        <v>0</v>
      </c>
    </row>
    <row s="14158" customFormat="1" customHeight="1" ht="14.25" hidden="1">
      <c r="A18" s="1627"/>
      <c r="B18" s="1627"/>
      <c r="C18" s="1627"/>
      <c r="D18" s="1627"/>
      <c r="E18" s="2542"/>
      <c r="F18" s="1627"/>
      <c r="G18" s="1627"/>
      <c r="H18" s="1627"/>
      <c r="I18" s="1627"/>
      <c r="J18" s="1627"/>
      <c r="K18" s="1627"/>
      <c r="L18" s="1630"/>
      <c r="M18" s="1605"/>
      <c r="N18" s="1605"/>
      <c r="O18" s="802"/>
      <c r="P18" s="664"/>
      <c r="Q18" s="1628"/>
      <c r="R18" s="664"/>
      <c r="S18" s="1606"/>
      <c r="T18" s="1609" t="s">
        <v>171</v>
      </c>
      <c r="U18" s="1608"/>
      <c r="V18" s="1608"/>
      <c r="W18" s="1608"/>
      <c r="X18" s="1608"/>
      <c r="Y18" s="1608"/>
      <c r="Z18" s="1608"/>
      <c r="AA18" s="1608"/>
      <c r="AB18" s="1608"/>
      <c r="AC18" s="1608"/>
      <c r="AD18" s="1608"/>
      <c r="AE18" s="1608"/>
      <c r="AF18" s="1608"/>
      <c r="AG18" s="1608"/>
      <c r="AH18" s="1608"/>
      <c r="AI18" s="1608"/>
      <c r="AJ18" s="1608"/>
      <c r="AK18" s="1608"/>
      <c r="AL18" s="1608"/>
      <c r="AM18" s="1608"/>
      <c r="AN18" s="1608"/>
      <c r="AO18" s="1608"/>
      <c r="AP18" s="1608"/>
      <c r="AQ18" s="1608"/>
      <c r="AR18" s="1608"/>
      <c r="AS18" s="1608"/>
      <c r="AT18" s="1608"/>
      <c r="AU18" s="1608"/>
      <c r="AV18" s="1608"/>
      <c r="AW18" s="1608"/>
      <c r="AX18" s="1608"/>
      <c r="AY18" s="1608"/>
      <c r="AZ18" s="1608"/>
      <c r="BA18" s="1608"/>
      <c r="BB18" s="1608"/>
      <c r="BC18" s="1608"/>
      <c r="BE18" s="784"/>
      <c r="BF18" s="784" t="str">
        <f>IF(T18="","",T18)</f>
        <v>Добавить территорию для дифференциации</v>
      </c>
      <c r="BG18" s="784"/>
      <c r="BH18" s="784"/>
      <c r="BI18" s="795">
        <v>0</v>
      </c>
    </row>
    <row customHeight="1" ht="14.25" hidden="1">
      <c r="AC19" s="611"/>
      <c r="BA19" s="611"/>
      <c r="BI19" s="1439">
        <v>0</v>
      </c>
    </row>
    <row customHeight="1" ht="14.25" hidden="1">
      <c r="AD20" s="1608" t="s">
        <v>19</v>
      </c>
      <c r="AE20" s="1785"/>
      <c r="AF20" s="832">
        <v>1</v>
      </c>
      <c r="AG20" s="1786"/>
      <c r="AH20" s="1608" t="s">
        <v>19</v>
      </c>
      <c r="AI20" s="1785"/>
      <c r="AJ20" s="832">
        <v>1</v>
      </c>
      <c r="AK20" s="1786"/>
      <c r="AL20" s="1608" t="s">
        <v>19</v>
      </c>
      <c r="AM20" s="1787"/>
      <c r="AN20" s="832">
        <v>1</v>
      </c>
      <c r="AO20" s="1788"/>
      <c r="AP20" s="1608" t="s">
        <v>19</v>
      </c>
      <c r="AQ20" s="1787"/>
      <c r="AR20" s="832">
        <v>1</v>
      </c>
      <c r="AS20" s="1788"/>
      <c r="AT20" s="609"/>
      <c r="AU20" s="668"/>
      <c r="AV20" s="609"/>
      <c r="AW20" s="668"/>
      <c r="AX20" s="2020"/>
      <c r="AY20" s="1769" t="s">
        <v>67</v>
      </c>
      <c r="AZ20" s="2020"/>
      <c r="BA20" s="1769" t="s">
        <v>67</v>
      </c>
      <c r="BI20" s="1439">
        <v>0</v>
      </c>
    </row>
    <row customHeight="1" ht="14.25" hidden="1">
      <c r="BD21" s="780"/>
      <c r="BE21" s="780"/>
      <c r="BF21" s="780"/>
      <c r="BG21" s="780"/>
      <c r="BH21" s="780"/>
      <c r="BI21" s="1439">
        <v>0</v>
      </c>
    </row>
    <row customHeight="1" ht="14.25" hidden="1">
      <c r="O22" s="1651" t="s">
        <v>419</v>
      </c>
      <c r="Z22" s="1629"/>
      <c r="AB22" s="1629"/>
      <c r="AC22" s="611"/>
      <c r="AX22" s="1629"/>
      <c r="AZ22" s="1629"/>
      <c r="BA22" s="611"/>
      <c r="BD22" s="780"/>
      <c r="BE22" s="780"/>
      <c r="BF22" s="780"/>
      <c r="BG22" s="780"/>
      <c r="BH22" s="780"/>
      <c r="BI22" s="1439">
        <v>0</v>
      </c>
    </row>
    <row customHeight="1" ht="14.25" hidden="1">
      <c r="AC23" s="611"/>
      <c r="BA23" s="611"/>
      <c r="BD23" s="780"/>
      <c r="BE23" s="780"/>
      <c r="BF23" s="780"/>
      <c r="BG23" s="780"/>
      <c r="BH23" s="780"/>
      <c r="BI23" s="1439">
        <v>0</v>
      </c>
    </row>
    <row s="15237" customFormat="1" customHeight="1" ht="14.25" hidden="1">
      <c r="M24" s="1792"/>
      <c r="N24" s="1792"/>
      <c r="O24" s="1793" t="s">
        <v>420</v>
      </c>
      <c r="P24" s="1792"/>
      <c r="Q24" s="1794"/>
      <c r="R24" s="1794"/>
      <c r="AA24" s="1791" t="s">
        <v>422</v>
      </c>
      <c r="AC24" s="1791" t="s">
        <v>423</v>
      </c>
      <c r="AD24" s="1791" t="s">
        <v>477</v>
      </c>
      <c r="AH24" s="1791" t="s">
        <v>477</v>
      </c>
      <c r="AK24" s="1791" t="s">
        <v>514</v>
      </c>
      <c r="AL24" s="1791" t="s">
        <v>477</v>
      </c>
      <c r="AP24" s="1791" t="s">
        <v>477</v>
      </c>
      <c r="AY24" s="1791" t="s">
        <v>422</v>
      </c>
      <c r="BA24" s="1791" t="s">
        <v>423</v>
      </c>
      <c r="BD24" s="1795"/>
      <c r="BE24" s="1795"/>
      <c r="BF24" s="1795"/>
      <c r="BG24" s="1795"/>
      <c r="BH24" s="1795"/>
      <c r="BI24" s="1791">
        <v>0</v>
      </c>
    </row>
    <row customHeight="1" ht="14.25" hidden="1">
      <c r="O25" s="1648"/>
      <c r="BD25" s="780"/>
      <c r="BE25" s="780"/>
      <c r="BF25" s="780"/>
      <c r="BG25" s="780"/>
      <c r="BH25" s="780"/>
      <c r="BI25" s="1439">
        <v>0</v>
      </c>
    </row>
    <row customHeight="1" ht="14.25" hidden="1">
      <c r="O26" s="1648"/>
      <c r="BD26" s="780"/>
      <c r="BE26" s="780"/>
      <c r="BF26" s="780"/>
      <c r="BG26" s="780"/>
      <c r="BH26" s="780"/>
      <c r="BI26" s="1439">
        <v>0</v>
      </c>
    </row>
    <row customHeight="1" ht="14.699999999999998">
      <c r="Q27" s="575"/>
      <c r="R27" s="660"/>
      <c r="S27" s="1559"/>
      <c r="T27" s="647"/>
      <c r="U27" s="647"/>
      <c r="V27" s="793"/>
      <c r="W27" s="793"/>
      <c r="X27" s="793"/>
      <c r="Y27" s="793"/>
      <c r="Z27" s="793"/>
      <c r="AA27" s="793"/>
      <c r="AB27" s="793"/>
      <c r="AC27" s="793"/>
      <c r="AD27" s="793"/>
      <c r="AE27" s="793"/>
      <c r="AF27" s="793"/>
      <c r="AG27" s="793"/>
      <c r="AH27" s="793"/>
      <c r="AI27" s="793"/>
      <c r="AJ27" s="793"/>
      <c r="AK27" s="793"/>
      <c r="AL27" s="793"/>
      <c r="AM27" s="793"/>
      <c r="AN27" s="793"/>
      <c r="AO27" s="793"/>
      <c r="AP27" s="793"/>
      <c r="AQ27" s="793"/>
      <c r="AR27" s="793"/>
      <c r="AS27" s="793"/>
      <c r="AT27" s="793"/>
      <c r="AU27" s="793"/>
      <c r="AV27" s="793"/>
      <c r="AW27" s="793"/>
      <c r="AX27" s="793"/>
      <c r="AY27" s="793"/>
      <c r="AZ27" s="793"/>
      <c r="BA27" s="793"/>
      <c r="BI27" s="1439">
        <v>14</v>
      </c>
    </row>
    <row customHeight="1" ht="14.699999999999998">
      <c r="Q28" s="575"/>
      <c r="R28" s="660"/>
      <c r="S28" s="2532" t="str">
        <f>IF(TEMPLATE_GROUP="P",PT_P_FORM_HOTVSNA_5_NAME_FORM,PT_R_FORM_HOTVSNA_17_NAME_FORM)</f>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
      <c r="T28" s="2532"/>
      <c r="U28" s="2532"/>
      <c r="V28" s="2532"/>
      <c r="W28" s="2532"/>
      <c r="X28" s="2532"/>
      <c r="Y28" s="2532"/>
      <c r="Z28" s="2532"/>
      <c r="AA28" s="2532"/>
      <c r="AB28" s="2532"/>
      <c r="AC28" s="2532"/>
      <c r="AD28" s="2532"/>
      <c r="AE28" s="2532"/>
      <c r="AF28" s="2532"/>
      <c r="AG28" s="2532"/>
      <c r="AH28" s="2532"/>
      <c r="AI28" s="2532"/>
      <c r="AJ28" s="2532"/>
      <c r="AK28" s="2532"/>
      <c r="AL28" s="2532"/>
      <c r="AM28" s="2532"/>
      <c r="AN28" s="2532"/>
      <c r="AO28" s="2532"/>
      <c r="AP28" s="2532"/>
      <c r="AQ28" s="2532"/>
      <c r="AR28" s="2532"/>
      <c r="AS28" s="2532"/>
      <c r="AT28" s="2532"/>
      <c r="AU28" s="2532"/>
      <c r="AV28" s="2532"/>
      <c r="AW28" s="2532"/>
      <c r="AX28" s="2532"/>
      <c r="AY28" s="2532"/>
      <c r="AZ28" s="2532"/>
      <c r="BA28" s="1527"/>
      <c r="BI28" s="1439">
        <v>14</v>
      </c>
    </row>
    <row customHeight="1" ht="14.699999999999998">
      <c r="Q29" s="575"/>
      <c r="R29" s="660"/>
      <c r="S29" s="2533" t="str">
        <f>IF(org=0,"Не определено",org)</f>
        <v>МУП г. Азова "Теплоэнерго"</v>
      </c>
      <c r="T29" s="2533"/>
      <c r="U29" s="2533"/>
      <c r="V29" s="2533"/>
      <c r="W29" s="2533"/>
      <c r="X29" s="2533"/>
      <c r="Y29" s="2533"/>
      <c r="Z29" s="2533"/>
      <c r="AA29" s="2533"/>
      <c r="AB29" s="2533"/>
      <c r="AC29" s="2533"/>
      <c r="AD29" s="2533"/>
      <c r="AE29" s="2533"/>
      <c r="AF29" s="2533"/>
      <c r="AG29" s="2533"/>
      <c r="AH29" s="2533"/>
      <c r="AI29" s="2533"/>
      <c r="AJ29" s="2533"/>
      <c r="AK29" s="2533"/>
      <c r="AL29" s="2533"/>
      <c r="AM29" s="2533"/>
      <c r="AN29" s="2533"/>
      <c r="AO29" s="2533"/>
      <c r="AP29" s="2533"/>
      <c r="AQ29" s="2533"/>
      <c r="AR29" s="2533"/>
      <c r="AS29" s="2533"/>
      <c r="AT29" s="2533"/>
      <c r="AU29" s="2533"/>
      <c r="AV29" s="2533"/>
      <c r="AW29" s="2533"/>
      <c r="AX29" s="2533"/>
      <c r="AY29" s="2533"/>
      <c r="AZ29" s="2533"/>
      <c r="BA29" s="1527"/>
      <c r="BI29" s="1439">
        <v>14</v>
      </c>
    </row>
    <row customHeight="1" ht="14.25" hidden="1">
      <c r="Q30" s="575"/>
      <c r="R30" s="660"/>
      <c r="S30" s="1559"/>
      <c r="T30" s="647"/>
      <c r="U30" s="647"/>
      <c r="V30" s="606"/>
      <c r="W30" s="606"/>
      <c r="X30" s="606"/>
      <c r="Y30" s="606"/>
      <c r="Z30" s="606"/>
      <c r="AA30" s="606"/>
      <c r="AB30" s="606"/>
      <c r="AC30" s="606"/>
      <c r="AD30" s="606"/>
      <c r="AE30" s="606"/>
      <c r="AF30" s="606"/>
      <c r="AG30" s="606"/>
      <c r="AH30" s="606"/>
      <c r="AI30" s="606"/>
      <c r="AJ30" s="606"/>
      <c r="AK30" s="606"/>
      <c r="AL30" s="606"/>
      <c r="AM30" s="606"/>
      <c r="AN30" s="606"/>
      <c r="AO30" s="606"/>
      <c r="AP30" s="606"/>
      <c r="AQ30" s="606"/>
      <c r="AR30" s="606"/>
      <c r="AS30" s="606"/>
      <c r="AT30" s="606"/>
      <c r="AU30" s="606"/>
      <c r="AV30" s="606"/>
      <c r="AW30" s="606"/>
      <c r="AX30" s="606"/>
      <c r="AY30" s="606"/>
      <c r="AZ30" s="606"/>
      <c r="BA30" s="606"/>
      <c r="BB30" s="793"/>
      <c r="BI30" s="1439">
        <v>0</v>
      </c>
    </row>
    <row s="14284" customFormat="1" customHeight="1" ht="25.5" hidden="1">
      <c r="A31" s="1652"/>
      <c r="B31" s="1652"/>
      <c r="C31" s="1652"/>
      <c r="D31" s="1652"/>
      <c r="E31" s="1652"/>
      <c r="F31" s="1652"/>
      <c r="G31" s="1652"/>
      <c r="H31" s="1652"/>
      <c r="I31" s="1652"/>
      <c r="J31" s="1652"/>
      <c r="K31" s="1652"/>
      <c r="L31" s="1653"/>
      <c r="M31" s="1652"/>
      <c r="N31" s="1652"/>
      <c r="O31" s="1652"/>
      <c r="P31" s="1652"/>
      <c r="Q31" s="1652"/>
      <c r="S31" s="2534" t="s">
        <v>42</v>
      </c>
      <c r="T31" s="2534"/>
      <c r="U31" s="1656"/>
      <c r="V31" s="2535" t="str">
        <f>IF(TITLE_NAME_OR_PR_CHANGE="",IF(TITLE_NAME_OR_PR="","",TITLE_NAME_OR_PR),TITLE_NAME_OR_PR_CHANGE)</f>
        <v/>
      </c>
      <c r="W31" s="2535"/>
      <c r="X31" s="2535"/>
      <c r="Y31" s="2535"/>
      <c r="Z31" s="2535"/>
      <c r="AA31" s="2535"/>
      <c r="AB31" s="2535"/>
      <c r="AC31" s="610"/>
      <c r="AD31" s="2535" t="str">
        <f>IF(TITLE_NAME_OR_PR_CHANGE="",IF(TITLE_NAME_OR_PR="","",TITLE_NAME_OR_PR),TITLE_NAME_OR_PR_CHANGE)</f>
        <v/>
      </c>
      <c r="AE31" s="2535"/>
      <c r="AF31" s="2535"/>
      <c r="AG31" s="2535"/>
      <c r="AH31" s="2535"/>
      <c r="AI31" s="2535"/>
      <c r="AJ31" s="2535"/>
      <c r="AK31" s="2535"/>
      <c r="AL31" s="2535"/>
      <c r="AM31" s="2535"/>
      <c r="AN31" s="2535"/>
      <c r="AO31" s="2535"/>
      <c r="AP31" s="2535"/>
      <c r="AQ31" s="2535"/>
      <c r="AR31" s="2535"/>
      <c r="AS31" s="2535"/>
      <c r="AT31" s="2535"/>
      <c r="AU31" s="2535"/>
      <c r="AV31" s="2535"/>
      <c r="AW31" s="2535"/>
      <c r="AX31" s="2535"/>
      <c r="AY31" s="2535"/>
      <c r="AZ31" s="2535"/>
      <c r="BA31" s="610"/>
      <c r="BB31" s="610"/>
      <c r="BC31" s="564"/>
      <c r="BD31" s="652"/>
      <c r="BE31" s="652"/>
      <c r="BF31" s="652"/>
      <c r="BG31" s="652"/>
      <c r="BH31" s="652"/>
      <c r="BI31" s="702">
        <v>0</v>
      </c>
    </row>
    <row s="14284" customFormat="1" customHeight="1" ht="18.75" hidden="1">
      <c r="A32" s="1652"/>
      <c r="B32" s="1652"/>
      <c r="C32" s="1652"/>
      <c r="D32" s="1652"/>
      <c r="E32" s="1652"/>
      <c r="F32" s="1652"/>
      <c r="G32" s="1652"/>
      <c r="H32" s="1652"/>
      <c r="I32" s="1652"/>
      <c r="J32" s="1652"/>
      <c r="K32" s="1652"/>
      <c r="L32" s="1653"/>
      <c r="M32" s="1652"/>
      <c r="N32" s="1652"/>
      <c r="O32" s="1652"/>
      <c r="P32" s="1652"/>
      <c r="Q32" s="1652"/>
      <c r="S32" s="2534" t="s">
        <v>425</v>
      </c>
      <c r="T32" s="2534"/>
      <c r="U32" s="1656"/>
      <c r="V32" s="2548" t="str">
        <f>IF(TITLE_DATE_PR_CHANGE="",IF(TITLE_DATE_PR="","",TITLE_DATE_PR),TITLE_DATE_PR_CHANGE)</f>
        <v>45471</v>
      </c>
      <c r="W32" s="2548"/>
      <c r="X32" s="2548"/>
      <c r="Y32" s="2548"/>
      <c r="Z32" s="2548"/>
      <c r="AA32" s="2548"/>
      <c r="AB32" s="2548"/>
      <c r="AC32" s="610"/>
      <c r="AD32" s="2548" t="str">
        <f>IF(TITLE_DATE_PR_CHANGE="",IF(TITLE_DATE_PR="","",TITLE_DATE_PR),TITLE_DATE_PR_CHANGE)</f>
        <v>45471</v>
      </c>
      <c r="AE32" s="2548"/>
      <c r="AF32" s="2548"/>
      <c r="AG32" s="2548"/>
      <c r="AH32" s="2548"/>
      <c r="AI32" s="2548"/>
      <c r="AJ32" s="2548"/>
      <c r="AK32" s="2548"/>
      <c r="AL32" s="2548"/>
      <c r="AM32" s="2548"/>
      <c r="AN32" s="2548"/>
      <c r="AO32" s="2548"/>
      <c r="AP32" s="2548"/>
      <c r="AQ32" s="2548"/>
      <c r="AR32" s="2548"/>
      <c r="AS32" s="2548"/>
      <c r="AT32" s="2548"/>
      <c r="AU32" s="2548"/>
      <c r="AV32" s="2548"/>
      <c r="AW32" s="2548"/>
      <c r="AX32" s="2548"/>
      <c r="AY32" s="2548"/>
      <c r="AZ32" s="2548"/>
      <c r="BA32" s="610"/>
      <c r="BB32" s="610"/>
      <c r="BC32" s="564"/>
      <c r="BD32" s="652"/>
      <c r="BE32" s="652"/>
      <c r="BF32" s="652"/>
      <c r="BG32" s="652"/>
      <c r="BH32" s="652"/>
      <c r="BI32" s="702">
        <v>0</v>
      </c>
    </row>
    <row s="14284" customFormat="1" customHeight="1" ht="18.75" hidden="1">
      <c r="A33" s="1652"/>
      <c r="B33" s="1652"/>
      <c r="C33" s="1652"/>
      <c r="D33" s="1652"/>
      <c r="E33" s="1652"/>
      <c r="F33" s="1652"/>
      <c r="G33" s="1652"/>
      <c r="H33" s="1652"/>
      <c r="I33" s="1652"/>
      <c r="J33" s="1652"/>
      <c r="K33" s="1652"/>
      <c r="L33" s="1653"/>
      <c r="M33" s="1652"/>
      <c r="N33" s="1652"/>
      <c r="O33" s="1652"/>
      <c r="P33" s="1652"/>
      <c r="Q33" s="1652"/>
      <c r="S33" s="2534" t="s">
        <v>426</v>
      </c>
      <c r="T33" s="2534"/>
      <c r="U33" s="1656"/>
      <c r="V33" s="2535" t="str">
        <f>IF(TITLE_NUMBER_PR_CHANGE="",IF(TITLE_NUMBER_PR="","",TITLE_NUMBER_PR),TITLE_NUMBER_PR_CHANGE)</f>
        <v>50/18-01/261</v>
      </c>
      <c r="W33" s="2535"/>
      <c r="X33" s="2535"/>
      <c r="Y33" s="2535"/>
      <c r="Z33" s="2535"/>
      <c r="AA33" s="2535"/>
      <c r="AB33" s="2535"/>
      <c r="AC33" s="610"/>
      <c r="AD33" s="2535" t="str">
        <f>IF(TITLE_NUMBER_PR_CHANGE="",IF(TITLE_NUMBER_PR="","",TITLE_NUMBER_PR),TITLE_NUMBER_PR_CHANGE)</f>
        <v>50/18-01/261</v>
      </c>
      <c r="AE33" s="2535"/>
      <c r="AF33" s="2535"/>
      <c r="AG33" s="2535"/>
      <c r="AH33" s="2535"/>
      <c r="AI33" s="2535"/>
      <c r="AJ33" s="2535"/>
      <c r="AK33" s="2535"/>
      <c r="AL33" s="2535"/>
      <c r="AM33" s="2535"/>
      <c r="AN33" s="2535"/>
      <c r="AO33" s="2535"/>
      <c r="AP33" s="2535"/>
      <c r="AQ33" s="2535"/>
      <c r="AR33" s="2535"/>
      <c r="AS33" s="2535"/>
      <c r="AT33" s="2535"/>
      <c r="AU33" s="2535"/>
      <c r="AV33" s="2535"/>
      <c r="AW33" s="2535"/>
      <c r="AX33" s="2535"/>
      <c r="AY33" s="2535"/>
      <c r="AZ33" s="2535"/>
      <c r="BA33" s="610"/>
      <c r="BB33" s="610"/>
      <c r="BC33" s="564"/>
      <c r="BD33" s="652"/>
      <c r="BE33" s="652"/>
      <c r="BF33" s="652"/>
      <c r="BG33" s="652"/>
      <c r="BH33" s="652"/>
      <c r="BI33" s="702">
        <v>0</v>
      </c>
    </row>
    <row s="14284" customFormat="1" customHeight="1" ht="18.75" hidden="1">
      <c r="A34" s="1652"/>
      <c r="B34" s="1652"/>
      <c r="C34" s="1652"/>
      <c r="D34" s="1652"/>
      <c r="E34" s="1652"/>
      <c r="F34" s="1652"/>
      <c r="G34" s="1652"/>
      <c r="H34" s="1652"/>
      <c r="I34" s="1652"/>
      <c r="J34" s="1652"/>
      <c r="K34" s="1652"/>
      <c r="L34" s="1653"/>
      <c r="M34" s="1652"/>
      <c r="N34" s="1652"/>
      <c r="O34" s="1652"/>
      <c r="P34" s="1652"/>
      <c r="Q34" s="1652"/>
      <c r="S34" s="2534" t="s">
        <v>43</v>
      </c>
      <c r="T34" s="2534"/>
      <c r="U34" s="1656"/>
      <c r="V34" s="2535" t="str">
        <f>IF(TITLE_IST_PUB_CHANGE="",IF(TITLE_IST_PUB="","",TITLE_IST_PUB),TITLE_IST_PUB_CHANGE)</f>
        <v/>
      </c>
      <c r="W34" s="2535"/>
      <c r="X34" s="2535"/>
      <c r="Y34" s="2535"/>
      <c r="Z34" s="2535"/>
      <c r="AA34" s="2535"/>
      <c r="AB34" s="2535"/>
      <c r="AC34" s="610"/>
      <c r="AD34" s="2535" t="str">
        <f>IF(TITLE_IST_PUB_CHANGE="",IF(TITLE_IST_PUB="","",TITLE_IST_PUB),TITLE_IST_PUB_CHANGE)</f>
        <v/>
      </c>
      <c r="AE34" s="2535"/>
      <c r="AF34" s="2535"/>
      <c r="AG34" s="2535"/>
      <c r="AH34" s="2535"/>
      <c r="AI34" s="2535"/>
      <c r="AJ34" s="2535"/>
      <c r="AK34" s="2535"/>
      <c r="AL34" s="2535"/>
      <c r="AM34" s="2535"/>
      <c r="AN34" s="2535"/>
      <c r="AO34" s="2535"/>
      <c r="AP34" s="2535"/>
      <c r="AQ34" s="2535"/>
      <c r="AR34" s="2535"/>
      <c r="AS34" s="2535"/>
      <c r="AT34" s="2535"/>
      <c r="AU34" s="2535"/>
      <c r="AV34" s="2535"/>
      <c r="AW34" s="2535"/>
      <c r="AX34" s="2535"/>
      <c r="AY34" s="2535"/>
      <c r="AZ34" s="2535"/>
      <c r="BA34" s="610"/>
      <c r="BB34" s="610"/>
      <c r="BC34" s="564"/>
      <c r="BD34" s="652"/>
      <c r="BE34" s="652"/>
      <c r="BF34" s="652"/>
      <c r="BG34" s="652"/>
      <c r="BH34" s="652"/>
      <c r="BI34" s="702">
        <v>0</v>
      </c>
    </row>
    <row customHeight="1" ht="14.25">
      <c r="Q35" s="575"/>
      <c r="R35" s="660"/>
      <c r="S35" s="1559"/>
      <c r="T35" s="647"/>
      <c r="U35" s="647"/>
      <c r="V35" s="606"/>
      <c r="W35" s="606"/>
      <c r="X35" s="606"/>
      <c r="Y35" s="606"/>
      <c r="Z35" s="606"/>
      <c r="AA35" s="606"/>
      <c r="AB35" s="606"/>
      <c r="AC35" s="606"/>
      <c r="AD35" s="606"/>
      <c r="AE35" s="606"/>
      <c r="AF35" s="606"/>
      <c r="AG35" s="606"/>
      <c r="AH35" s="606"/>
      <c r="AI35" s="606"/>
      <c r="AJ35" s="606"/>
      <c r="AK35" s="606"/>
      <c r="AL35" s="606"/>
      <c r="AM35" s="606"/>
      <c r="AN35" s="606"/>
      <c r="AO35" s="606"/>
      <c r="AP35" s="606"/>
      <c r="AQ35" s="606"/>
      <c r="AR35" s="606"/>
      <c r="AS35" s="606"/>
      <c r="AT35" s="606"/>
      <c r="AU35" s="606"/>
      <c r="AV35" s="606"/>
      <c r="AW35" s="606"/>
      <c r="AX35" s="606"/>
      <c r="AY35" s="606"/>
      <c r="AZ35" s="606"/>
      <c r="BA35" s="606"/>
      <c r="BB35" s="793"/>
      <c r="BI35" s="1439">
        <v>0</v>
      </c>
    </row>
    <row s="14284" customFormat="1" customHeight="1" ht="18.75">
      <c r="A36" s="1652"/>
      <c r="B36" s="1652"/>
      <c r="C36" s="1652"/>
      <c r="D36" s="1652"/>
      <c r="E36" s="1652"/>
      <c r="F36" s="1652"/>
      <c r="G36" s="1652"/>
      <c r="H36" s="1652"/>
      <c r="I36" s="1652"/>
      <c r="J36" s="1652"/>
      <c r="K36" s="1652"/>
      <c r="L36" s="1653"/>
      <c r="M36" s="1652"/>
      <c r="N36" s="1652"/>
      <c r="O36" s="1652"/>
      <c r="P36" s="1652"/>
      <c r="Q36" s="1652"/>
      <c r="S36" s="2534" t="s">
        <v>425</v>
      </c>
      <c r="T36" s="2534"/>
      <c r="U36" s="1656"/>
      <c r="V36" s="2548" t="str">
        <f>IF(TITLE_DATE_PR_CHANGE="",IF(TITLE_DATE_PR="","",TITLE_DATE_PR),TITLE_DATE_PR_CHANGE)</f>
        <v>45471</v>
      </c>
      <c r="W36" s="2548"/>
      <c r="X36" s="2548"/>
      <c r="Y36" s="2548"/>
      <c r="Z36" s="2548"/>
      <c r="AA36" s="2548"/>
      <c r="AB36" s="2548"/>
      <c r="AC36" s="610"/>
      <c r="AD36" s="2548" t="str">
        <f>IF(TITLE_DATE_PR_CHANGE="",IF(TITLE_DATE_PR="","",TITLE_DATE_PR),TITLE_DATE_PR_CHANGE)</f>
        <v>45471</v>
      </c>
      <c r="AE36" s="2548"/>
      <c r="AF36" s="2548"/>
      <c r="AG36" s="2548"/>
      <c r="AH36" s="2548"/>
      <c r="AI36" s="2548"/>
      <c r="AJ36" s="2548"/>
      <c r="AK36" s="2548"/>
      <c r="AL36" s="2548"/>
      <c r="AM36" s="2548"/>
      <c r="AN36" s="2548"/>
      <c r="AO36" s="2548"/>
      <c r="AP36" s="2548"/>
      <c r="AQ36" s="2548"/>
      <c r="AR36" s="2548"/>
      <c r="AS36" s="2548"/>
      <c r="AT36" s="2548"/>
      <c r="AU36" s="2548"/>
      <c r="AV36" s="2548"/>
      <c r="AW36" s="2548"/>
      <c r="AX36" s="2548"/>
      <c r="AY36" s="2548"/>
      <c r="AZ36" s="2548"/>
      <c r="BA36" s="610"/>
      <c r="BB36" s="610"/>
      <c r="BC36" s="564"/>
      <c r="BD36" s="652"/>
      <c r="BE36" s="652"/>
      <c r="BF36" s="652"/>
      <c r="BG36" s="652"/>
      <c r="BH36" s="652"/>
      <c r="BI36" s="702">
        <v>0</v>
      </c>
    </row>
    <row s="14284" customFormat="1" customHeight="1" ht="18.75">
      <c r="A37" s="1652"/>
      <c r="B37" s="1652"/>
      <c r="C37" s="1652"/>
      <c r="D37" s="1652"/>
      <c r="E37" s="1652"/>
      <c r="F37" s="1652"/>
      <c r="G37" s="1652"/>
      <c r="H37" s="1652"/>
      <c r="I37" s="1652"/>
      <c r="J37" s="1652"/>
      <c r="K37" s="1652"/>
      <c r="L37" s="1653"/>
      <c r="M37" s="1652"/>
      <c r="N37" s="1652"/>
      <c r="O37" s="1652"/>
      <c r="P37" s="1652"/>
      <c r="Q37" s="1652"/>
      <c r="S37" s="2534" t="s">
        <v>426</v>
      </c>
      <c r="T37" s="2534"/>
      <c r="U37" s="1656"/>
      <c r="V37" s="2535" t="str">
        <f>IF(TITLE_NUMBER_PR_CHANGE="",IF(TITLE_NUMBER_PR="","",TITLE_NUMBER_PR),TITLE_NUMBER_PR_CHANGE)</f>
        <v>50/18-01/261</v>
      </c>
      <c r="W37" s="2535"/>
      <c r="X37" s="2535"/>
      <c r="Y37" s="2535"/>
      <c r="Z37" s="2535"/>
      <c r="AA37" s="2535"/>
      <c r="AB37" s="2535"/>
      <c r="AC37" s="610"/>
      <c r="AD37" s="2535" t="str">
        <f>IF(TITLE_NUMBER_PR_CHANGE="",IF(TITLE_NUMBER_PR="","",TITLE_NUMBER_PR),TITLE_NUMBER_PR_CHANGE)</f>
        <v>50/18-01/261</v>
      </c>
      <c r="AE37" s="2535"/>
      <c r="AF37" s="2535"/>
      <c r="AG37" s="2535"/>
      <c r="AH37" s="2535"/>
      <c r="AI37" s="2535"/>
      <c r="AJ37" s="2535"/>
      <c r="AK37" s="2535"/>
      <c r="AL37" s="2535"/>
      <c r="AM37" s="2535"/>
      <c r="AN37" s="2535"/>
      <c r="AO37" s="2535"/>
      <c r="AP37" s="2535"/>
      <c r="AQ37" s="2535"/>
      <c r="AR37" s="2535"/>
      <c r="AS37" s="2535"/>
      <c r="AT37" s="2535"/>
      <c r="AU37" s="2535"/>
      <c r="AV37" s="2535"/>
      <c r="AW37" s="2535"/>
      <c r="AX37" s="2535"/>
      <c r="AY37" s="2535"/>
      <c r="AZ37" s="2535"/>
      <c r="BA37" s="610"/>
      <c r="BB37" s="610"/>
      <c r="BC37" s="564"/>
      <c r="BD37" s="652"/>
      <c r="BE37" s="652"/>
      <c r="BF37" s="652"/>
      <c r="BG37" s="652"/>
      <c r="BH37" s="652"/>
      <c r="BI37" s="702">
        <v>0</v>
      </c>
    </row>
    <row s="14284" customFormat="1" customHeight="1" ht="0">
      <c r="A38" s="1652"/>
      <c r="B38" s="1652"/>
      <c r="C38" s="1652"/>
      <c r="D38" s="1652"/>
      <c r="E38" s="1652"/>
      <c r="F38" s="1652"/>
      <c r="G38" s="1652"/>
      <c r="H38" s="1652"/>
      <c r="I38" s="1652"/>
      <c r="J38" s="1652"/>
      <c r="K38" s="1652"/>
      <c r="L38" s="1653"/>
      <c r="M38" s="1652"/>
      <c r="N38" s="1652"/>
      <c r="O38" s="1652"/>
      <c r="P38" s="1652"/>
      <c r="Q38" s="1652"/>
      <c r="S38" s="607"/>
      <c r="T38" s="607"/>
      <c r="U38" s="1772"/>
      <c r="V38" s="610"/>
      <c r="W38" s="610"/>
      <c r="X38" s="610"/>
      <c r="Y38" s="610"/>
      <c r="Z38" s="610"/>
      <c r="AA38" s="610"/>
      <c r="AB38" s="610"/>
      <c r="AC38" s="562" t="s">
        <v>429</v>
      </c>
      <c r="AD38" s="610"/>
      <c r="AE38" s="610"/>
      <c r="AF38" s="610"/>
      <c r="AG38" s="610"/>
      <c r="AH38" s="610"/>
      <c r="AI38" s="610"/>
      <c r="AJ38" s="610"/>
      <c r="AK38" s="610"/>
      <c r="AL38" s="610"/>
      <c r="AM38" s="610"/>
      <c r="AN38" s="610"/>
      <c r="AO38" s="610"/>
      <c r="AP38" s="610"/>
      <c r="AQ38" s="610"/>
      <c r="AR38" s="610"/>
      <c r="AS38" s="610"/>
      <c r="AT38" s="610"/>
      <c r="AU38" s="610"/>
      <c r="AV38" s="610"/>
      <c r="AW38" s="610"/>
      <c r="AX38" s="610"/>
      <c r="AY38" s="610"/>
      <c r="AZ38" s="610"/>
      <c r="BA38" s="562" t="s">
        <v>429</v>
      </c>
      <c r="BD38" s="652"/>
      <c r="BE38" s="652"/>
      <c r="BF38" s="652"/>
      <c r="BG38" s="652"/>
      <c r="BH38" s="652"/>
      <c r="BI38" s="702">
        <v>0</v>
      </c>
    </row>
    <row customHeight="1" ht="14.699999999999998">
      <c r="Q39" s="575"/>
      <c r="R39" s="660"/>
      <c r="S39" s="1559"/>
      <c r="T39" s="647"/>
      <c r="U39" s="1528"/>
      <c r="V39" s="2536"/>
      <c r="W39" s="2536"/>
      <c r="X39" s="2536"/>
      <c r="Y39" s="2536"/>
      <c r="Z39" s="2536"/>
      <c r="AA39" s="2536"/>
      <c r="AB39" s="2536"/>
      <c r="AC39" s="2536"/>
      <c r="AD39" s="2536"/>
      <c r="AE39" s="2536"/>
      <c r="AF39" s="2536"/>
      <c r="AG39" s="2536"/>
      <c r="AH39" s="2536"/>
      <c r="AI39" s="2536"/>
      <c r="AJ39" s="2536"/>
      <c r="AK39" s="2536"/>
      <c r="AL39" s="2536"/>
      <c r="AM39" s="2536"/>
      <c r="AN39" s="2536"/>
      <c r="AO39" s="2536"/>
      <c r="AP39" s="2536"/>
      <c r="AQ39" s="2536"/>
      <c r="AR39" s="2536"/>
      <c r="AS39" s="2536"/>
      <c r="AT39" s="2536"/>
      <c r="AU39" s="2536"/>
      <c r="AV39" s="2536"/>
      <c r="AW39" s="2536"/>
      <c r="AX39" s="2536"/>
      <c r="AY39" s="2536"/>
      <c r="AZ39" s="2536"/>
      <c r="BA39" s="2536"/>
      <c r="BI39" s="1439">
        <v>14</v>
      </c>
    </row>
    <row customHeight="1" ht="14.699999999999998">
      <c r="Q40" s="575"/>
      <c r="R40" s="660"/>
      <c r="S40" s="2411" t="s">
        <v>305</v>
      </c>
      <c r="T40" s="2411"/>
      <c r="U40" s="2411"/>
      <c r="V40" s="2411"/>
      <c r="W40" s="2411"/>
      <c r="X40" s="2411"/>
      <c r="Y40" s="2411"/>
      <c r="Z40" s="2411"/>
      <c r="AA40" s="2411"/>
      <c r="AB40" s="2411"/>
      <c r="AC40" s="2411"/>
      <c r="AD40" s="2411"/>
      <c r="AE40" s="2411"/>
      <c r="AF40" s="2411"/>
      <c r="AG40" s="2411"/>
      <c r="AH40" s="2411"/>
      <c r="AI40" s="2411"/>
      <c r="AJ40" s="2411"/>
      <c r="AK40" s="2411"/>
      <c r="AL40" s="2411"/>
      <c r="AM40" s="2411"/>
      <c r="AN40" s="2411"/>
      <c r="AO40" s="2411"/>
      <c r="AP40" s="2411"/>
      <c r="AQ40" s="2411"/>
      <c r="AR40" s="2411"/>
      <c r="AS40" s="2411"/>
      <c r="AT40" s="2411"/>
      <c r="AU40" s="2411"/>
      <c r="AV40" s="2411"/>
      <c r="AW40" s="2411"/>
      <c r="AX40" s="2411"/>
      <c r="AY40" s="2411"/>
      <c r="AZ40" s="2411"/>
      <c r="BA40" s="2411"/>
      <c r="BB40" s="2411"/>
      <c r="BC40" s="2411" t="s">
        <v>306</v>
      </c>
      <c r="BI40" s="1439">
        <v>14</v>
      </c>
    </row>
    <row customHeight="1" ht="14.699999999999998">
      <c r="Q41" s="575"/>
      <c r="R41" s="660"/>
      <c r="S41" s="2557" t="s">
        <v>89</v>
      </c>
      <c r="T41" s="2493" t="s">
        <v>515</v>
      </c>
      <c r="U41" s="585"/>
      <c r="V41" s="2558" t="s">
        <v>431</v>
      </c>
      <c r="W41" s="2559"/>
      <c r="X41" s="2559"/>
      <c r="Y41" s="2559"/>
      <c r="Z41" s="2559"/>
      <c r="AA41" s="2559"/>
      <c r="AB41" s="2560"/>
      <c r="AC41" s="2561" t="s">
        <v>432</v>
      </c>
      <c r="AD41" s="2612" t="s">
        <v>516</v>
      </c>
      <c r="AE41" s="2575"/>
      <c r="AF41" s="2575"/>
      <c r="AG41" s="2613"/>
      <c r="AH41" s="2612" t="s">
        <v>517</v>
      </c>
      <c r="AI41" s="2575"/>
      <c r="AJ41" s="2575"/>
      <c r="AK41" s="2613"/>
      <c r="AL41" s="2612" t="s">
        <v>518</v>
      </c>
      <c r="AM41" s="2575"/>
      <c r="AN41" s="2575"/>
      <c r="AO41" s="2613"/>
      <c r="AP41" s="2612" t="s">
        <v>519</v>
      </c>
      <c r="AQ41" s="2575"/>
      <c r="AR41" s="2575"/>
      <c r="AS41" s="2613"/>
      <c r="AT41" s="2558" t="s">
        <v>431</v>
      </c>
      <c r="AU41" s="2559"/>
      <c r="AV41" s="2559"/>
      <c r="AW41" s="2559"/>
      <c r="AX41" s="2559"/>
      <c r="AY41" s="2559"/>
      <c r="AZ41" s="2560"/>
      <c r="BA41" s="2561" t="s">
        <v>432</v>
      </c>
      <c r="BB41" s="2564" t="s">
        <v>434</v>
      </c>
      <c r="BC41" s="2411"/>
      <c r="BI41" s="1439">
        <v>14</v>
      </c>
    </row>
    <row customHeight="1" ht="35.699999999999996">
      <c r="Q42" s="575"/>
      <c r="R42" s="660"/>
      <c r="S42" s="2557"/>
      <c r="T42" s="2493"/>
      <c r="U42" s="1315"/>
      <c r="V42" s="2476" t="s">
        <v>520</v>
      </c>
      <c r="W42" s="2477"/>
      <c r="X42" s="2476" t="s">
        <v>521</v>
      </c>
      <c r="Y42" s="2477"/>
      <c r="Z42" s="2578" t="s">
        <v>522</v>
      </c>
      <c r="AA42" s="2597"/>
      <c r="AB42" s="2598"/>
      <c r="AC42" s="2562"/>
      <c r="AD42" s="2614"/>
      <c r="AE42" s="2615"/>
      <c r="AF42" s="2615"/>
      <c r="AG42" s="2616"/>
      <c r="AH42" s="2614"/>
      <c r="AI42" s="2615"/>
      <c r="AJ42" s="2615"/>
      <c r="AK42" s="2616"/>
      <c r="AL42" s="2614"/>
      <c r="AM42" s="2615"/>
      <c r="AN42" s="2615"/>
      <c r="AO42" s="2616"/>
      <c r="AP42" s="2614"/>
      <c r="AQ42" s="2615"/>
      <c r="AR42" s="2615"/>
      <c r="AS42" s="2616"/>
      <c r="AT42" s="2476" t="s">
        <v>520</v>
      </c>
      <c r="AU42" s="2477"/>
      <c r="AV42" s="2476" t="s">
        <v>521</v>
      </c>
      <c r="AW42" s="2477"/>
      <c r="AX42" s="2578" t="s">
        <v>522</v>
      </c>
      <c r="AY42" s="2597"/>
      <c r="AZ42" s="2598"/>
      <c r="BA42" s="2562"/>
      <c r="BB42" s="2565"/>
      <c r="BC42" s="2411"/>
      <c r="BI42" s="1439">
        <v>34</v>
      </c>
    </row>
    <row customHeight="1" ht="14.699999999999998">
      <c r="Q43" s="575"/>
      <c r="R43" s="660"/>
      <c r="S43" s="2557"/>
      <c r="T43" s="2493"/>
      <c r="U43" s="1315"/>
      <c r="V43" s="2484"/>
      <c r="W43" s="2485"/>
      <c r="X43" s="2484"/>
      <c r="Y43" s="2485"/>
      <c r="Z43" s="2579"/>
      <c r="AA43" s="2599"/>
      <c r="AB43" s="2600"/>
      <c r="AC43" s="2562"/>
      <c r="AD43" s="2614"/>
      <c r="AE43" s="2615"/>
      <c r="AF43" s="2615"/>
      <c r="AG43" s="2616"/>
      <c r="AH43" s="2614"/>
      <c r="AI43" s="2615"/>
      <c r="AJ43" s="2615"/>
      <c r="AK43" s="2616"/>
      <c r="AL43" s="2614"/>
      <c r="AM43" s="2615"/>
      <c r="AN43" s="2615"/>
      <c r="AO43" s="2616"/>
      <c r="AP43" s="2614"/>
      <c r="AQ43" s="2615"/>
      <c r="AR43" s="2615"/>
      <c r="AS43" s="2616"/>
      <c r="AT43" s="2484"/>
      <c r="AU43" s="2485"/>
      <c r="AV43" s="2484"/>
      <c r="AW43" s="2485"/>
      <c r="AX43" s="2579"/>
      <c r="AY43" s="2599"/>
      <c r="AZ43" s="2600"/>
      <c r="BA43" s="2562"/>
      <c r="BB43" s="2565"/>
      <c r="BC43" s="2411"/>
      <c r="BI43" s="1439">
        <v>14</v>
      </c>
    </row>
    <row customHeight="1" ht="14.699999999999998">
      <c r="A44" s="1654"/>
      <c r="B44" s="1654" t="s">
        <v>136</v>
      </c>
      <c r="C44" s="1654" t="s">
        <v>137</v>
      </c>
      <c r="D44" s="1654" t="s">
        <v>138</v>
      </c>
      <c r="E44" s="1648" t="s">
        <v>439</v>
      </c>
      <c r="F44" s="1648" t="s">
        <v>440</v>
      </c>
      <c r="G44" s="1648" t="s">
        <v>441</v>
      </c>
      <c r="H44" s="1648" t="s">
        <v>442</v>
      </c>
      <c r="I44" s="1648" t="s">
        <v>443</v>
      </c>
      <c r="J44" s="1648" t="s">
        <v>444</v>
      </c>
      <c r="K44" s="1648" t="s">
        <v>445</v>
      </c>
      <c r="L44" s="1648" t="s">
        <v>420</v>
      </c>
      <c r="Q44" s="575"/>
      <c r="R44" s="660"/>
      <c r="S44" s="2557"/>
      <c r="T44" s="2493"/>
      <c r="U44" s="586"/>
      <c r="V44" s="1763" t="s">
        <v>486</v>
      </c>
      <c r="W44" s="1763" t="s">
        <v>487</v>
      </c>
      <c r="X44" s="1763" t="s">
        <v>486</v>
      </c>
      <c r="Y44" s="1763" t="s">
        <v>487</v>
      </c>
      <c r="Z44" s="1773" t="s">
        <v>448</v>
      </c>
      <c r="AA44" s="2554" t="s">
        <v>449</v>
      </c>
      <c r="AB44" s="2555"/>
      <c r="AC44" s="2563"/>
      <c r="AD44" s="2617"/>
      <c r="AE44" s="2618"/>
      <c r="AF44" s="2618"/>
      <c r="AG44" s="2619"/>
      <c r="AH44" s="2617"/>
      <c r="AI44" s="2618"/>
      <c r="AJ44" s="2618"/>
      <c r="AK44" s="2619"/>
      <c r="AL44" s="2617"/>
      <c r="AM44" s="2618"/>
      <c r="AN44" s="2618"/>
      <c r="AO44" s="2619"/>
      <c r="AP44" s="2617"/>
      <c r="AQ44" s="2618"/>
      <c r="AR44" s="2618"/>
      <c r="AS44" s="2619"/>
      <c r="AT44" s="1763" t="s">
        <v>486</v>
      </c>
      <c r="AU44" s="1763" t="s">
        <v>487</v>
      </c>
      <c r="AV44" s="1763" t="s">
        <v>486</v>
      </c>
      <c r="AW44" s="1763" t="s">
        <v>487</v>
      </c>
      <c r="AX44" s="1773" t="s">
        <v>448</v>
      </c>
      <c r="AY44" s="2554" t="s">
        <v>449</v>
      </c>
      <c r="AZ44" s="2555"/>
      <c r="BA44" s="2563"/>
      <c r="BB44" s="2566"/>
      <c r="BC44" s="2411"/>
      <c r="BI44" s="1439">
        <v>14</v>
      </c>
    </row>
    <row s="14730" customFormat="1" customHeight="1" ht="0">
      <c r="A45" s="1654"/>
      <c r="B45" s="1654"/>
      <c r="C45" s="1654"/>
      <c r="D45" s="1654"/>
      <c r="E45" s="1654"/>
      <c r="F45" s="1654"/>
      <c r="G45" s="1654"/>
      <c r="H45" s="1654"/>
      <c r="I45" s="1654"/>
      <c r="J45" s="1654"/>
      <c r="K45" s="1654"/>
      <c r="L45" s="1648"/>
      <c r="M45" s="1646"/>
      <c r="N45" s="1646"/>
      <c r="O45" s="1646"/>
      <c r="P45" s="794"/>
      <c r="Q45" s="1538"/>
      <c r="R45" s="1538">
        <v>1</v>
      </c>
      <c r="S45" s="1561" t="s">
        <v>110</v>
      </c>
      <c r="T45" s="1539" t="s">
        <v>111</v>
      </c>
      <c r="U45" s="1529" t="str">
        <f>OFFSET(U45,0,-1)</f>
        <v>2</v>
      </c>
      <c r="V45" s="1766">
        <f>OFFSET(V45,0,-1)+1</f>
        <v>3</v>
      </c>
      <c r="W45" s="1766">
        <f>OFFSET(W45,0,-1)+1</f>
        <v>4</v>
      </c>
      <c r="X45" s="1766">
        <f>OFFSET(X45,0,-1)+1</f>
        <v>5</v>
      </c>
      <c r="Y45" s="1766">
        <f>OFFSET(Y45,0,-1)+1</f>
        <v>6</v>
      </c>
      <c r="Z45" s="1766">
        <f>OFFSET(Z45,0,-1)+1</f>
        <v>7</v>
      </c>
      <c r="AA45" s="2556">
        <f>OFFSET(AA45,0,-1)+1</f>
        <v>8</v>
      </c>
      <c r="AB45" s="2556"/>
      <c r="AC45" s="1766">
        <f>OFFSET(AC45,0,-2)+1</f>
        <v>9</v>
      </c>
      <c r="AD45" s="1766">
        <f>OFFSET(AD45,0,-1)+1</f>
        <v>10</v>
      </c>
      <c r="AE45" s="1766"/>
      <c r="AF45" s="1766"/>
      <c r="AG45" s="1766"/>
      <c r="AH45" s="1766"/>
      <c r="AI45" s="1766"/>
      <c r="AJ45" s="1766"/>
      <c r="AK45" s="1766"/>
      <c r="AL45" s="1766"/>
      <c r="AM45" s="1766"/>
      <c r="AN45" s="1766"/>
      <c r="AO45" s="1766"/>
      <c r="AP45" s="1766"/>
      <c r="AQ45" s="1766"/>
      <c r="AR45" s="1766"/>
      <c r="AS45" s="1766"/>
      <c r="AT45" s="1766"/>
      <c r="AU45" s="1766"/>
      <c r="AV45" s="1766"/>
      <c r="AW45" s="1766">
        <f>OFFSET(AW45,0,-1)+1</f>
        <v>1</v>
      </c>
      <c r="AX45" s="1766">
        <f>OFFSET(AX45,0,-1)+1</f>
        <v>2</v>
      </c>
      <c r="AY45" s="2556">
        <f>OFFSET(AY45,0,-1)+1</f>
        <v>3</v>
      </c>
      <c r="AZ45" s="2556"/>
      <c r="BA45" s="1766">
        <f>OFFSET(BA45,0,-2)+1</f>
        <v>4</v>
      </c>
      <c r="BB45" s="1529">
        <f>OFFSET(BB45,0,-1)</f>
        <v>4</v>
      </c>
      <c r="BC45" s="1766">
        <f>OFFSET(BC45,0,-1)+1</f>
        <v>5</v>
      </c>
      <c r="BD45" s="795"/>
      <c r="BE45" s="795"/>
      <c r="BF45" s="795"/>
      <c r="BG45" s="795"/>
      <c r="BH45" s="795"/>
      <c r="BI45" s="780">
        <v>0</v>
      </c>
    </row>
    <row customHeight="1" ht="22.049999999999997">
      <c r="A46" s="1647" t="s">
        <v>266</v>
      </c>
      <c r="B46" s="1647"/>
      <c r="C46" s="1647"/>
      <c r="D46" s="1647"/>
      <c r="E46" s="2542">
        <v>1</v>
      </c>
      <c r="F46" s="1647"/>
      <c r="G46" s="1647"/>
      <c r="H46" s="1647"/>
      <c r="I46" s="1647"/>
      <c r="J46" s="1647"/>
      <c r="K46" s="1647"/>
      <c r="L46" s="1648"/>
      <c r="M46" s="1649"/>
      <c r="N46" s="1649"/>
      <c r="O46" s="1649"/>
      <c r="P46" s="1693"/>
      <c r="Q46" s="1157"/>
      <c r="R46" s="639"/>
      <c r="S46" s="1777">
        <f>INDEX(PT_DIFFERENTIATION_NUM_NTAR,MATCH(A46,PT_DIFFERENTIATION_NTAR_ID,0))</f>
        <v>0</v>
      </c>
      <c r="T46" s="582" t="s">
        <v>124</v>
      </c>
      <c r="U46" s="584"/>
      <c r="V46" s="2527"/>
      <c r="W46" s="2527"/>
      <c r="X46" s="2527"/>
      <c r="Y46" s="2527"/>
      <c r="Z46" s="2527"/>
      <c r="AA46" s="2527"/>
      <c r="AB46" s="2527"/>
      <c r="AC46" s="2528"/>
      <c r="AD46" s="2526" t="str">
        <f>INDEX(PT_DIFFERENTIATION_NTAR,MATCH(A46,PT_DIFFERENTIATION_NTAR_ID,0))</f>
        <v/>
      </c>
      <c r="AE46" s="2527"/>
      <c r="AF46" s="2527"/>
      <c r="AG46" s="2527"/>
      <c r="AH46" s="2527"/>
      <c r="AI46" s="2527"/>
      <c r="AJ46" s="2527"/>
      <c r="AK46" s="2527"/>
      <c r="AL46" s="2527"/>
      <c r="AM46" s="2527"/>
      <c r="AN46" s="2527"/>
      <c r="AO46" s="2527"/>
      <c r="AP46" s="2527"/>
      <c r="AQ46" s="2527"/>
      <c r="AR46" s="2527"/>
      <c r="AS46" s="2527"/>
      <c r="AT46" s="2527"/>
      <c r="AU46" s="2527"/>
      <c r="AV46" s="2527"/>
      <c r="AW46" s="2527"/>
      <c r="AX46" s="2527"/>
      <c r="AY46" s="2527"/>
      <c r="AZ46" s="2527"/>
      <c r="BA46" s="2527"/>
      <c r="BB46" s="2528"/>
      <c r="BC46" s="154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784"/>
      <c r="BF46" s="784" t="str">
        <f>IF(T46="","",T46)</f>
        <v>Наименование тарифа</v>
      </c>
      <c r="BG46" s="784"/>
      <c r="BH46" s="784"/>
      <c r="BI46" s="1439">
        <v>21</v>
      </c>
    </row>
    <row customHeight="1" ht="22.049999999999997">
      <c r="A47" s="1647" t="s">
        <v>266</v>
      </c>
      <c r="B47" s="1647" t="s">
        <v>267</v>
      </c>
      <c r="C47" s="1647"/>
      <c r="D47" s="1647"/>
      <c r="E47" s="2543"/>
      <c r="F47" s="2542">
        <v>1</v>
      </c>
      <c r="G47" s="1647"/>
      <c r="H47" s="1647"/>
      <c r="I47" s="1647"/>
      <c r="J47" s="1647"/>
      <c r="K47" s="1647"/>
      <c r="L47" s="1648"/>
      <c r="M47" s="1649"/>
      <c r="N47" s="1649"/>
      <c r="O47" s="1649"/>
      <c r="P47" s="1694"/>
      <c r="Q47" s="1695"/>
      <c r="R47" s="637"/>
      <c r="S47" s="1777" t="str">
        <f>INDEX(PT_DIFFERENTIATION_NUM_TER,MATCH(B47,PT_DIFFERENTIATION_TER_ID,0))</f>
        <v>.</v>
      </c>
      <c r="T47" s="592" t="s">
        <v>402</v>
      </c>
      <c r="U47" s="584"/>
      <c r="V47" s="2527"/>
      <c r="W47" s="2527"/>
      <c r="X47" s="2527"/>
      <c r="Y47" s="2527"/>
      <c r="Z47" s="2527"/>
      <c r="AA47" s="2527"/>
      <c r="AB47" s="2527"/>
      <c r="AC47" s="2528"/>
      <c r="AD47" s="2526" t="str">
        <f>INDEX(PT_DIFFERENTIATION_TER,MATCH(B47,PT_DIFFERENTIATION_TER_ID,0))</f>
        <v/>
      </c>
      <c r="AE47" s="2527"/>
      <c r="AF47" s="2527"/>
      <c r="AG47" s="2527"/>
      <c r="AH47" s="2527"/>
      <c r="AI47" s="2527"/>
      <c r="AJ47" s="2527"/>
      <c r="AK47" s="2527"/>
      <c r="AL47" s="2527"/>
      <c r="AM47" s="2527"/>
      <c r="AN47" s="2527"/>
      <c r="AO47" s="2527"/>
      <c r="AP47" s="2527"/>
      <c r="AQ47" s="2527"/>
      <c r="AR47" s="2527"/>
      <c r="AS47" s="2527"/>
      <c r="AT47" s="2527"/>
      <c r="AU47" s="2527"/>
      <c r="AV47" s="2527"/>
      <c r="AW47" s="2527"/>
      <c r="AX47" s="2527"/>
      <c r="AY47" s="2527"/>
      <c r="AZ47" s="2527"/>
      <c r="BA47" s="2527"/>
      <c r="BB47" s="2528"/>
      <c r="BC47" s="1542" t="s">
        <v>403</v>
      </c>
      <c r="BE47" s="784"/>
      <c r="BF47" s="784" t="str">
        <f>IF(T47="","",T47)</f>
        <v>Территория действия тарифа</v>
      </c>
      <c r="BG47" s="784"/>
      <c r="BH47" s="784"/>
      <c r="BI47" s="1439">
        <v>21</v>
      </c>
    </row>
    <row customHeight="1" ht="35.699999999999996">
      <c r="A48" s="1647" t="s">
        <v>266</v>
      </c>
      <c r="B48" s="1647" t="s">
        <v>267</v>
      </c>
      <c r="C48" s="1647" t="s">
        <v>268</v>
      </c>
      <c r="D48" s="1647"/>
      <c r="E48" s="2543"/>
      <c r="F48" s="2543"/>
      <c r="G48" s="2542">
        <v>1</v>
      </c>
      <c r="H48" s="1647"/>
      <c r="I48" s="1647"/>
      <c r="J48" s="1647"/>
      <c r="K48" s="1647"/>
      <c r="L48" s="1648"/>
      <c r="M48" s="1649"/>
      <c r="N48" s="1649"/>
      <c r="O48" s="1649"/>
      <c r="P48" s="1696"/>
      <c r="Q48" s="1695"/>
      <c r="R48" s="637"/>
      <c r="S48" s="1777" t="str">
        <f>INDEX(PT_DIFFERENTIATION_NUM_CS,MATCH(C48,PT_DIFFERENTIATION_CS_ID,0))</f>
        <v>..</v>
      </c>
      <c r="T48" s="593" t="s">
        <v>538</v>
      </c>
      <c r="U48" s="584"/>
      <c r="V48" s="2527"/>
      <c r="W48" s="2527"/>
      <c r="X48" s="2527"/>
      <c r="Y48" s="2527"/>
      <c r="Z48" s="2527"/>
      <c r="AA48" s="2527"/>
      <c r="AB48" s="2527"/>
      <c r="AC48" s="2528"/>
      <c r="AD48" s="2526" t="str">
        <f>INDEX(PT_DIFFERENTIATION_CS,MATCH(C48,PT_DIFFERENTIATION_CS_ID,0))</f>
        <v/>
      </c>
      <c r="AE48" s="2527"/>
      <c r="AF48" s="2527"/>
      <c r="AG48" s="2527"/>
      <c r="AH48" s="2527"/>
      <c r="AI48" s="2527"/>
      <c r="AJ48" s="2527"/>
      <c r="AK48" s="2527"/>
      <c r="AL48" s="2527"/>
      <c r="AM48" s="2527"/>
      <c r="AN48" s="2527"/>
      <c r="AO48" s="2527"/>
      <c r="AP48" s="2527"/>
      <c r="AQ48" s="2527"/>
      <c r="AR48" s="2527"/>
      <c r="AS48" s="2527"/>
      <c r="AT48" s="2527"/>
      <c r="AU48" s="2527"/>
      <c r="AV48" s="2527"/>
      <c r="AW48" s="2527"/>
      <c r="AX48" s="2527"/>
      <c r="AY48" s="2527"/>
      <c r="AZ48" s="2527"/>
      <c r="BA48" s="2527"/>
      <c r="BB48" s="2528"/>
      <c r="BC48" s="1542" t="s">
        <v>539</v>
      </c>
      <c r="BE48" s="784"/>
      <c r="BF48" s="784" t="str">
        <f>IF(T48="","",T48)</f>
        <v>Наименование централизованной системы горячего водоснабжения</v>
      </c>
      <c r="BG48" s="784"/>
      <c r="BH48" s="784"/>
      <c r="BI48" s="1439">
        <v>34</v>
      </c>
    </row>
    <row s="14158" customFormat="1" customHeight="1" ht="0">
      <c r="A49" s="1627" t="s">
        <v>266</v>
      </c>
      <c r="B49" s="1627" t="s">
        <v>267</v>
      </c>
      <c r="C49" s="1627" t="s">
        <v>268</v>
      </c>
      <c r="D49" s="1627" t="s">
        <v>552</v>
      </c>
      <c r="E49" s="2543"/>
      <c r="F49" s="2543"/>
      <c r="G49" s="2543"/>
      <c r="H49" s="2542">
        <v>1</v>
      </c>
      <c r="I49" s="1627"/>
      <c r="J49" s="1627"/>
      <c r="K49" s="1627"/>
      <c r="L49" s="1630"/>
      <c r="M49" s="1599"/>
      <c r="N49" s="1599"/>
      <c r="O49" s="1599"/>
      <c r="P49" s="1781"/>
      <c r="Q49" s="1782"/>
      <c r="R49" s="641"/>
      <c r="S49" s="1326"/>
      <c r="T49" s="1783"/>
      <c r="U49" s="1668"/>
      <c r="V49" s="2581"/>
      <c r="W49" s="2581"/>
      <c r="X49" s="2581"/>
      <c r="Y49" s="2581"/>
      <c r="Z49" s="2581"/>
      <c r="AA49" s="2581"/>
      <c r="AB49" s="2581"/>
      <c r="AC49" s="2582"/>
      <c r="AD49" s="2580"/>
      <c r="AE49" s="2581"/>
      <c r="AF49" s="2581"/>
      <c r="AG49" s="2581"/>
      <c r="AH49" s="2581"/>
      <c r="AI49" s="2581"/>
      <c r="AJ49" s="2581"/>
      <c r="AK49" s="2581"/>
      <c r="AL49" s="2581"/>
      <c r="AM49" s="2581"/>
      <c r="AN49" s="2581"/>
      <c r="AO49" s="2581"/>
      <c r="AP49" s="2581"/>
      <c r="AQ49" s="2581"/>
      <c r="AR49" s="2581"/>
      <c r="AS49" s="2581"/>
      <c r="AT49" s="2581"/>
      <c r="AU49" s="2581"/>
      <c r="AV49" s="2581"/>
      <c r="AW49" s="2581"/>
      <c r="AX49" s="2581"/>
      <c r="AY49" s="2581"/>
      <c r="AZ49" s="2581"/>
      <c r="BA49" s="2581"/>
      <c r="BB49" s="2582"/>
      <c r="BC49" s="1669" t="s">
        <v>407</v>
      </c>
      <c r="BE49" s="784"/>
      <c r="BF49" s="784" t="str">
        <f>IF(T49="","",T49)</f>
        <v/>
      </c>
      <c r="BG49" s="784"/>
      <c r="BH49" s="784"/>
      <c r="BI49" s="795">
        <v>0</v>
      </c>
    </row>
    <row s="14158" customFormat="1" customHeight="1" ht="0">
      <c r="A50" s="1627" t="s">
        <v>266</v>
      </c>
      <c r="B50" s="1627" t="s">
        <v>267</v>
      </c>
      <c r="C50" s="1627" t="s">
        <v>268</v>
      </c>
      <c r="D50" s="1627" t="s">
        <v>552</v>
      </c>
      <c r="E50" s="2543"/>
      <c r="F50" s="2543"/>
      <c r="G50" s="2543"/>
      <c r="H50" s="2543"/>
      <c r="I50" s="2540" t="str">
        <f>S49&amp;".1"</f>
        <v>.1</v>
      </c>
      <c r="J50" s="1627"/>
      <c r="K50" s="1627"/>
      <c r="L50" s="1630" t="s">
        <v>408</v>
      </c>
      <c r="M50" s="794"/>
      <c r="N50" s="794"/>
      <c r="O50" s="794"/>
      <c r="P50" s="2541">
        <v>1</v>
      </c>
      <c r="Q50" s="1765"/>
      <c r="R50" s="640"/>
      <c r="S50" s="1326"/>
      <c r="T50" s="1667"/>
      <c r="U50" s="1668"/>
      <c r="V50" s="2581"/>
      <c r="W50" s="2581"/>
      <c r="X50" s="2581"/>
      <c r="Y50" s="2581"/>
      <c r="Z50" s="2581"/>
      <c r="AA50" s="2581"/>
      <c r="AB50" s="2581"/>
      <c r="AC50" s="2582"/>
      <c r="AD50" s="2580"/>
      <c r="AE50" s="2581"/>
      <c r="AF50" s="2581"/>
      <c r="AG50" s="2581"/>
      <c r="AH50" s="2581"/>
      <c r="AI50" s="2581"/>
      <c r="AJ50" s="2581"/>
      <c r="AK50" s="2581"/>
      <c r="AL50" s="2581"/>
      <c r="AM50" s="2581"/>
      <c r="AN50" s="2581"/>
      <c r="AO50" s="2581"/>
      <c r="AP50" s="2581"/>
      <c r="AQ50" s="2581"/>
      <c r="AR50" s="2581"/>
      <c r="AS50" s="2581"/>
      <c r="AT50" s="2581"/>
      <c r="AU50" s="2581"/>
      <c r="AV50" s="2581"/>
      <c r="AW50" s="2581"/>
      <c r="AX50" s="2581"/>
      <c r="AY50" s="2581"/>
      <c r="AZ50" s="2581"/>
      <c r="BA50" s="2581"/>
      <c r="BB50" s="2582"/>
      <c r="BC50" s="1669"/>
      <c r="BE50" s="784"/>
      <c r="BF50" s="784" t="str">
        <f>IF(T50="","",T50)</f>
        <v/>
      </c>
      <c r="BG50" s="784"/>
      <c r="BH50" s="784"/>
      <c r="BI50" s="795">
        <v>0</v>
      </c>
    </row>
    <row s="14158" customFormat="1" customHeight="1" ht="0">
      <c r="A51" s="1627" t="s">
        <v>266</v>
      </c>
      <c r="B51" s="1627" t="s">
        <v>267</v>
      </c>
      <c r="C51" s="1627" t="s">
        <v>268</v>
      </c>
      <c r="D51" s="1627" t="s">
        <v>552</v>
      </c>
      <c r="E51" s="2543"/>
      <c r="F51" s="2543"/>
      <c r="G51" s="2543"/>
      <c r="H51" s="2543"/>
      <c r="I51" s="2570"/>
      <c r="J51" s="2540" t="str">
        <f>S49&amp;".1"</f>
        <v>.1</v>
      </c>
      <c r="K51" s="1627"/>
      <c r="L51" s="1630"/>
      <c r="M51" s="794"/>
      <c r="N51" s="794"/>
      <c r="O51" s="794"/>
      <c r="P51" s="2541"/>
      <c r="Q51" s="2541">
        <v>1</v>
      </c>
      <c r="R51" s="641"/>
      <c r="S51" s="1326"/>
      <c r="T51" s="1683"/>
      <c r="U51" s="1668"/>
      <c r="V51" s="2581"/>
      <c r="W51" s="2581"/>
      <c r="X51" s="2581"/>
      <c r="Y51" s="2581"/>
      <c r="Z51" s="2581"/>
      <c r="AA51" s="2581"/>
      <c r="AB51" s="2581"/>
      <c r="AC51" s="2582"/>
      <c r="AD51" s="2580"/>
      <c r="AE51" s="2581"/>
      <c r="AF51" s="2581"/>
      <c r="AG51" s="2581"/>
      <c r="AH51" s="2581"/>
      <c r="AI51" s="2581"/>
      <c r="AJ51" s="2581"/>
      <c r="AK51" s="2581"/>
      <c r="AL51" s="2581"/>
      <c r="AM51" s="2581"/>
      <c r="AN51" s="2648"/>
      <c r="AO51" s="2648"/>
      <c r="AP51" s="2581"/>
      <c r="AQ51" s="2581"/>
      <c r="AR51" s="2581"/>
      <c r="AS51" s="2581"/>
      <c r="AT51" s="2581"/>
      <c r="AU51" s="2581"/>
      <c r="AV51" s="2581"/>
      <c r="AW51" s="2581"/>
      <c r="AX51" s="2581"/>
      <c r="AY51" s="2581"/>
      <c r="AZ51" s="2581"/>
      <c r="BA51" s="2581"/>
      <c r="BB51" s="2582"/>
      <c r="BC51" s="1669"/>
      <c r="BE51" s="784"/>
      <c r="BF51" s="784" t="str">
        <f>IF(T51="","",T51)</f>
        <v/>
      </c>
      <c r="BG51" s="784"/>
      <c r="BH51" s="784"/>
      <c r="BI51" s="795">
        <v>0</v>
      </c>
    </row>
    <row customHeight="1" ht="11.549999999999999">
      <c r="A52" s="1647" t="s">
        <v>266</v>
      </c>
      <c r="B52" s="1647" t="s">
        <v>267</v>
      </c>
      <c r="C52" s="1647" t="s">
        <v>268</v>
      </c>
      <c r="D52" s="1647" t="s">
        <v>552</v>
      </c>
      <c r="E52" s="2543"/>
      <c r="F52" s="2543"/>
      <c r="G52" s="2543"/>
      <c r="H52" s="2543"/>
      <c r="I52" s="2570"/>
      <c r="J52" s="2570"/>
      <c r="K52" s="2540" t="str">
        <f>S48&amp;".1"</f>
        <v>...1</v>
      </c>
      <c r="L52" s="1648"/>
      <c r="P52" s="2541"/>
      <c r="Q52" s="2541"/>
      <c r="R52" s="641">
        <v>1</v>
      </c>
      <c r="S52" s="2625" t="str">
        <f>$K52</f>
        <v>...1</v>
      </c>
      <c r="T52" s="2644"/>
      <c r="U52" s="584"/>
      <c r="V52" s="1035"/>
      <c r="W52" s="1541"/>
      <c r="X52" s="1035"/>
      <c r="Y52" s="1541"/>
      <c r="Z52" s="2018"/>
      <c r="AA52" s="1753" t="s">
        <v>67</v>
      </c>
      <c r="AB52" s="2018"/>
      <c r="AC52" s="1753" t="s">
        <v>67</v>
      </c>
      <c r="AD52" s="2469" t="s">
        <v>67</v>
      </c>
      <c r="AE52" s="2610"/>
      <c r="AF52" s="2489">
        <v>1</v>
      </c>
      <c r="AG52" s="2647"/>
      <c r="AH52" s="2391" t="s">
        <v>67</v>
      </c>
      <c r="AI52" s="2610"/>
      <c r="AJ52" s="2489">
        <v>1</v>
      </c>
      <c r="AK52" s="2611" t="s">
        <v>28</v>
      </c>
      <c r="AL52" s="2391" t="s">
        <v>67</v>
      </c>
      <c r="AM52" s="2476"/>
      <c r="AN52" s="2489">
        <v>1</v>
      </c>
      <c r="AO52" s="2641"/>
      <c r="AP52" s="2642" t="s">
        <v>67</v>
      </c>
      <c r="AQ52" s="595"/>
      <c r="AR52" s="1770">
        <v>1</v>
      </c>
      <c r="AS52" s="1776" t="s">
        <v>28</v>
      </c>
      <c r="AT52" s="1035"/>
      <c r="AU52" s="1541"/>
      <c r="AV52" s="1035"/>
      <c r="AW52" s="1541"/>
      <c r="AX52" s="2018"/>
      <c r="AY52" s="1753" t="s">
        <v>67</v>
      </c>
      <c r="AZ52" s="2018"/>
      <c r="BA52" s="1753" t="s">
        <v>67</v>
      </c>
      <c r="BB52" s="1632"/>
      <c r="BC52" s="2537" t="s">
        <v>509</v>
      </c>
      <c r="BE52" s="784"/>
      <c r="BF52" s="784" t="str">
        <f>IF(T52="","",T52)</f>
        <v/>
      </c>
      <c r="BG52" s="784"/>
      <c r="BH52" s="784"/>
      <c r="BI52" s="1439">
        <v>11</v>
      </c>
    </row>
    <row customHeight="1" ht="11.549999999999999">
      <c r="A53" s="1647"/>
      <c r="B53" s="1647"/>
      <c r="C53" s="1647"/>
      <c r="D53" s="1647"/>
      <c r="E53" s="2543"/>
      <c r="F53" s="2543"/>
      <c r="G53" s="2543"/>
      <c r="H53" s="2543"/>
      <c r="I53" s="2570"/>
      <c r="J53" s="2570"/>
      <c r="K53" s="2540"/>
      <c r="L53" s="1648"/>
      <c r="P53" s="2541"/>
      <c r="Q53" s="2541"/>
      <c r="R53" s="641"/>
      <c r="S53" s="2626"/>
      <c r="T53" s="2645"/>
      <c r="U53" s="584"/>
      <c r="V53" s="1677"/>
      <c r="W53" s="1780"/>
      <c r="X53" s="1677"/>
      <c r="Y53" s="1780"/>
      <c r="Z53" s="1677"/>
      <c r="AA53" s="1677"/>
      <c r="AB53" s="1677"/>
      <c r="AC53" s="1677"/>
      <c r="AD53" s="2470"/>
      <c r="AE53" s="2610"/>
      <c r="AF53" s="2489"/>
      <c r="AG53" s="2647"/>
      <c r="AH53" s="2391"/>
      <c r="AI53" s="2610"/>
      <c r="AJ53" s="2489"/>
      <c r="AK53" s="2611"/>
      <c r="AL53" s="2391"/>
      <c r="AM53" s="2484"/>
      <c r="AN53" s="2489"/>
      <c r="AO53" s="2641"/>
      <c r="AP53" s="2643"/>
      <c r="AQ53" s="600"/>
      <c r="AR53" s="700"/>
      <c r="AS53" s="700" t="s">
        <v>510</v>
      </c>
      <c r="AT53" s="1677"/>
      <c r="AU53" s="1780"/>
      <c r="AV53" s="1677"/>
      <c r="AW53" s="1780"/>
      <c r="AX53" s="1677"/>
      <c r="AY53" s="1677"/>
      <c r="AZ53" s="1677"/>
      <c r="BA53" s="1677"/>
      <c r="BB53" s="1681"/>
      <c r="BC53" s="2538"/>
      <c r="BE53" s="784"/>
      <c r="BF53" s="784"/>
      <c r="BG53" s="784"/>
      <c r="BH53" s="784"/>
      <c r="BI53" s="1439">
        <v>11</v>
      </c>
    </row>
    <row customHeight="1" ht="11.549999999999999">
      <c r="A54" s="1647" t="s">
        <v>266</v>
      </c>
      <c r="B54" s="1647"/>
      <c r="C54" s="1647"/>
      <c r="D54" s="1647"/>
      <c r="E54" s="2543"/>
      <c r="F54" s="2543"/>
      <c r="G54" s="2543"/>
      <c r="H54" s="2543"/>
      <c r="I54" s="2570"/>
      <c r="J54" s="2570"/>
      <c r="K54" s="2540"/>
      <c r="L54" s="1648"/>
      <c r="P54" s="2541"/>
      <c r="Q54" s="2541"/>
      <c r="R54" s="641"/>
      <c r="S54" s="2626"/>
      <c r="T54" s="2645"/>
      <c r="U54" s="584"/>
      <c r="V54" s="1677"/>
      <c r="W54" s="1780"/>
      <c r="X54" s="1677"/>
      <c r="Y54" s="1780"/>
      <c r="Z54" s="1677"/>
      <c r="AA54" s="1677"/>
      <c r="AB54" s="1677"/>
      <c r="AC54" s="1677"/>
      <c r="AD54" s="2470"/>
      <c r="AE54" s="2610"/>
      <c r="AF54" s="2489"/>
      <c r="AG54" s="2647"/>
      <c r="AH54" s="2391"/>
      <c r="AI54" s="2610"/>
      <c r="AJ54" s="2489"/>
      <c r="AK54" s="2611"/>
      <c r="AL54" s="2391"/>
      <c r="AM54" s="600"/>
      <c r="AN54" s="1784"/>
      <c r="AO54" s="1784" t="s">
        <v>511</v>
      </c>
      <c r="AP54" s="700"/>
      <c r="AQ54" s="700"/>
      <c r="AR54" s="700"/>
      <c r="AS54" s="1677"/>
      <c r="AT54" s="1677"/>
      <c r="AU54" s="1780"/>
      <c r="AV54" s="1677"/>
      <c r="AW54" s="1780"/>
      <c r="AX54" s="1677"/>
      <c r="AY54" s="1677"/>
      <c r="AZ54" s="1677"/>
      <c r="BA54" s="1677"/>
      <c r="BB54" s="1681"/>
      <c r="BC54" s="2538"/>
      <c r="BE54" s="784"/>
      <c r="BF54" s="784"/>
      <c r="BG54" s="784"/>
      <c r="BH54" s="784"/>
      <c r="BI54" s="1439">
        <v>11</v>
      </c>
    </row>
    <row customHeight="1" ht="11.549999999999999">
      <c r="A55" s="1647" t="s">
        <v>266</v>
      </c>
      <c r="B55" s="1647"/>
      <c r="C55" s="1647"/>
      <c r="D55" s="1647"/>
      <c r="E55" s="2543"/>
      <c r="F55" s="2543"/>
      <c r="G55" s="2543"/>
      <c r="H55" s="2543"/>
      <c r="I55" s="2570"/>
      <c r="J55" s="2570"/>
      <c r="K55" s="2540"/>
      <c r="L55" s="1648"/>
      <c r="P55" s="2541"/>
      <c r="Q55" s="2541"/>
      <c r="R55" s="641"/>
      <c r="S55" s="2626"/>
      <c r="T55" s="2645"/>
      <c r="U55" s="584"/>
      <c r="V55" s="1677"/>
      <c r="W55" s="1780"/>
      <c r="X55" s="1677"/>
      <c r="Y55" s="1780"/>
      <c r="Z55" s="1677"/>
      <c r="AA55" s="1677"/>
      <c r="AB55" s="1677"/>
      <c r="AC55" s="1677"/>
      <c r="AD55" s="2470"/>
      <c r="AE55" s="2610"/>
      <c r="AF55" s="2489"/>
      <c r="AG55" s="2647"/>
      <c r="AH55" s="2391"/>
      <c r="AI55" s="578"/>
      <c r="AJ55" s="699"/>
      <c r="AK55" s="597" t="s">
        <v>512</v>
      </c>
      <c r="AL55" s="1677"/>
      <c r="AM55" s="1677"/>
      <c r="AN55" s="1677"/>
      <c r="AO55" s="1677"/>
      <c r="AP55" s="1677"/>
      <c r="AQ55" s="1677"/>
      <c r="AR55" s="1677"/>
      <c r="AS55" s="1677"/>
      <c r="AT55" s="1677"/>
      <c r="AU55" s="1780"/>
      <c r="AV55" s="1677"/>
      <c r="AW55" s="1780"/>
      <c r="AX55" s="1677"/>
      <c r="AY55" s="1677"/>
      <c r="AZ55" s="1677"/>
      <c r="BA55" s="1677"/>
      <c r="BB55" s="1681"/>
      <c r="BC55" s="2538"/>
      <c r="BE55" s="784"/>
      <c r="BF55" s="784"/>
      <c r="BG55" s="784"/>
      <c r="BH55" s="784"/>
      <c r="BI55" s="1439">
        <v>11</v>
      </c>
    </row>
    <row customHeight="1" ht="11.549999999999999">
      <c r="A56" s="1647" t="s">
        <v>266</v>
      </c>
      <c r="B56" s="1647" t="s">
        <v>267</v>
      </c>
      <c r="C56" s="1647" t="s">
        <v>268</v>
      </c>
      <c r="D56" s="1647" t="s">
        <v>552</v>
      </c>
      <c r="E56" s="2543"/>
      <c r="F56" s="2543"/>
      <c r="G56" s="2543"/>
      <c r="H56" s="2543"/>
      <c r="I56" s="2570"/>
      <c r="J56" s="2570"/>
      <c r="K56" s="2540"/>
      <c r="L56" s="1648"/>
      <c r="P56" s="2541"/>
      <c r="Q56" s="2541"/>
      <c r="R56" s="641"/>
      <c r="S56" s="2627"/>
      <c r="T56" s="2646"/>
      <c r="U56" s="584"/>
      <c r="V56" s="1677"/>
      <c r="W56" s="1678" t="str">
        <f>Z52&amp;"-"&amp;AB52</f>
        <v>-</v>
      </c>
      <c r="X56" s="1677"/>
      <c r="Y56" s="1678" t="str">
        <f>AB52&amp;"-"&amp;AD52</f>
        <v>-да</v>
      </c>
      <c r="Z56" s="1677"/>
      <c r="AA56" s="1677"/>
      <c r="AB56" s="1677"/>
      <c r="AC56" s="1677"/>
      <c r="AD56" s="2396"/>
      <c r="AE56" s="596"/>
      <c r="AF56" s="598"/>
      <c r="AG56" s="700" t="s">
        <v>513</v>
      </c>
      <c r="AH56" s="1677"/>
      <c r="AI56" s="1677"/>
      <c r="AJ56" s="1677"/>
      <c r="AK56" s="1677"/>
      <c r="AL56" s="1677"/>
      <c r="AM56" s="1677"/>
      <c r="AN56" s="1677"/>
      <c r="AO56" s="1677"/>
      <c r="AP56" s="1677"/>
      <c r="AQ56" s="1677"/>
      <c r="AR56" s="1677"/>
      <c r="AS56" s="1677"/>
      <c r="AT56" s="1677"/>
      <c r="AU56" s="1678" t="str">
        <f>AX52&amp;"-"&amp;AZ52</f>
        <v>-</v>
      </c>
      <c r="AV56" s="1677"/>
      <c r="AW56" s="1678" t="str">
        <f>AZ52&amp;"-"&amp;BB52</f>
        <v>-</v>
      </c>
      <c r="AX56" s="1677"/>
      <c r="AY56" s="1677"/>
      <c r="AZ56" s="1677"/>
      <c r="BA56" s="1677"/>
      <c r="BB56" s="1680" t="str">
        <f>BE52&amp;"-"&amp;BG52</f>
        <v>-</v>
      </c>
      <c r="BC56" s="2538"/>
      <c r="BE56" s="784"/>
      <c r="BF56" s="784" t="str">
        <f>IF(T56="","",T56)</f>
        <v/>
      </c>
      <c r="BG56" s="784"/>
      <c r="BH56" s="784"/>
      <c r="BI56" s="1439">
        <v>11</v>
      </c>
    </row>
    <row customHeight="1" ht="11.549999999999999">
      <c r="A57" s="1647" t="s">
        <v>266</v>
      </c>
      <c r="B57" s="1647" t="s">
        <v>267</v>
      </c>
      <c r="C57" s="1647" t="s">
        <v>268</v>
      </c>
      <c r="D57" s="1647" t="s">
        <v>552</v>
      </c>
      <c r="E57" s="2543"/>
      <c r="F57" s="2543"/>
      <c r="G57" s="2543"/>
      <c r="H57" s="2543"/>
      <c r="I57" s="2570"/>
      <c r="J57" s="2540"/>
      <c r="K57" s="1647"/>
      <c r="L57" s="1648"/>
      <c r="P57" s="2541"/>
      <c r="Q57" s="2541"/>
      <c r="R57" s="640"/>
      <c r="S57" s="1562"/>
      <c r="T57" s="571" t="s">
        <v>476</v>
      </c>
      <c r="U57" s="651"/>
      <c r="V57" s="651"/>
      <c r="W57" s="651"/>
      <c r="X57" s="651"/>
      <c r="Y57" s="651"/>
      <c r="Z57" s="651"/>
      <c r="AA57" s="651"/>
      <c r="AB57" s="651"/>
      <c r="AC57" s="608"/>
      <c r="AD57" s="1789"/>
      <c r="AE57" s="651"/>
      <c r="AF57" s="651"/>
      <c r="AG57" s="651"/>
      <c r="AH57" s="651"/>
      <c r="AI57" s="651"/>
      <c r="AJ57" s="651"/>
      <c r="AK57" s="651"/>
      <c r="AL57" s="651"/>
      <c r="AM57" s="651"/>
      <c r="AN57" s="651"/>
      <c r="AO57" s="651"/>
      <c r="AP57" s="651"/>
      <c r="AQ57" s="651"/>
      <c r="AR57" s="651"/>
      <c r="AS57" s="651"/>
      <c r="AT57" s="651"/>
      <c r="AU57" s="651"/>
      <c r="AV57" s="651"/>
      <c r="AW57" s="651"/>
      <c r="AX57" s="651"/>
      <c r="AY57" s="651"/>
      <c r="AZ57" s="651"/>
      <c r="BA57" s="651"/>
      <c r="BB57" s="608"/>
      <c r="BC57" s="2539"/>
      <c r="BE57" s="784"/>
      <c r="BF57" s="784" t="str">
        <f>IF(T57="","",T57)</f>
        <v>Добавить строку</v>
      </c>
      <c r="BG57" s="784"/>
      <c r="BH57" s="784"/>
      <c r="BI57" s="1439">
        <v>11</v>
      </c>
    </row>
    <row s="14158" customFormat="1" customHeight="1" ht="0">
      <c r="A58" s="1627" t="s">
        <v>266</v>
      </c>
      <c r="B58" s="1627" t="s">
        <v>267</v>
      </c>
      <c r="C58" s="1627" t="s">
        <v>268</v>
      </c>
      <c r="D58" s="1627" t="s">
        <v>552</v>
      </c>
      <c r="E58" s="2543"/>
      <c r="F58" s="2543"/>
      <c r="G58" s="2543"/>
      <c r="H58" s="2543"/>
      <c r="I58" s="2540"/>
      <c r="J58" s="1627"/>
      <c r="K58" s="1627"/>
      <c r="L58" s="1630"/>
      <c r="M58" s="794"/>
      <c r="N58" s="794"/>
      <c r="O58" s="794"/>
      <c r="P58" s="2541"/>
      <c r="Q58" s="1765"/>
      <c r="R58" s="640"/>
      <c r="S58" s="1670"/>
      <c r="T58" s="1671"/>
      <c r="U58" s="1672"/>
      <c r="V58" s="1672"/>
      <c r="W58" s="1672"/>
      <c r="X58" s="1672"/>
      <c r="Y58" s="1672"/>
      <c r="Z58" s="1672"/>
      <c r="AA58" s="1672"/>
      <c r="AB58" s="1672"/>
      <c r="AC58" s="1672"/>
      <c r="AD58" s="1672"/>
      <c r="AE58" s="1672"/>
      <c r="AF58" s="1672"/>
      <c r="AG58" s="1672"/>
      <c r="AH58" s="1672"/>
      <c r="AI58" s="1672"/>
      <c r="AJ58" s="1672"/>
      <c r="AK58" s="1672"/>
      <c r="AL58" s="1672"/>
      <c r="AM58" s="1672"/>
      <c r="AN58" s="1672"/>
      <c r="AO58" s="1672"/>
      <c r="AP58" s="1672"/>
      <c r="AQ58" s="1672"/>
      <c r="AR58" s="1672"/>
      <c r="AS58" s="1672"/>
      <c r="AT58" s="1672"/>
      <c r="AU58" s="1672"/>
      <c r="AV58" s="1672"/>
      <c r="AW58" s="1672"/>
      <c r="AX58" s="1672"/>
      <c r="AY58" s="1672"/>
      <c r="AZ58" s="1672"/>
      <c r="BA58" s="1672"/>
      <c r="BB58" s="1672"/>
      <c r="BC58" s="1673"/>
      <c r="BE58" s="784"/>
      <c r="BF58" s="784" t="str">
        <f>IF(T58="","",T58)</f>
        <v/>
      </c>
      <c r="BG58" s="784"/>
      <c r="BH58" s="784"/>
      <c r="BI58" s="795">
        <v>0</v>
      </c>
    </row>
    <row s="14158" customFormat="1" customHeight="1" ht="0">
      <c r="A59" s="1627" t="s">
        <v>266</v>
      </c>
      <c r="B59" s="1627" t="s">
        <v>267</v>
      </c>
      <c r="C59" s="1627" t="s">
        <v>268</v>
      </c>
      <c r="D59" s="1627" t="s">
        <v>552</v>
      </c>
      <c r="E59" s="2543"/>
      <c r="F59" s="2543"/>
      <c r="G59" s="2543"/>
      <c r="H59" s="2542"/>
      <c r="I59" s="1627"/>
      <c r="J59" s="1627"/>
      <c r="K59" s="1627"/>
      <c r="L59" s="1630"/>
      <c r="M59" s="1599"/>
      <c r="N59" s="1599"/>
      <c r="O59" s="802"/>
      <c r="P59" s="664"/>
      <c r="Q59" s="1628"/>
      <c r="R59" s="1685"/>
      <c r="S59" s="1670"/>
      <c r="T59" s="1671"/>
      <c r="U59" s="1672"/>
      <c r="V59" s="1672"/>
      <c r="W59" s="1672"/>
      <c r="X59" s="1672"/>
      <c r="Y59" s="1672"/>
      <c r="Z59" s="1672"/>
      <c r="AA59" s="1672"/>
      <c r="AB59" s="1672"/>
      <c r="AC59" s="1672"/>
      <c r="AD59" s="1672"/>
      <c r="AE59" s="1672"/>
      <c r="AF59" s="1672"/>
      <c r="AG59" s="1672"/>
      <c r="AH59" s="1672"/>
      <c r="AI59" s="1672"/>
      <c r="AJ59" s="1672"/>
      <c r="AK59" s="1672"/>
      <c r="AL59" s="1672"/>
      <c r="AM59" s="1672"/>
      <c r="AN59" s="1672"/>
      <c r="AO59" s="1672"/>
      <c r="AP59" s="1672"/>
      <c r="AQ59" s="1672"/>
      <c r="AR59" s="1672"/>
      <c r="AS59" s="1672"/>
      <c r="AT59" s="1672"/>
      <c r="AU59" s="1672"/>
      <c r="AV59" s="1672"/>
      <c r="AW59" s="1672"/>
      <c r="AX59" s="1672"/>
      <c r="AY59" s="1672"/>
      <c r="AZ59" s="1672"/>
      <c r="BA59" s="1672"/>
      <c r="BB59" s="1672"/>
      <c r="BC59" s="1673"/>
      <c r="BE59" s="784"/>
      <c r="BF59" s="784" t="str">
        <f>IF(T59="","",T59)</f>
        <v/>
      </c>
      <c r="BG59" s="784"/>
      <c r="BH59" s="784"/>
      <c r="BI59" s="795">
        <v>0</v>
      </c>
    </row>
    <row s="14158" customFormat="1" customHeight="1" ht="0">
      <c r="A60" s="1627" t="s">
        <v>266</v>
      </c>
      <c r="B60" s="1627" t="s">
        <v>267</v>
      </c>
      <c r="C60" s="1627" t="s">
        <v>268</v>
      </c>
      <c r="D60" s="1598"/>
      <c r="E60" s="2543"/>
      <c r="F60" s="2543"/>
      <c r="G60" s="2542"/>
      <c r="H60" s="1598"/>
      <c r="I60" s="1598"/>
      <c r="J60" s="1598"/>
      <c r="K60" s="1598"/>
      <c r="L60" s="1778"/>
      <c r="M60" s="1599"/>
      <c r="N60" s="1599"/>
      <c r="P60" s="1600"/>
      <c r="Q60" s="1601"/>
      <c r="R60" s="1600"/>
      <c r="S60" s="1606"/>
      <c r="T60" s="1609"/>
      <c r="U60" s="1608"/>
      <c r="V60" s="1608"/>
      <c r="W60" s="1608"/>
      <c r="X60" s="1608"/>
      <c r="Y60" s="1608"/>
      <c r="Z60" s="1608"/>
      <c r="AA60" s="1608"/>
      <c r="AB60" s="1608"/>
      <c r="AC60" s="1608"/>
      <c r="AD60" s="1608"/>
      <c r="AE60" s="1608"/>
      <c r="AF60" s="1608"/>
      <c r="AG60" s="1608"/>
      <c r="AH60" s="1608"/>
      <c r="AI60" s="1608"/>
      <c r="AJ60" s="1608"/>
      <c r="AK60" s="1608"/>
      <c r="AL60" s="1608"/>
      <c r="AM60" s="1608"/>
      <c r="AN60" s="1608"/>
      <c r="AO60" s="1608"/>
      <c r="AP60" s="1608"/>
      <c r="AQ60" s="1608"/>
      <c r="AR60" s="1608"/>
      <c r="AS60" s="1608"/>
      <c r="AT60" s="1608"/>
      <c r="AU60" s="1608"/>
      <c r="AV60" s="1608"/>
      <c r="AW60" s="1608"/>
      <c r="AX60" s="1608"/>
      <c r="AY60" s="1608"/>
      <c r="AZ60" s="1608"/>
      <c r="BA60" s="1608"/>
      <c r="BB60" s="1608"/>
      <c r="BC60" s="1608"/>
      <c r="BE60" s="1073"/>
      <c r="BF60" s="1073" t="str">
        <f>IF(T60="","",T60)</f>
        <v/>
      </c>
      <c r="BG60" s="1073"/>
      <c r="BH60" s="1073"/>
      <c r="BI60" s="802">
        <v>0</v>
      </c>
    </row>
    <row s="14158" customFormat="1" customHeight="1" ht="0">
      <c r="A61" s="1627" t="s">
        <v>266</v>
      </c>
      <c r="B61" s="1627" t="s">
        <v>267</v>
      </c>
      <c r="C61" s="1598"/>
      <c r="D61" s="1598"/>
      <c r="E61" s="2543"/>
      <c r="F61" s="2542"/>
      <c r="G61" s="1598"/>
      <c r="H61" s="1598"/>
      <c r="I61" s="1598"/>
      <c r="J61" s="1598"/>
      <c r="K61" s="1598"/>
      <c r="L61" s="1778"/>
      <c r="M61" s="1605"/>
      <c r="N61" s="1605"/>
      <c r="P61" s="1600"/>
      <c r="Q61" s="1601"/>
      <c r="R61" s="1600"/>
      <c r="S61" s="1606"/>
      <c r="T61" s="1609" t="s">
        <v>170</v>
      </c>
      <c r="U61" s="1608"/>
      <c r="V61" s="1608"/>
      <c r="W61" s="1608"/>
      <c r="X61" s="1608"/>
      <c r="Y61" s="1608"/>
      <c r="Z61" s="1608"/>
      <c r="AA61" s="1608"/>
      <c r="AB61" s="1608"/>
      <c r="AC61" s="1608"/>
      <c r="AD61" s="1608"/>
      <c r="AE61" s="1608"/>
      <c r="AF61" s="1608"/>
      <c r="AG61" s="1608"/>
      <c r="AH61" s="1608"/>
      <c r="AI61" s="1608"/>
      <c r="AJ61" s="1608"/>
      <c r="AK61" s="1608"/>
      <c r="AL61" s="1608"/>
      <c r="AM61" s="1608"/>
      <c r="AN61" s="1608"/>
      <c r="AO61" s="1608"/>
      <c r="AP61" s="1608"/>
      <c r="AQ61" s="1608"/>
      <c r="AR61" s="1608"/>
      <c r="AS61" s="1608"/>
      <c r="AT61" s="1608"/>
      <c r="AU61" s="1608"/>
      <c r="AV61" s="1608"/>
      <c r="AW61" s="1608"/>
      <c r="AX61" s="1608"/>
      <c r="AY61" s="1608"/>
      <c r="AZ61" s="1608"/>
      <c r="BA61" s="1608"/>
      <c r="BB61" s="1608"/>
      <c r="BC61" s="1608"/>
      <c r="BE61" s="1073"/>
      <c r="BF61" s="1073" t="str">
        <f>IF(T61="","",T61)</f>
        <v>Добавить централизованную систему для дифференциации</v>
      </c>
      <c r="BG61" s="1073"/>
      <c r="BH61" s="1073"/>
      <c r="BI61" s="802">
        <v>0</v>
      </c>
    </row>
    <row s="14158" customFormat="1" customHeight="1" ht="0">
      <c r="A62" s="1627" t="s">
        <v>266</v>
      </c>
      <c r="B62" s="1627"/>
      <c r="C62" s="1627"/>
      <c r="D62" s="1627"/>
      <c r="E62" s="2542"/>
      <c r="F62" s="1627"/>
      <c r="G62" s="1627"/>
      <c r="H62" s="1627"/>
      <c r="I62" s="1627"/>
      <c r="J62" s="1627"/>
      <c r="K62" s="1627"/>
      <c r="L62" s="1630"/>
      <c r="M62" s="1605"/>
      <c r="N62" s="1605"/>
      <c r="O62" s="802"/>
      <c r="P62" s="664"/>
      <c r="Q62" s="1628"/>
      <c r="R62" s="664"/>
      <c r="S62" s="1606"/>
      <c r="T62" s="1609" t="s">
        <v>171</v>
      </c>
      <c r="U62" s="1608"/>
      <c r="V62" s="1608"/>
      <c r="W62" s="1608"/>
      <c r="X62" s="1608"/>
      <c r="Y62" s="1608"/>
      <c r="Z62" s="1608"/>
      <c r="AA62" s="1608"/>
      <c r="AB62" s="1608"/>
      <c r="AC62" s="1608"/>
      <c r="AD62" s="1608"/>
      <c r="AE62" s="1608"/>
      <c r="AF62" s="1608"/>
      <c r="AG62" s="1608"/>
      <c r="AH62" s="1608"/>
      <c r="AI62" s="1608"/>
      <c r="AJ62" s="1608"/>
      <c r="AK62" s="1608"/>
      <c r="AL62" s="1608"/>
      <c r="AM62" s="1608"/>
      <c r="AN62" s="1608"/>
      <c r="AO62" s="1608"/>
      <c r="AP62" s="1608"/>
      <c r="AQ62" s="1608"/>
      <c r="AR62" s="1608"/>
      <c r="AS62" s="1608"/>
      <c r="AT62" s="1608"/>
      <c r="AU62" s="1608"/>
      <c r="AV62" s="1608"/>
      <c r="AW62" s="1608"/>
      <c r="AX62" s="1608"/>
      <c r="AY62" s="1608"/>
      <c r="AZ62" s="1608"/>
      <c r="BA62" s="1608"/>
      <c r="BB62" s="1608"/>
      <c r="BC62" s="1608"/>
      <c r="BE62" s="784"/>
      <c r="BF62" s="784" t="str">
        <f>IF(T62="","",T62)</f>
        <v>Добавить территорию для дифференциации</v>
      </c>
      <c r="BG62" s="784"/>
      <c r="BH62" s="784"/>
      <c r="BI62" s="795">
        <v>0</v>
      </c>
    </row>
    <row s="14158" customFormat="1" customHeight="1" ht="0">
      <c r="A63" s="1598"/>
      <c r="B63" s="1598"/>
      <c r="C63" s="1598"/>
      <c r="D63" s="1598"/>
      <c r="E63" s="1627"/>
      <c r="F63" s="1598"/>
      <c r="G63" s="1598"/>
      <c r="H63" s="1598"/>
      <c r="I63" s="1598"/>
      <c r="J63" s="1598"/>
      <c r="K63" s="1598"/>
      <c r="L63" s="1778"/>
      <c r="M63" s="1605"/>
      <c r="N63" s="1605"/>
      <c r="P63" s="1600"/>
      <c r="Q63" s="1601"/>
      <c r="R63" s="1600"/>
      <c r="S63" s="1606"/>
      <c r="T63" s="1609" t="s">
        <v>172</v>
      </c>
      <c r="U63" s="1608"/>
      <c r="V63" s="1608"/>
      <c r="W63" s="1608"/>
      <c r="X63" s="1608"/>
      <c r="Y63" s="1608"/>
      <c r="Z63" s="1608"/>
      <c r="AA63" s="1608"/>
      <c r="AB63" s="1608"/>
      <c r="AC63" s="1608"/>
      <c r="AD63" s="1608"/>
      <c r="AE63" s="1608"/>
      <c r="AF63" s="1608"/>
      <c r="AG63" s="1608"/>
      <c r="AH63" s="1608"/>
      <c r="AI63" s="1608"/>
      <c r="AJ63" s="1608"/>
      <c r="AK63" s="1608"/>
      <c r="AL63" s="1608"/>
      <c r="AM63" s="1608"/>
      <c r="AN63" s="1608"/>
      <c r="AO63" s="1608"/>
      <c r="AP63" s="1608"/>
      <c r="AQ63" s="1608"/>
      <c r="AR63" s="1608"/>
      <c r="AS63" s="1608"/>
      <c r="AT63" s="1608"/>
      <c r="AU63" s="1608"/>
      <c r="AV63" s="1608"/>
      <c r="AW63" s="1608"/>
      <c r="AX63" s="1608"/>
      <c r="AY63" s="1608"/>
      <c r="AZ63" s="1608"/>
      <c r="BA63" s="1608"/>
      <c r="BB63" s="1608"/>
      <c r="BC63" s="1608"/>
      <c r="BE63" s="1073"/>
      <c r="BF63" s="1073" t="str">
        <f>IF(T63="","",T63)</f>
        <v>Добавить наименование тарифа</v>
      </c>
      <c r="BG63" s="1073"/>
      <c r="BH63" s="1073"/>
      <c r="BI63" s="802">
        <v>0</v>
      </c>
    </row>
    <row customHeight="1" ht="11.549999999999999">
      <c r="M64" s="1444"/>
      <c r="N64" s="1444"/>
      <c r="O64" s="821"/>
      <c r="P64" s="1444"/>
      <c r="Q64" s="1444"/>
      <c r="R64" s="1439"/>
      <c r="S64" s="1439"/>
      <c r="BD64" s="1439"/>
      <c r="BE64" s="1439"/>
      <c r="BF64" s="1439"/>
      <c r="BG64" s="1439"/>
      <c r="BH64" s="1439"/>
      <c r="BI64" s="1439">
        <v>11</v>
      </c>
    </row>
    <row customHeight="1" ht="19.95">
      <c r="O65" s="821"/>
      <c r="S65" s="1537"/>
      <c r="T65" s="2569"/>
      <c r="U65" s="2569"/>
      <c r="V65" s="2569"/>
      <c r="W65" s="2569"/>
      <c r="X65" s="2569"/>
      <c r="Y65" s="2569"/>
      <c r="Z65" s="2569"/>
      <c r="AA65" s="2569"/>
      <c r="AB65" s="2569"/>
      <c r="AC65" s="2569"/>
      <c r="AD65" s="2569"/>
      <c r="AE65" s="2569"/>
      <c r="AF65" s="2569"/>
      <c r="AG65" s="2569"/>
      <c r="AH65" s="2569"/>
      <c r="AI65" s="2569"/>
      <c r="AJ65" s="2569"/>
      <c r="AK65" s="2569"/>
      <c r="AL65" s="2569"/>
      <c r="AM65" s="2569"/>
      <c r="AN65" s="2569"/>
      <c r="AO65" s="2569"/>
      <c r="AP65" s="2569"/>
      <c r="AQ65" s="2569"/>
      <c r="AR65" s="2569"/>
      <c r="AS65" s="2569"/>
      <c r="AT65" s="2569"/>
      <c r="AU65" s="2569"/>
      <c r="AV65" s="2569"/>
      <c r="AW65" s="2569"/>
      <c r="AX65" s="2569"/>
      <c r="AY65" s="2569"/>
      <c r="AZ65" s="2569"/>
      <c r="BA65" s="2569"/>
      <c r="BB65" s="2569"/>
      <c r="BC65" s="2569"/>
      <c r="BI65" s="1439">
        <v>19</v>
      </c>
    </row>
    <row customHeight="1" ht="14.699999999999998">
      <c r="O66" s="821"/>
      <c r="T66" s="1764"/>
      <c r="U66" s="1764"/>
      <c r="V66" s="1764"/>
      <c r="W66" s="1764"/>
      <c r="X66" s="1764"/>
      <c r="Y66" s="1764"/>
      <c r="Z66" s="1764"/>
      <c r="AA66" s="1764"/>
      <c r="AB66" s="1764"/>
      <c r="AC66" s="1764"/>
      <c r="AD66" s="1764"/>
      <c r="AE66" s="1764"/>
      <c r="AF66" s="1764"/>
      <c r="AG66" s="1764"/>
      <c r="AH66" s="1764"/>
      <c r="AI66" s="1764"/>
      <c r="AJ66" s="1764"/>
      <c r="AK66" s="1764"/>
      <c r="AL66" s="1764"/>
      <c r="AM66" s="1764"/>
      <c r="AN66" s="1764"/>
      <c r="AO66" s="1764"/>
      <c r="AP66" s="1764"/>
      <c r="AQ66" s="1764"/>
      <c r="AR66" s="1764"/>
      <c r="AS66" s="1764"/>
      <c r="AT66" s="1764"/>
      <c r="AU66" s="1764"/>
      <c r="AV66" s="1764"/>
      <c r="AW66" s="1764"/>
      <c r="AX66" s="1764"/>
      <c r="AY66" s="1764"/>
      <c r="AZ66" s="1764"/>
      <c r="BA66" s="1764"/>
      <c r="BB66" s="1764"/>
      <c r="BC66" s="1764"/>
      <c r="BI66" s="1439">
        <v>14</v>
      </c>
    </row>
    <row customHeight="1" ht="19.95">
      <c r="O67" s="821"/>
      <c r="S67" s="1537"/>
      <c r="T67" s="2569"/>
      <c r="U67" s="2569"/>
      <c r="V67" s="2569"/>
      <c r="W67" s="2569"/>
      <c r="X67" s="2569"/>
      <c r="Y67" s="2569"/>
      <c r="Z67" s="2569"/>
      <c r="AA67" s="2569"/>
      <c r="AB67" s="2569"/>
      <c r="AC67" s="2569"/>
      <c r="AD67" s="2569"/>
      <c r="AE67" s="2569"/>
      <c r="AF67" s="2569"/>
      <c r="AG67" s="2569"/>
      <c r="AH67" s="2569"/>
      <c r="AI67" s="2569"/>
      <c r="AJ67" s="2569"/>
      <c r="AK67" s="2569"/>
      <c r="AL67" s="2569"/>
      <c r="AM67" s="2569"/>
      <c r="AN67" s="2569"/>
      <c r="AO67" s="2569"/>
      <c r="AP67" s="2569"/>
      <c r="AQ67" s="2569"/>
      <c r="AR67" s="2569"/>
      <c r="AS67" s="2569"/>
      <c r="AT67" s="2569"/>
      <c r="AU67" s="2569"/>
      <c r="AV67" s="2569"/>
      <c r="AW67" s="2569"/>
      <c r="AX67" s="2569"/>
      <c r="AY67" s="2569"/>
      <c r="AZ67" s="2569"/>
      <c r="BA67" s="2569"/>
      <c r="BB67" s="2569"/>
      <c r="BC67" s="2569"/>
      <c r="BI67" s="1439">
        <v>19</v>
      </c>
    </row>
    <row customHeight="1" ht="14.699999999999998">
      <c r="O68" s="821"/>
      <c r="BI68" s="1439">
        <v>14</v>
      </c>
    </row>
    <row customHeight="1" ht="14.25" hidden="1">
      <c r="A69" s="1444" t="s">
        <v>83</v>
      </c>
      <c r="B69" s="1444">
        <v>0</v>
      </c>
      <c r="C69" s="1444">
        <v>0</v>
      </c>
      <c r="D69" s="1444">
        <v>0</v>
      </c>
      <c r="E69" s="1444">
        <v>0</v>
      </c>
      <c r="F69" s="1444">
        <v>0</v>
      </c>
      <c r="G69" s="1444">
        <v>0</v>
      </c>
      <c r="H69" s="1444">
        <v>0</v>
      </c>
      <c r="I69" s="1444">
        <v>0</v>
      </c>
      <c r="J69" s="1444">
        <v>0</v>
      </c>
      <c r="K69" s="1444">
        <v>0</v>
      </c>
      <c r="L69" s="1762">
        <v>0</v>
      </c>
      <c r="M69" s="1646">
        <v>0</v>
      </c>
      <c r="N69" s="1646">
        <v>0</v>
      </c>
      <c r="O69" s="1646">
        <v>0</v>
      </c>
      <c r="P69" s="1646">
        <v>0</v>
      </c>
      <c r="Q69" s="1655">
        <v>0</v>
      </c>
      <c r="R69" s="628">
        <v>3</v>
      </c>
      <c r="S69" s="865">
        <v>12</v>
      </c>
      <c r="T69" s="1439">
        <v>31</v>
      </c>
      <c r="U69" s="1439">
        <v>0</v>
      </c>
      <c r="V69" s="1439">
        <v>0</v>
      </c>
      <c r="W69" s="1439">
        <v>0</v>
      </c>
      <c r="X69" s="1439">
        <v>0</v>
      </c>
      <c r="Y69" s="1439">
        <v>0</v>
      </c>
      <c r="Z69" s="1439">
        <v>0</v>
      </c>
      <c r="AA69" s="1439">
        <v>0</v>
      </c>
      <c r="AB69" s="1439">
        <v>0</v>
      </c>
      <c r="AC69" s="1439">
        <v>0</v>
      </c>
      <c r="AD69" s="1439">
        <v>3</v>
      </c>
      <c r="AE69" s="1439">
        <v>3</v>
      </c>
      <c r="AF69" s="1439">
        <v>3</v>
      </c>
      <c r="AG69" s="1439">
        <v>24</v>
      </c>
      <c r="AH69" s="1439">
        <v>3</v>
      </c>
      <c r="AI69" s="1439">
        <v>3</v>
      </c>
      <c r="AJ69" s="1439">
        <v>3</v>
      </c>
      <c r="AK69" s="1439">
        <v>24</v>
      </c>
      <c r="AL69" s="1439">
        <v>3</v>
      </c>
      <c r="AM69" s="1439">
        <v>3</v>
      </c>
      <c r="AN69" s="1439">
        <v>3</v>
      </c>
      <c r="AO69" s="1439">
        <v>18</v>
      </c>
      <c r="AP69" s="1439">
        <v>3</v>
      </c>
      <c r="AQ69" s="1439">
        <v>3</v>
      </c>
      <c r="AR69" s="1439">
        <v>3</v>
      </c>
      <c r="AS69" s="1439">
        <v>18</v>
      </c>
      <c r="AT69" s="1439">
        <v>21</v>
      </c>
      <c r="AU69" s="1439">
        <v>21</v>
      </c>
      <c r="AV69" s="1439">
        <v>21</v>
      </c>
      <c r="AW69" s="1439">
        <v>21</v>
      </c>
      <c r="AX69" s="1439">
        <v>11</v>
      </c>
      <c r="AY69" s="1439">
        <v>3</v>
      </c>
      <c r="AZ69" s="1439">
        <v>11</v>
      </c>
      <c r="BA69" s="1439">
        <v>0</v>
      </c>
      <c r="BB69" s="1439">
        <v>4</v>
      </c>
      <c r="BC69" s="1439">
        <v>115</v>
      </c>
      <c r="BD69" s="795">
        <v>10</v>
      </c>
      <c r="BE69" s="795">
        <v>10</v>
      </c>
      <c r="BF69" s="795">
        <v>10</v>
      </c>
      <c r="BG69" s="795">
        <v>10</v>
      </c>
      <c r="BH69" s="795">
        <v>10</v>
      </c>
      <c r="BI69" s="1439">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E79C85B-B398-EB9A-BBA8-97B2FB0EA748}" mc:Ignorable="x14ac xr xr2 xr3">
  <sheetPr>
    <tabColor theme="9" tint="-0.25"/>
  </sheetPr>
  <dimension ref="A1:AF303"/>
  <sheetViews>
    <sheetView topLeftCell="A1" showGridLines="0" zoomScale="90" workbookViewId="0">
      <selection activeCell="A1" sqref="A1"/>
    </sheetView>
  </sheetViews>
  <sheetFormatPr defaultColWidth="9.140625" customHeight="1" defaultRowHeight="11.25"/>
  <cols>
    <col min="1" max="1" style="15501" width="10.7109375" hidden="1" customWidth="1"/>
    <col min="2" max="2" style="14157" width="16.8515625" hidden="1" customWidth="1"/>
    <col min="3" max="3" style="14158" width="5.57421875" hidden="1" customWidth="1"/>
    <col min="4" max="4" style="14077" width="3.00390625" customWidth="1"/>
    <col min="5" max="5" style="14077" width="7.00390625" customWidth="1"/>
    <col min="6" max="6" style="14077" width="54.00390625" customWidth="1"/>
    <col min="7" max="7" style="14077" width="10.00390625" customWidth="1"/>
    <col min="8" max="8" style="14077" width="40.7109375" hidden="1" customWidth="1"/>
    <col min="9" max="9" style="14077" width="40.7109375" customWidth="1"/>
    <col min="10" max="10" style="14077" width="102.00390625" customWidth="1"/>
    <col min="11" max="11" style="14157" width="9.00390625" customWidth="1"/>
    <col min="12" max="12" style="14158" width="5.00390625" customWidth="1"/>
    <col min="13" max="13" style="14158" width="3.00390625" customWidth="1"/>
    <col min="14" max="17" style="14157" width="3.00390625" customWidth="1"/>
    <col min="18" max="18" style="14158" width="10.00390625" customWidth="1"/>
    <col min="19" max="19" style="14157" width="34.00390625" customWidth="1"/>
    <col min="20" max="20" style="14157" width="9.00390625" customWidth="1"/>
    <col min="21" max="21" style="15502" width="8.00390625" customWidth="1"/>
    <col min="22" max="26" style="14157" width="8.00390625" customWidth="1"/>
    <col min="27" max="31" style="14041" width="8.00390625" customWidth="1"/>
    <col min="32" max="32" style="14077" width="9.140625" hidden="1"/>
  </cols>
  <sheetData>
    <row customHeight="1" ht="22.5" hidden="1">
      <c r="AF1" s="1915" t="s">
        <v>14</v>
      </c>
    </row>
    <row customHeight="1" ht="23.25" hidden="1">
      <c r="B2" s="2383"/>
      <c r="C2" s="1451" t="s">
        <v>553</v>
      </c>
      <c r="D2" s="1922"/>
      <c r="E2" s="830">
        <f>B2</f>
        <v>0</v>
      </c>
      <c r="F2" s="831"/>
      <c r="G2" s="1930" t="s">
        <v>554</v>
      </c>
      <c r="H2" s="1930" t="s">
        <v>554</v>
      </c>
      <c r="I2" s="1930" t="s">
        <v>554</v>
      </c>
      <c r="J2" s="573" t="s">
        <v>555</v>
      </c>
      <c r="K2" s="827"/>
      <c r="AF2" s="1915">
        <v>0</v>
      </c>
    </row>
    <row s="14158" customFormat="1" customHeight="1" ht="0.75" hidden="1">
      <c r="B3" s="2383"/>
      <c r="C3" s="1451"/>
      <c r="D3" s="832"/>
      <c r="E3" s="833"/>
      <c r="F3" s="834" t="s">
        <v>556</v>
      </c>
      <c r="G3" s="835"/>
      <c r="H3" s="835">
        <f>H4*H5+H7</f>
        <v>0</v>
      </c>
      <c r="I3" s="835">
        <f>I4*I5+I6</f>
        <v>0</v>
      </c>
      <c r="J3" s="836"/>
      <c r="AF3" s="1920">
        <v>0</v>
      </c>
    </row>
    <row customHeight="1" ht="23.25" hidden="1">
      <c r="B4" s="2383"/>
      <c r="C4" s="1451"/>
      <c r="D4" s="1922"/>
      <c r="E4" s="830" t="str">
        <f>B2&amp;".1"</f>
        <v>.1</v>
      </c>
      <c r="F4" s="837" t="s">
        <v>557</v>
      </c>
      <c r="G4" s="838"/>
      <c r="H4" s="825"/>
      <c r="I4" s="825"/>
      <c r="J4" s="573" t="s">
        <v>558</v>
      </c>
      <c r="K4" s="827"/>
      <c r="AF4" s="1915">
        <v>0</v>
      </c>
    </row>
    <row customHeight="1" ht="18.75" hidden="1">
      <c r="B5" s="2383"/>
      <c r="C5" s="1451"/>
      <c r="D5" s="1922"/>
      <c r="E5" s="830" t="str">
        <f>B2&amp;".2"</f>
        <v>.2</v>
      </c>
      <c r="F5" s="837" t="s">
        <v>559</v>
      </c>
      <c r="G5" s="1930" t="s">
        <v>560</v>
      </c>
      <c r="H5" s="825"/>
      <c r="I5" s="825"/>
      <c r="J5" s="573"/>
      <c r="K5" s="827"/>
      <c r="AF5" s="1915">
        <v>0</v>
      </c>
    </row>
    <row customHeight="1" ht="18.75" hidden="1">
      <c r="B6" s="2383"/>
      <c r="C6" s="1451"/>
      <c r="D6" s="1922"/>
      <c r="E6" s="830" t="str">
        <f>B2&amp;".3"</f>
        <v>.3</v>
      </c>
      <c r="F6" s="837" t="s">
        <v>561</v>
      </c>
      <c r="G6" s="1930" t="s">
        <v>560</v>
      </c>
      <c r="H6" s="825"/>
      <c r="I6" s="825"/>
      <c r="J6" s="573"/>
      <c r="K6" s="827"/>
      <c r="AF6" s="1915">
        <v>0</v>
      </c>
    </row>
    <row customHeight="1" ht="18.75" hidden="1">
      <c r="B7" s="2383"/>
      <c r="C7" s="1451"/>
      <c r="D7" s="1922"/>
      <c r="E7" s="830" t="str">
        <f>B2&amp;".4"</f>
        <v>.4</v>
      </c>
      <c r="F7" s="837" t="s">
        <v>562</v>
      </c>
      <c r="G7" s="1930" t="s">
        <v>554</v>
      </c>
      <c r="H7" s="839"/>
      <c r="I7" s="839"/>
      <c r="J7" s="573"/>
      <c r="K7" s="827"/>
      <c r="AF7" s="1915">
        <v>0</v>
      </c>
    </row>
    <row s="14157" customFormat="1" customHeight="1" ht="11.25" hidden="1">
      <c r="A8" s="1271"/>
      <c r="C8" s="1920"/>
      <c r="D8" s="821"/>
      <c r="H8" s="1444">
        <v>4</v>
      </c>
      <c r="I8" s="1444">
        <v>4</v>
      </c>
      <c r="L8" s="1920"/>
      <c r="M8" s="1920"/>
      <c r="R8" s="1920"/>
      <c r="AF8" s="1444">
        <v>0</v>
      </c>
    </row>
    <row s="14157" customFormat="1" customHeight="1" ht="22.5" hidden="1">
      <c r="A9" s="1271"/>
      <c r="C9" s="1920"/>
      <c r="D9" s="822"/>
      <c r="E9" s="1932"/>
      <c r="F9" s="824"/>
      <c r="G9" s="1930" t="s">
        <v>560</v>
      </c>
      <c r="H9" s="825"/>
      <c r="I9" s="825"/>
      <c r="J9" s="826" t="s">
        <v>563</v>
      </c>
      <c r="K9" s="827"/>
      <c r="L9" s="1920"/>
      <c r="M9" s="1920"/>
      <c r="R9" s="1920"/>
      <c r="U9" s="828"/>
      <c r="AA9" s="1916"/>
      <c r="AB9" s="1916"/>
      <c r="AC9" s="1916"/>
      <c r="AD9" s="1916"/>
      <c r="AE9" s="1916"/>
      <c r="AF9" s="1444">
        <v>0</v>
      </c>
    </row>
    <row customHeight="1" ht="11.25" hidden="1">
      <c r="AF10" s="1915">
        <v>0</v>
      </c>
    </row>
    <row customHeight="1" ht="18.75" hidden="1">
      <c r="D11" s="1922"/>
      <c r="E11" s="830"/>
      <c r="F11" s="824"/>
      <c r="G11" s="1930" t="s">
        <v>564</v>
      </c>
      <c r="H11" s="825"/>
      <c r="I11" s="825"/>
      <c r="J11" s="573" t="s">
        <v>565</v>
      </c>
      <c r="K11" s="827"/>
      <c r="AF11" s="1915">
        <v>0</v>
      </c>
    </row>
    <row customHeight="1" ht="11.25" hidden="1">
      <c r="AF12" s="1915">
        <v>0</v>
      </c>
    </row>
    <row customHeight="1" ht="22.5" hidden="1">
      <c r="D13" s="1922"/>
      <c r="E13" s="830"/>
      <c r="F13" s="824"/>
      <c r="G13" s="1253" t="s">
        <v>566</v>
      </c>
      <c r="H13" s="829"/>
      <c r="I13" s="829"/>
      <c r="J13" s="1029" t="s">
        <v>567</v>
      </c>
      <c r="K13" s="827"/>
      <c r="AF13" s="1915">
        <v>0</v>
      </c>
    </row>
    <row customHeight="1" ht="11.25" hidden="1">
      <c r="AF14" s="1915">
        <v>0</v>
      </c>
    </row>
    <row customHeight="1" ht="22.5" hidden="1">
      <c r="D15" s="1922"/>
      <c r="E15" s="830"/>
      <c r="F15" s="824"/>
      <c r="G15" s="1930" t="s">
        <v>568</v>
      </c>
      <c r="H15" s="829"/>
      <c r="I15" s="829"/>
      <c r="J15" s="573" t="s">
        <v>569</v>
      </c>
      <c r="K15" s="827"/>
      <c r="AF15" s="1915">
        <v>0</v>
      </c>
    </row>
    <row customHeight="1" ht="11.25" hidden="1">
      <c r="AF16" s="1915">
        <v>0</v>
      </c>
    </row>
    <row customHeight="1" ht="22.5" hidden="1">
      <c r="D17" s="1922"/>
      <c r="E17" s="830"/>
      <c r="F17" s="824"/>
      <c r="G17" s="1930" t="s">
        <v>570</v>
      </c>
      <c r="H17" s="829"/>
      <c r="I17" s="829"/>
      <c r="J17" s="573" t="s">
        <v>571</v>
      </c>
      <c r="K17" s="827"/>
      <c r="AF17" s="1915">
        <v>0</v>
      </c>
    </row>
    <row customHeight="1" ht="11.25" hidden="1">
      <c r="AF18" s="1915">
        <v>0</v>
      </c>
    </row>
    <row s="14041" customFormat="1" customHeight="1" ht="11.25" hidden="1">
      <c r="A19" s="1271"/>
      <c r="B19" s="1444"/>
      <c r="C19" s="1920"/>
      <c r="D19" s="646"/>
      <c r="J19" s="1916">
        <v>4</v>
      </c>
      <c r="K19" s="1444"/>
      <c r="L19" s="1920"/>
      <c r="M19" s="1920"/>
      <c r="N19" s="1444"/>
      <c r="O19" s="1444"/>
      <c r="P19" s="1444"/>
      <c r="Q19" s="1444"/>
      <c r="R19" s="1920"/>
      <c r="S19" s="1444"/>
      <c r="T19" s="1444"/>
      <c r="U19" s="828"/>
      <c r="V19" s="1444"/>
      <c r="W19" s="1444"/>
      <c r="X19" s="1444"/>
      <c r="Y19" s="1444"/>
      <c r="Z19" s="1444"/>
      <c r="AF19" s="1916">
        <v>0</v>
      </c>
    </row>
    <row customHeight="1" ht="11.549999999999999">
      <c r="AF20" s="1915">
        <v>11</v>
      </c>
    </row>
    <row customHeight="1" ht="25.2">
      <c r="E21" s="2532" t="str">
        <f>FHD_NAME_FORM</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F21" s="2532"/>
      <c r="G21" s="2532"/>
      <c r="H21" s="2532"/>
      <c r="I21" s="2532"/>
      <c r="J21" s="840"/>
      <c r="AF21" s="1915">
        <v>24</v>
      </c>
    </row>
    <row customHeight="1" ht="25.2">
      <c r="E22" s="2533" t="str">
        <f>IF(org=0,"Не определено",org)</f>
        <v>МУП г. Азова "Теплоэнерго"</v>
      </c>
      <c r="F22" s="2533"/>
      <c r="G22" s="2533"/>
      <c r="H22" s="2533"/>
      <c r="I22" s="2533"/>
      <c r="AF22" s="1915">
        <v>24</v>
      </c>
    </row>
    <row customHeight="1" ht="11.549999999999999">
      <c r="E23" s="1419"/>
      <c r="F23" s="1419"/>
      <c r="G23" s="1419"/>
      <c r="H23" s="1419"/>
      <c r="I23" s="1419"/>
      <c r="AF23" s="1915">
        <v>11</v>
      </c>
    </row>
    <row s="14158" customFormat="1" customHeight="1" ht="1.05">
      <c r="A24" s="1451"/>
      <c r="D24" s="1926"/>
      <c r="H24" s="1173"/>
      <c r="I24" s="1173" t="s">
        <v>118</v>
      </c>
      <c r="AF24" s="1920">
        <v>1</v>
      </c>
    </row>
    <row customHeight="1" ht="11.549999999999999">
      <c r="E25" s="995"/>
      <c r="F25" s="2651" t="s">
        <v>106</v>
      </c>
      <c r="G25" s="2652"/>
      <c r="H25" s="1936" t="str">
        <f>IF(H24="","",INDEX(DIFFERENTIATION_UNMERGE_VD,MATCH(H24,DIFFERENTIATION_ID_DIFF,0)))</f>
        <v/>
      </c>
      <c r="I25" s="1936">
        <f>IF(I24="","",INDEX(DIFFERENTIATION_UNMERGE_VD,MATCH(I24,DIFFERENTIATION_ID_DIFF,0)))</f>
        <v>0</v>
      </c>
      <c r="J25" s="2411"/>
      <c r="AF25" s="1915">
        <v>11</v>
      </c>
    </row>
    <row customHeight="1" ht="11.549999999999999">
      <c r="E26" s="995"/>
      <c r="F26" s="2651" t="s">
        <v>572</v>
      </c>
      <c r="G26" s="2652"/>
      <c r="H26" s="1936" t="str">
        <f>IF(H24="","",INDEX(DIFFERENTIATION_UNMERGE_AREA,MATCH(H24,DIFFERENTIATION_ID_DIFF,0)))</f>
        <v/>
      </c>
      <c r="I26" s="1936" t="str">
        <f>IF(I24="","",INDEX(DIFFERENTIATION_UNMERGE_AREA,MATCH(I24,DIFFERENTIATION_ID_DIFF,0)))</f>
        <v/>
      </c>
      <c r="J26" s="2411"/>
      <c r="AF26" s="1915">
        <v>11</v>
      </c>
    </row>
    <row customHeight="1" ht="11.549999999999999">
      <c r="E27" s="995"/>
      <c r="F27" s="2651" t="s">
        <v>573</v>
      </c>
      <c r="G27" s="2652"/>
      <c r="H27" s="1936" t="str">
        <f>IF(H24="","",INDEX(DIFFERENTIATION_UNMERGE_SYSTEM,MATCH(H24,DIFFERENTIATION_ID_DIFF,0)))</f>
        <v/>
      </c>
      <c r="I27" s="1936" t="str">
        <f>IF(I24="","",INDEX(DIFFERENTIATION_UNMERGE_SYSTEM,MATCH(I24,DIFFERENTIATION_ID_DIFF,0)))</f>
        <v>без дифференциации</v>
      </c>
      <c r="J27" s="2411"/>
      <c r="AF27" s="1915">
        <v>11</v>
      </c>
    </row>
    <row customHeight="1" ht="11.549999999999999">
      <c r="E28" s="2653" t="s">
        <v>305</v>
      </c>
      <c r="F28" s="2654"/>
      <c r="G28" s="2654"/>
      <c r="H28" s="1929"/>
      <c r="I28" s="1929"/>
      <c r="J28" s="2411"/>
      <c r="AF28" s="1915">
        <v>11</v>
      </c>
    </row>
    <row customHeight="1" ht="24">
      <c r="E29" s="1930" t="s">
        <v>89</v>
      </c>
      <c r="F29" s="1937" t="s">
        <v>307</v>
      </c>
      <c r="G29" s="1937" t="s">
        <v>574</v>
      </c>
      <c r="H29" s="1937" t="s">
        <v>308</v>
      </c>
      <c r="I29" s="1937" t="s">
        <v>308</v>
      </c>
      <c r="J29" s="2411"/>
      <c r="AF29" s="1915">
        <v>23</v>
      </c>
    </row>
    <row customHeight="1" ht="19.95">
      <c r="D30" s="1922"/>
      <c r="E30" s="830">
        <f>FHD_NUM_P_1</f>
        <v>1</v>
      </c>
      <c r="F30" s="2164" t="str">
        <f>FHD_P_1</f>
        <v>Выручка от регулируемого вида деятельности с распределением по видам деятельности</v>
      </c>
      <c r="G30" s="2162" t="s">
        <v>560</v>
      </c>
      <c r="H30" s="841"/>
      <c r="I30" s="841"/>
      <c r="J30" s="573" t="str">
        <f>FHD_NOTE_P_1</f>
        <v>Указывается выручка от регулируемого вида деятельности с распределением по видам деятельности.</v>
      </c>
      <c r="K30" s="827"/>
      <c r="AF30" s="1915">
        <v>19</v>
      </c>
    </row>
    <row customHeight="1" ht="11.549999999999999">
      <c r="D31" s="1922"/>
      <c r="E31" s="830">
        <f>FHD_NUM_P_2</f>
        <v>2</v>
      </c>
      <c r="F31" s="2164" t="str">
        <f>FHD_P_2</f>
        <v>Себестоимость производимых товаров (оказываемых услуг) по регулируемому виду деятельности, включая:</v>
      </c>
      <c r="G31" s="2162" t="s">
        <v>560</v>
      </c>
      <c r="H31" s="842">
        <f>SUMIF($K33:$K71,$K31,H33:H71)</f>
        <v>0</v>
      </c>
      <c r="I31" s="842">
        <f>SUMIF($K33:$K71,$K31,I33:I71)</f>
        <v>0</v>
      </c>
      <c r="J31" s="573" t="str">
        <f>FHD_NOTE_P_2</f>
        <v>Указывается суммарная себестоимость производимых товаров.</v>
      </c>
      <c r="K31" s="1920" t="s">
        <v>575</v>
      </c>
      <c r="AF31" s="1915">
        <v>11</v>
      </c>
    </row>
    <row customHeight="1" ht="11.549999999999999">
      <c r="D32" s="1922"/>
      <c r="E32" s="830" t="str">
        <f>FHD_NUM_P_3</f>
        <v>2.1</v>
      </c>
      <c r="F32" s="1808" t="str">
        <f>FHD_P_3</f>
        <v>Расходы на приобретаемую тепловую энергию (мощность), теплоноситель</v>
      </c>
      <c r="G32" s="2162" t="s">
        <v>560</v>
      </c>
      <c r="H32" s="841"/>
      <c r="I32" s="841"/>
      <c r="J32" s="573" t="str">
        <f>FHD_NOTE_P_3</f>
        <v/>
      </c>
      <c r="K32" s="1920" t="str">
        <f>IF((LEN(E32)-LEN(SUBSTITUTE(E32,".","")))/LEN(".")=1,"p","")</f>
        <v>p</v>
      </c>
      <c r="AF32" s="1915">
        <v>11</v>
      </c>
    </row>
    <row customHeight="1" ht="11.25">
      <c r="A33" s="2655" t="s">
        <v>576</v>
      </c>
      <c r="D33" s="1922"/>
      <c r="E33" s="830" t="str">
        <f>FHD_NUM_P_4</f>
        <v>2.2</v>
      </c>
      <c r="F33" s="1808" t="str">
        <f>FHD_P_4</f>
        <v>Расходы на топливо с указанием по каждому виду топлива стоимости (за единицу объема), объема и способа его приобретения, стоимости его доставки</v>
      </c>
      <c r="G33" s="2162" t="s">
        <v>560</v>
      </c>
      <c r="H33" s="842">
        <f>SUMIF($F34:$F40,$F3,H34:H40)</f>
        <v>0</v>
      </c>
      <c r="I33" s="842">
        <f>SUMIF($F34:$F40,$F3,I34:I40)</f>
        <v>0</v>
      </c>
      <c r="J33" s="573" t="str">
        <f>FHD_NOTE_P_4</f>
        <v>Указываются суммарные расходы на приобретение топлива всех видов.</v>
      </c>
      <c r="K33" s="1920" t="str">
        <f>IF((LEN(E33)-LEN(SUBSTITUTE(E33,".","")))/LEN(".")=1,"p","")</f>
        <v>p</v>
      </c>
      <c r="AF33" s="1915">
        <v>0</v>
      </c>
    </row>
    <row s="14730" customFormat="1" customHeight="1" ht="0.75">
      <c r="A34" s="2655"/>
      <c r="B34" s="2656" t="str">
        <f>E33&amp;".0"</f>
        <v>2.2.0</v>
      </c>
      <c r="C34" s="1451"/>
      <c r="D34" s="844"/>
      <c r="E34" s="845"/>
      <c r="F34" s="846"/>
      <c r="G34" s="847"/>
      <c r="H34" s="781"/>
      <c r="I34" s="781"/>
      <c r="J34" s="848"/>
      <c r="K34" s="1920" t="str">
        <f>IF((LEN(E34)-LEN(SUBSTITUTE(E34,".","")))/LEN(".")=1,"p","")</f>
        <v/>
      </c>
      <c r="L34" s="1920"/>
      <c r="M34" s="1920"/>
      <c r="N34" s="1920"/>
      <c r="O34" s="1920"/>
      <c r="P34" s="1920"/>
      <c r="Q34" s="1920"/>
      <c r="R34" s="1920"/>
      <c r="S34" s="1920"/>
      <c r="T34" s="1920"/>
      <c r="U34" s="849"/>
      <c r="V34" s="1920"/>
      <c r="W34" s="1920"/>
      <c r="X34" s="1920"/>
      <c r="Y34" s="1920"/>
      <c r="Z34" s="1920"/>
      <c r="AA34" s="850"/>
      <c r="AB34" s="850"/>
      <c r="AC34" s="850"/>
      <c r="AD34" s="850"/>
      <c r="AE34" s="850"/>
      <c r="AF34" s="1925">
        <v>0</v>
      </c>
    </row>
    <row s="14730" customFormat="1" customHeight="1" ht="0.75">
      <c r="A35" s="2655"/>
      <c r="B35" s="2656"/>
      <c r="C35" s="1451"/>
      <c r="D35" s="844"/>
      <c r="E35" s="851"/>
      <c r="F35" s="852"/>
      <c r="G35" s="847"/>
      <c r="H35" s="853"/>
      <c r="I35" s="853"/>
      <c r="J35" s="848"/>
      <c r="K35" s="1920" t="str">
        <f>IF((LEN(E35)-LEN(SUBSTITUTE(E35,".","")))/LEN(".")=1,"p","")</f>
        <v/>
      </c>
      <c r="L35" s="1920"/>
      <c r="M35" s="1920"/>
      <c r="N35" s="1920"/>
      <c r="O35" s="1920"/>
      <c r="P35" s="1920"/>
      <c r="Q35" s="1920"/>
      <c r="R35" s="1920"/>
      <c r="S35" s="1920"/>
      <c r="T35" s="1920"/>
      <c r="U35" s="849"/>
      <c r="V35" s="1920"/>
      <c r="W35" s="1920"/>
      <c r="X35" s="1920"/>
      <c r="Y35" s="1920"/>
      <c r="Z35" s="1920"/>
      <c r="AA35" s="850"/>
      <c r="AB35" s="850"/>
      <c r="AC35" s="850"/>
      <c r="AD35" s="850"/>
      <c r="AE35" s="850"/>
      <c r="AF35" s="1925">
        <v>0</v>
      </c>
    </row>
    <row s="14730" customFormat="1" customHeight="1" ht="0.75">
      <c r="A36" s="2655"/>
      <c r="B36" s="2656"/>
      <c r="C36" s="1451"/>
      <c r="D36" s="844"/>
      <c r="E36" s="851"/>
      <c r="F36" s="852"/>
      <c r="G36" s="847"/>
      <c r="H36" s="853"/>
      <c r="I36" s="853"/>
      <c r="J36" s="848"/>
      <c r="K36" s="1920" t="str">
        <f>IF((LEN(E36)-LEN(SUBSTITUTE(E36,".","")))/LEN(".")=1,"p","")</f>
        <v/>
      </c>
      <c r="L36" s="1920"/>
      <c r="M36" s="1920"/>
      <c r="N36" s="1920"/>
      <c r="O36" s="1920"/>
      <c r="P36" s="1920"/>
      <c r="Q36" s="1920"/>
      <c r="R36" s="1920"/>
      <c r="S36" s="1920"/>
      <c r="T36" s="1920"/>
      <c r="U36" s="849"/>
      <c r="V36" s="1920"/>
      <c r="W36" s="1920"/>
      <c r="X36" s="1920"/>
      <c r="Y36" s="1920"/>
      <c r="Z36" s="1920"/>
      <c r="AA36" s="850"/>
      <c r="AB36" s="850"/>
      <c r="AC36" s="850"/>
      <c r="AD36" s="850"/>
      <c r="AE36" s="850"/>
      <c r="AF36" s="1925">
        <v>0</v>
      </c>
    </row>
    <row s="14730" customFormat="1" customHeight="1" ht="0.75">
      <c r="A37" s="2655"/>
      <c r="B37" s="2656"/>
      <c r="C37" s="1451"/>
      <c r="D37" s="844"/>
      <c r="E37" s="851"/>
      <c r="F37" s="852"/>
      <c r="G37" s="847"/>
      <c r="H37" s="853"/>
      <c r="I37" s="853"/>
      <c r="J37" s="848"/>
      <c r="K37" s="1920" t="str">
        <f>IF((LEN(E37)-LEN(SUBSTITUTE(E37,".","")))/LEN(".")=1,"p","")</f>
        <v/>
      </c>
      <c r="L37" s="1920"/>
      <c r="M37" s="1920"/>
      <c r="N37" s="1920"/>
      <c r="O37" s="1920"/>
      <c r="P37" s="1920"/>
      <c r="Q37" s="1920"/>
      <c r="R37" s="1920"/>
      <c r="S37" s="1920"/>
      <c r="T37" s="1920"/>
      <c r="U37" s="849"/>
      <c r="V37" s="1920"/>
      <c r="W37" s="1920"/>
      <c r="X37" s="1920"/>
      <c r="Y37" s="1920"/>
      <c r="Z37" s="1920"/>
      <c r="AA37" s="850"/>
      <c r="AB37" s="850"/>
      <c r="AC37" s="850"/>
      <c r="AD37" s="850"/>
      <c r="AE37" s="850"/>
      <c r="AF37" s="1925">
        <v>0</v>
      </c>
    </row>
    <row s="14730" customFormat="1" customHeight="1" ht="0.75">
      <c r="A38" s="2655"/>
      <c r="B38" s="2656"/>
      <c r="C38" s="1451"/>
      <c r="D38" s="844"/>
      <c r="E38" s="851"/>
      <c r="F38" s="852"/>
      <c r="G38" s="847"/>
      <c r="H38" s="853"/>
      <c r="I38" s="853"/>
      <c r="J38" s="848"/>
      <c r="K38" s="1920" t="str">
        <f>IF((LEN(E38)-LEN(SUBSTITUTE(E38,".","")))/LEN(".")=1,"p","")</f>
        <v/>
      </c>
      <c r="L38" s="1920"/>
      <c r="M38" s="1920"/>
      <c r="N38" s="1920"/>
      <c r="O38" s="1920"/>
      <c r="P38" s="1920"/>
      <c r="Q38" s="1920"/>
      <c r="R38" s="1920"/>
      <c r="S38" s="1920"/>
      <c r="T38" s="1920"/>
      <c r="U38" s="849"/>
      <c r="V38" s="1920"/>
      <c r="W38" s="1920"/>
      <c r="X38" s="1920"/>
      <c r="Y38" s="1920"/>
      <c r="Z38" s="1920"/>
      <c r="AA38" s="850"/>
      <c r="AB38" s="850"/>
      <c r="AC38" s="850"/>
      <c r="AD38" s="850"/>
      <c r="AE38" s="850"/>
      <c r="AF38" s="1925">
        <v>0</v>
      </c>
    </row>
    <row s="14730" customFormat="1" customHeight="1" ht="0.75">
      <c r="A39" s="2655"/>
      <c r="B39" s="2656"/>
      <c r="C39" s="1451"/>
      <c r="D39" s="844"/>
      <c r="E39" s="851"/>
      <c r="F39" s="852"/>
      <c r="G39" s="847"/>
      <c r="H39" s="781"/>
      <c r="I39" s="781"/>
      <c r="J39" s="848"/>
      <c r="K39" s="1920" t="str">
        <f>IF((LEN(E39)-LEN(SUBSTITUTE(E39,".","")))/LEN(".")=1,"p","")</f>
        <v/>
      </c>
      <c r="L39" s="1920"/>
      <c r="M39" s="1920"/>
      <c r="N39" s="1920"/>
      <c r="O39" s="1920"/>
      <c r="P39" s="1920"/>
      <c r="Q39" s="1920"/>
      <c r="R39" s="1920"/>
      <c r="S39" s="1920"/>
      <c r="T39" s="1920"/>
      <c r="U39" s="849"/>
      <c r="V39" s="1920"/>
      <c r="W39" s="1920"/>
      <c r="X39" s="1920"/>
      <c r="Y39" s="1920"/>
      <c r="Z39" s="1920"/>
      <c r="AA39" s="850"/>
      <c r="AB39" s="850"/>
      <c r="AC39" s="850"/>
      <c r="AD39" s="850"/>
      <c r="AE39" s="850"/>
      <c r="AF39" s="1925">
        <v>0</v>
      </c>
    </row>
    <row s="14157" customFormat="1" customHeight="1" ht="15">
      <c r="A40" s="2655"/>
      <c r="C40" s="1920"/>
      <c r="D40" s="1917"/>
      <c r="E40" s="854"/>
      <c r="F40" s="855" t="s">
        <v>577</v>
      </c>
      <c r="G40" s="856"/>
      <c r="H40" s="857"/>
      <c r="I40" s="857"/>
      <c r="J40" s="585"/>
      <c r="K40" s="1920" t="str">
        <f>IF((LEN(E40)-LEN(SUBSTITUTE(E40,".","")))/LEN(".")=1,"p","")</f>
        <v/>
      </c>
      <c r="L40" s="1920"/>
      <c r="M40" s="1920"/>
      <c r="R40" s="1920"/>
      <c r="U40" s="828"/>
      <c r="AA40" s="1916"/>
      <c r="AB40" s="1916"/>
      <c r="AC40" s="1916"/>
      <c r="AD40" s="1916"/>
      <c r="AE40" s="1916"/>
      <c r="AF40" s="1444">
        <v>0</v>
      </c>
    </row>
    <row customHeight="1" ht="11.25" hidden="1">
      <c r="A41" s="2655" t="s">
        <v>578</v>
      </c>
      <c r="D41" s="1922"/>
      <c r="E41" s="830" t="str">
        <f>FHD_NUM_P_5</f>
        <v/>
      </c>
      <c r="F41" s="1808" t="str">
        <f>FHD_P_5</f>
        <v/>
      </c>
      <c r="G41" s="2162" t="s">
        <v>560</v>
      </c>
      <c r="H41" s="841"/>
      <c r="I41" s="841"/>
      <c r="J41" s="573" t="str">
        <f>FHD_NOTE_P_5</f>
        <v/>
      </c>
      <c r="K41" s="1920" t="str">
        <f>IF((LEN(E41)-LEN(SUBSTITUTE(E41,".","")))/LEN(".")=1,"p","")</f>
        <v/>
      </c>
      <c r="AF41" s="1915">
        <v>0</v>
      </c>
    </row>
    <row customHeight="1" ht="11.25" hidden="1">
      <c r="A42" s="2655"/>
      <c r="D42" s="1922"/>
      <c r="E42" s="830" t="str">
        <f>FHD_NUM_P_6</f>
        <v/>
      </c>
      <c r="F42" s="1808" t="str">
        <f>FHD_P_6</f>
        <v/>
      </c>
      <c r="G42" s="2162" t="s">
        <v>560</v>
      </c>
      <c r="H42" s="841"/>
      <c r="I42" s="841"/>
      <c r="J42" s="573" t="str">
        <f>FHD_NOTE_P_6</f>
        <v/>
      </c>
      <c r="K42" s="1920" t="str">
        <f>IF((LEN(E42)-LEN(SUBSTITUTE(E42,".","")))/LEN(".")=1,"p","")</f>
        <v/>
      </c>
      <c r="AF42" s="1915">
        <v>0</v>
      </c>
    </row>
    <row customHeight="1" ht="11.25" hidden="1">
      <c r="A43" s="2655"/>
      <c r="D43" s="1922"/>
      <c r="E43" s="830" t="str">
        <f>FHD_NUM_P_7</f>
        <v/>
      </c>
      <c r="F43" s="1808" t="str">
        <f>FHD_P_7</f>
        <v/>
      </c>
      <c r="G43" s="2162" t="s">
        <v>560</v>
      </c>
      <c r="H43" s="841"/>
      <c r="I43" s="841"/>
      <c r="J43" s="573" t="str">
        <f>FHD_NOTE_P_7</f>
        <v/>
      </c>
      <c r="K43" s="1920" t="str">
        <f>IF((LEN(E43)-LEN(SUBSTITUTE(E43,".","")))/LEN(".")=1,"p","")</f>
        <v/>
      </c>
      <c r="AF43" s="1915">
        <v>0</v>
      </c>
    </row>
    <row customHeight="1" ht="11.549999999999999">
      <c r="D44" s="1922"/>
      <c r="E44" s="830" t="str">
        <f>FHD_NUM_P_8</f>
        <v>2.3</v>
      </c>
      <c r="F44" s="1808" t="str">
        <f>FHD_P_8</f>
        <v>Расходы на приобретаемую электрическую энергию (мощность), используемую в технологическом процессе</v>
      </c>
      <c r="G44" s="2162" t="s">
        <v>560</v>
      </c>
      <c r="H44" s="841"/>
      <c r="I44" s="841"/>
      <c r="J44" s="573" t="str">
        <f>FHD_NOTE_P_8</f>
        <v/>
      </c>
      <c r="K44" s="1920" t="str">
        <f>IF((LEN(E44)-LEN(SUBSTITUTE(E44,".","")))/LEN(".")=1,"p","")</f>
        <v>p</v>
      </c>
      <c r="AF44" s="1915">
        <v>11</v>
      </c>
    </row>
    <row customHeight="1" ht="11.549999999999999">
      <c r="D45" s="1922"/>
      <c r="E45" s="830" t="str">
        <f>FHD_NUM_P_9</f>
        <v>2.3.1</v>
      </c>
      <c r="F45" s="1934" t="str">
        <f>FHD_P_9</f>
        <v>Средневзвешенная стоимость 1 кВт.ч (с учетом мощности)</v>
      </c>
      <c r="G45" s="2162" t="s">
        <v>579</v>
      </c>
      <c r="H45" s="841"/>
      <c r="I45" s="841"/>
      <c r="J45" s="573" t="str">
        <f>FHD_NOTE_P_9</f>
        <v/>
      </c>
      <c r="K45" s="1920" t="str">
        <f>IF((LEN(E45)-LEN(SUBSTITUTE(E45,".","")))/LEN(".")=1,"p","")</f>
        <v/>
      </c>
      <c r="AF45" s="1915">
        <v>11</v>
      </c>
    </row>
    <row s="14157" customFormat="1" customHeight="1" ht="11.549999999999999">
      <c r="A46" s="1271"/>
      <c r="C46" s="1920"/>
      <c r="D46" s="858"/>
      <c r="E46" s="830" t="str">
        <f>FHD_NUM_P_10</f>
        <v>2.3.2</v>
      </c>
      <c r="F46" s="1934" t="str">
        <f>FHD_P_10</f>
        <v>Объём приобретения электрической энергии</v>
      </c>
      <c r="G46" s="2162" t="s">
        <v>580</v>
      </c>
      <c r="H46" s="841"/>
      <c r="I46" s="841"/>
      <c r="J46" s="573" t="str">
        <f>FHD_NOTE_P_10</f>
        <v/>
      </c>
      <c r="K46" s="1920" t="str">
        <f>IF((LEN(E46)-LEN(SUBSTITUTE(E46,".","")))/LEN(".")=1,"p","")</f>
        <v/>
      </c>
      <c r="L46" s="1920"/>
      <c r="M46" s="1920"/>
      <c r="R46" s="1920"/>
      <c r="U46" s="828"/>
      <c r="AA46" s="1916"/>
      <c r="AB46" s="1916"/>
      <c r="AC46" s="1916"/>
      <c r="AD46" s="1916"/>
      <c r="AE46" s="1916"/>
      <c r="AF46" s="1444">
        <v>11</v>
      </c>
    </row>
    <row s="14157" customFormat="1" customHeight="1" ht="11.25">
      <c r="A47" s="1273" t="s">
        <v>581</v>
      </c>
      <c r="C47" s="1920"/>
      <c r="D47" s="859"/>
      <c r="E47" s="830" t="str">
        <f>FHD_NUM_P_11</f>
        <v>2.4</v>
      </c>
      <c r="F47" s="1808" t="str">
        <f>FHD_P_11</f>
        <v>Расходы на приобретение холодной воды, используемой в технологическом процессе</v>
      </c>
      <c r="G47" s="2162" t="s">
        <v>560</v>
      </c>
      <c r="H47" s="841"/>
      <c r="I47" s="841"/>
      <c r="J47" s="573" t="str">
        <f>FHD_NOTE_P_11</f>
        <v/>
      </c>
      <c r="K47" s="1920" t="str">
        <f>IF((LEN(E47)-LEN(SUBSTITUTE(E47,".","")))/LEN(".")=1,"p","")</f>
        <v>p</v>
      </c>
      <c r="L47" s="1920"/>
      <c r="M47" s="1920"/>
      <c r="R47" s="1920"/>
      <c r="U47" s="828"/>
      <c r="AA47" s="1916"/>
      <c r="AB47" s="1916"/>
      <c r="AC47" s="1916"/>
      <c r="AD47" s="1916"/>
      <c r="AE47" s="1916"/>
      <c r="AF47" s="1444">
        <v>0</v>
      </c>
    </row>
    <row s="14157" customFormat="1" customHeight="1" ht="18.75">
      <c r="A48" s="1273" t="s">
        <v>582</v>
      </c>
      <c r="C48" s="1920"/>
      <c r="D48" s="1922"/>
      <c r="E48" s="830" t="str">
        <f>FHD_NUM_P_12</f>
        <v>2.5</v>
      </c>
      <c r="F48" s="1808" t="str">
        <f>FHD_P_12</f>
        <v>Расходы на  химические реагенты, используемые в технологическом процессе</v>
      </c>
      <c r="G48" s="2162" t="s">
        <v>560</v>
      </c>
      <c r="H48" s="861"/>
      <c r="I48" s="861"/>
      <c r="J48" s="573" t="str">
        <f>FHD_NOTE_P_12</f>
        <v/>
      </c>
      <c r="K48" s="1920" t="str">
        <f>IF((LEN(E48)-LEN(SUBSTITUTE(E48,".","")))/LEN(".")=1,"p","")</f>
        <v>p</v>
      </c>
      <c r="L48" s="1920"/>
      <c r="M48" s="1920"/>
      <c r="R48" s="1920"/>
      <c r="U48" s="828"/>
      <c r="AA48" s="1916"/>
      <c r="AB48" s="1916"/>
      <c r="AC48" s="1916"/>
      <c r="AD48" s="1916"/>
      <c r="AE48" s="1916"/>
      <c r="AF48" s="1444">
        <v>18</v>
      </c>
    </row>
    <row s="15440" customFormat="1" customHeight="1" ht="11.549999999999999">
      <c r="A49" s="1272"/>
      <c r="C49" s="1014"/>
      <c r="D49" s="957"/>
      <c r="E49" s="830" t="str">
        <f>FHD_NUM_P_13</f>
        <v>2.6</v>
      </c>
      <c r="F49" s="1808"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2162" t="s">
        <v>560</v>
      </c>
      <c r="H49" s="841"/>
      <c r="I49" s="841"/>
      <c r="J49" s="573" t="str">
        <f>FHD_NOTE_P_13</f>
        <v/>
      </c>
      <c r="K49" s="1920" t="str">
        <f>IF((LEN(E49)-LEN(SUBSTITUTE(E49,".","")))/LEN(".")=1,"p","")</f>
        <v>p</v>
      </c>
      <c r="L49" s="1014"/>
      <c r="M49" s="1014"/>
      <c r="R49" s="1014"/>
      <c r="U49" s="1015"/>
      <c r="AA49" s="1016"/>
      <c r="AB49" s="1016"/>
      <c r="AC49" s="1016"/>
      <c r="AD49" s="1016"/>
      <c r="AE49" s="1016"/>
      <c r="AF49" s="1013">
        <v>11</v>
      </c>
    </row>
    <row s="15440" customFormat="1" customHeight="1" ht="11.549999999999999">
      <c r="A50" s="1272"/>
      <c r="C50" s="1014"/>
      <c r="D50" s="957"/>
      <c r="E50" s="830" t="str">
        <f>FHD_NUM_P_14</f>
        <v>2.6.1</v>
      </c>
      <c r="F50" s="1934" t="str">
        <f>FHD_P_14</f>
        <v>Расходы на оплату труда основного производственного персонала</v>
      </c>
      <c r="G50" s="2162" t="s">
        <v>560</v>
      </c>
      <c r="H50" s="841"/>
      <c r="I50" s="841"/>
      <c r="J50" s="573" t="str">
        <f>FHD_NOTE_P_14</f>
        <v/>
      </c>
      <c r="K50" s="1920" t="str">
        <f>IF((LEN(E50)-LEN(SUBSTITUTE(E50,".","")))/LEN(".")=1,"p","")</f>
        <v/>
      </c>
      <c r="L50" s="1014"/>
      <c r="M50" s="1014"/>
      <c r="R50" s="1014"/>
      <c r="U50" s="1015"/>
      <c r="AA50" s="1016"/>
      <c r="AB50" s="1016"/>
      <c r="AC50" s="1016"/>
      <c r="AD50" s="1016"/>
      <c r="AE50" s="1016"/>
      <c r="AF50" s="1013">
        <v>11</v>
      </c>
    </row>
    <row s="15440" customFormat="1" customHeight="1" ht="11.549999999999999">
      <c r="A51" s="1272"/>
      <c r="C51" s="1014"/>
      <c r="D51" s="957"/>
      <c r="E51" s="830" t="str">
        <f>FHD_NUM_P_15</f>
        <v>2.6.2</v>
      </c>
      <c r="F51" s="1934" t="str">
        <f>FHD_P_15</f>
        <v>Страховые взносы на обязательное социальное страхование, выплачиваемые из фонда оплаты труда основного производственного персонала</v>
      </c>
      <c r="G51" s="2162" t="s">
        <v>560</v>
      </c>
      <c r="H51" s="841"/>
      <c r="I51" s="841"/>
      <c r="J51" s="573" t="str">
        <f>FHD_NOTE_P_15</f>
        <v/>
      </c>
      <c r="K51" s="1920" t="str">
        <f>IF((LEN(E51)-LEN(SUBSTITUTE(E51,".","")))/LEN(".")=1,"p","")</f>
        <v/>
      </c>
      <c r="L51" s="1014"/>
      <c r="M51" s="1014"/>
      <c r="R51" s="1014"/>
      <c r="U51" s="1015"/>
      <c r="AA51" s="1016"/>
      <c r="AB51" s="1016"/>
      <c r="AC51" s="1016"/>
      <c r="AD51" s="1016"/>
      <c r="AE51" s="1016"/>
      <c r="AF51" s="1013">
        <v>11</v>
      </c>
    </row>
    <row s="14157" customFormat="1" customHeight="1" ht="11.549999999999999">
      <c r="A52" s="1271"/>
      <c r="C52" s="1920"/>
      <c r="D52" s="1922"/>
      <c r="E52" s="830" t="str">
        <f>FHD_NUM_P_16</f>
        <v>2.7</v>
      </c>
      <c r="F52" s="1808"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2162" t="s">
        <v>560</v>
      </c>
      <c r="H52" s="841"/>
      <c r="I52" s="841"/>
      <c r="J52" s="573" t="str">
        <f>FHD_NOTE_P_16</f>
        <v/>
      </c>
      <c r="K52" s="1920" t="str">
        <f>IF((LEN(E52)-LEN(SUBSTITUTE(E52,".","")))/LEN(".")=1,"p","")</f>
        <v>p</v>
      </c>
      <c r="L52" s="1920"/>
      <c r="M52" s="1926"/>
      <c r="N52" s="821"/>
      <c r="O52" s="821"/>
      <c r="R52" s="1920"/>
      <c r="U52" s="828"/>
      <c r="AA52" s="1916"/>
      <c r="AB52" s="1916"/>
      <c r="AC52" s="1916"/>
      <c r="AD52" s="1916"/>
      <c r="AE52" s="1916"/>
      <c r="AF52" s="1444">
        <v>11</v>
      </c>
    </row>
    <row s="14157" customFormat="1" customHeight="1" ht="11.549999999999999">
      <c r="A53" s="1271"/>
      <c r="C53" s="1920"/>
      <c r="D53" s="1922"/>
      <c r="E53" s="830" t="str">
        <f>FHD_NUM_P_17</f>
        <v>2.7.1</v>
      </c>
      <c r="F53" s="1934" t="str">
        <f>FHD_P_17</f>
        <v>Расходы на оплату труда административно-управленческого персонала</v>
      </c>
      <c r="G53" s="2162" t="s">
        <v>560</v>
      </c>
      <c r="H53" s="841"/>
      <c r="I53" s="841"/>
      <c r="J53" s="573" t="str">
        <f>FHD_NOTE_P_17</f>
        <v/>
      </c>
      <c r="K53" s="1920" t="str">
        <f>IF((LEN(E53)-LEN(SUBSTITUTE(E53,".","")))/LEN(".")=1,"p","")</f>
        <v/>
      </c>
      <c r="L53" s="1920"/>
      <c r="M53" s="1926"/>
      <c r="N53" s="821"/>
      <c r="O53" s="821"/>
      <c r="R53" s="1920"/>
      <c r="U53" s="828"/>
      <c r="AA53" s="1916"/>
      <c r="AB53" s="1916"/>
      <c r="AC53" s="1916"/>
      <c r="AD53" s="1916"/>
      <c r="AE53" s="1916"/>
      <c r="AF53" s="1444">
        <v>11</v>
      </c>
    </row>
    <row s="14157" customFormat="1" customHeight="1" ht="11.549999999999999">
      <c r="A54" s="1271"/>
      <c r="C54" s="1920"/>
      <c r="D54" s="1922"/>
      <c r="E54" s="830" t="str">
        <f>FHD_NUM_P_18</f>
        <v>2.7.2</v>
      </c>
      <c r="F54" s="1934"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2162" t="s">
        <v>560</v>
      </c>
      <c r="H54" s="841"/>
      <c r="I54" s="841"/>
      <c r="J54" s="573" t="str">
        <f>FHD_NOTE_P_18</f>
        <v/>
      </c>
      <c r="K54" s="1920" t="str">
        <f>IF((LEN(E54)-LEN(SUBSTITUTE(E54,".","")))/LEN(".")=1,"p","")</f>
        <v/>
      </c>
      <c r="L54" s="1920"/>
      <c r="M54" s="1926"/>
      <c r="N54" s="821"/>
      <c r="O54" s="821"/>
      <c r="R54" s="1920"/>
      <c r="U54" s="828"/>
      <c r="AA54" s="1916"/>
      <c r="AB54" s="1916"/>
      <c r="AC54" s="1916"/>
      <c r="AD54" s="1916"/>
      <c r="AE54" s="1916"/>
      <c r="AF54" s="1444">
        <v>11</v>
      </c>
    </row>
    <row s="14157" customFormat="1" customHeight="1" ht="11.549999999999999">
      <c r="A55" s="1271"/>
      <c r="C55" s="1920"/>
      <c r="D55" s="859"/>
      <c r="E55" s="830" t="str">
        <f>FHD_NUM_P_19</f>
        <v>2.8</v>
      </c>
      <c r="F55" s="1808" t="str">
        <f>FHD_P_19</f>
        <v>Расходы на амортизацию основных средств и нематериальных активов</v>
      </c>
      <c r="G55" s="2162" t="s">
        <v>560</v>
      </c>
      <c r="H55" s="841"/>
      <c r="I55" s="841"/>
      <c r="J55" s="573" t="str">
        <f>FHD_NOTE_P_19</f>
        <v/>
      </c>
      <c r="K55" s="1920" t="str">
        <f>IF((LEN(E55)-LEN(SUBSTITUTE(E55,".","")))/LEN(".")=1,"p","")</f>
        <v>p</v>
      </c>
      <c r="L55" s="1920"/>
      <c r="M55" s="1920"/>
      <c r="R55" s="1920"/>
      <c r="U55" s="828"/>
      <c r="AA55" s="1916"/>
      <c r="AB55" s="1916"/>
      <c r="AC55" s="1916"/>
      <c r="AD55" s="1916"/>
      <c r="AE55" s="1916"/>
      <c r="AF55" s="1444">
        <v>11</v>
      </c>
    </row>
    <row s="14157" customFormat="1" customHeight="1" ht="11.549999999999999">
      <c r="A56" s="1271"/>
      <c r="C56" s="1920"/>
      <c r="D56" s="859"/>
      <c r="E56" s="830" t="str">
        <f>FHD_NUM_P_20</f>
        <v>2.8.1</v>
      </c>
      <c r="F56" s="1934" t="str">
        <f>FHD_P_20</f>
        <v>Расходы на амортизацию основных средств</v>
      </c>
      <c r="G56" s="2162" t="s">
        <v>560</v>
      </c>
      <c r="H56" s="841"/>
      <c r="I56" s="841"/>
      <c r="J56" s="573" t="str">
        <f>FHD_NOTE_P_20</f>
        <v/>
      </c>
      <c r="K56" s="1920" t="str">
        <f>IF((LEN(E56)-LEN(SUBSTITUTE(E56,".","")))/LEN(".")=1,"p","")</f>
        <v/>
      </c>
      <c r="L56" s="1920"/>
      <c r="M56" s="1920"/>
      <c r="R56" s="1920"/>
      <c r="U56" s="828"/>
      <c r="AA56" s="1916"/>
      <c r="AB56" s="1916"/>
      <c r="AC56" s="1916"/>
      <c r="AD56" s="1916"/>
      <c r="AE56" s="1916"/>
      <c r="AF56" s="1444">
        <v>11</v>
      </c>
    </row>
    <row s="14157" customFormat="1" customHeight="1" ht="11.549999999999999">
      <c r="A57" s="1271"/>
      <c r="C57" s="1920"/>
      <c r="D57" s="859"/>
      <c r="E57" s="830" t="str">
        <f>FHD_NUM_P_21</f>
        <v>2.8.2</v>
      </c>
      <c r="F57" s="1934" t="str">
        <f>FHD_P_21</f>
        <v>Расходы на амортизацию нематериальных активов</v>
      </c>
      <c r="G57" s="2162" t="s">
        <v>560</v>
      </c>
      <c r="H57" s="841"/>
      <c r="I57" s="841"/>
      <c r="J57" s="573" t="str">
        <f>FHD_NOTE_P_21</f>
        <v/>
      </c>
      <c r="K57" s="1920" t="str">
        <f>IF((LEN(E57)-LEN(SUBSTITUTE(E57,".","")))/LEN(".")=1,"p","")</f>
        <v/>
      </c>
      <c r="L57" s="1920"/>
      <c r="M57" s="1920"/>
      <c r="R57" s="1920"/>
      <c r="U57" s="828"/>
      <c r="AA57" s="1916"/>
      <c r="AB57" s="1916"/>
      <c r="AC57" s="1916"/>
      <c r="AD57" s="1916"/>
      <c r="AE57" s="1916"/>
      <c r="AF57" s="1444">
        <v>11</v>
      </c>
    </row>
    <row s="14157" customFormat="1" customHeight="1" ht="11.549999999999999">
      <c r="A58" s="1271"/>
      <c r="C58" s="1920"/>
      <c r="D58" s="1922"/>
      <c r="E58" s="830" t="str">
        <f>FHD_NUM_P_22</f>
        <v>2.9</v>
      </c>
      <c r="F58" s="1808" t="str">
        <f>FHD_P_22</f>
        <v>Расходы на аренду имущества, используемого для осуществления регулируемого вида деятельности</v>
      </c>
      <c r="G58" s="2162" t="s">
        <v>560</v>
      </c>
      <c r="H58" s="841"/>
      <c r="I58" s="841"/>
      <c r="J58" s="573" t="str">
        <f>FHD_NOTE_P_22</f>
        <v/>
      </c>
      <c r="K58" s="1920" t="str">
        <f>IF((LEN(E58)-LEN(SUBSTITUTE(E58,".","")))/LEN(".")=1,"p","")</f>
        <v>p</v>
      </c>
      <c r="L58" s="1920"/>
      <c r="M58" s="1920"/>
      <c r="R58" s="1920"/>
      <c r="U58" s="828"/>
      <c r="AA58" s="1916"/>
      <c r="AB58" s="1916"/>
      <c r="AC58" s="1916"/>
      <c r="AD58" s="1916"/>
      <c r="AE58" s="1916"/>
      <c r="AF58" s="1444">
        <v>11</v>
      </c>
    </row>
    <row s="14157" customFormat="1" customHeight="1" ht="11.549999999999999">
      <c r="A59" s="1271"/>
      <c r="C59" s="1920"/>
      <c r="D59" s="859"/>
      <c r="E59" s="830" t="str">
        <f>FHD_NUM_P_23</f>
        <v>2.10</v>
      </c>
      <c r="F59" s="1808" t="str">
        <f>FHD_P_23</f>
        <v>Общепроизводственные расходы, в том числе:</v>
      </c>
      <c r="G59" s="2162" t="s">
        <v>560</v>
      </c>
      <c r="H59" s="841"/>
      <c r="I59" s="841"/>
      <c r="J59" s="573" t="str">
        <f>FHD_NOTE_P_23</f>
        <v>Указывается общая сумма общепроизводственных расходов.</v>
      </c>
      <c r="K59" s="1920" t="str">
        <f>IF((LEN(E59)-LEN(SUBSTITUTE(E59,".","")))/LEN(".")=1,"p","")</f>
        <v>p</v>
      </c>
      <c r="L59" s="1920"/>
      <c r="M59" s="1920"/>
      <c r="R59" s="1920"/>
      <c r="U59" s="828"/>
      <c r="AA59" s="1916"/>
      <c r="AB59" s="1916"/>
      <c r="AC59" s="1916"/>
      <c r="AD59" s="1916"/>
      <c r="AE59" s="1916"/>
      <c r="AF59" s="1444">
        <v>11</v>
      </c>
    </row>
    <row s="14157" customFormat="1" customHeight="1" ht="11.549999999999999">
      <c r="A60" s="1271"/>
      <c r="C60" s="1920"/>
      <c r="D60" s="859"/>
      <c r="E60" s="830" t="str">
        <f>FHD_NUM_P_24</f>
        <v>2.10.1</v>
      </c>
      <c r="F60" s="1934" t="str">
        <f>FHD_P_24</f>
        <v>Расходы на текущий ремонт</v>
      </c>
      <c r="G60" s="2162" t="s">
        <v>560</v>
      </c>
      <c r="H60" s="841"/>
      <c r="I60" s="841"/>
      <c r="J60" s="573" t="str">
        <f>FHD_NOTE_P_24</f>
        <v>Указываются расходы на текущий ремонт, отнесенные к общепроизводственным расходам.</v>
      </c>
      <c r="K60" s="1920" t="str">
        <f>IF((LEN(E60)-LEN(SUBSTITUTE(E60,".","")))/LEN(".")=1,"p","")</f>
        <v/>
      </c>
      <c r="L60" s="1920"/>
      <c r="M60" s="1920"/>
      <c r="R60" s="1920"/>
      <c r="U60" s="828"/>
      <c r="AA60" s="1916"/>
      <c r="AB60" s="1916"/>
      <c r="AC60" s="1916"/>
      <c r="AD60" s="1916"/>
      <c r="AE60" s="1916"/>
      <c r="AF60" s="1444">
        <v>11</v>
      </c>
    </row>
    <row s="14157" customFormat="1" customHeight="1" ht="11.549999999999999">
      <c r="A61" s="1271"/>
      <c r="C61" s="1920"/>
      <c r="D61" s="859"/>
      <c r="E61" s="830" t="str">
        <f>FHD_NUM_P_25</f>
        <v>2.10.2</v>
      </c>
      <c r="F61" s="1934" t="str">
        <f>FHD_P_25</f>
        <v>Расходы на капитальный ремонт</v>
      </c>
      <c r="G61" s="2162" t="s">
        <v>560</v>
      </c>
      <c r="H61" s="841"/>
      <c r="I61" s="841"/>
      <c r="J61" s="573" t="str">
        <f>FHD_NOTE_P_25</f>
        <v>Указываются расходы на капитальный ремонт, отнесенные к общепроизводственным расходам.</v>
      </c>
      <c r="K61" s="1920" t="str">
        <f>IF((LEN(E61)-LEN(SUBSTITUTE(E61,".","")))/LEN(".")=1,"p","")</f>
        <v/>
      </c>
      <c r="L61" s="1920"/>
      <c r="M61" s="1920"/>
      <c r="R61" s="1920"/>
      <c r="U61" s="828"/>
      <c r="AA61" s="1916"/>
      <c r="AB61" s="1916"/>
      <c r="AC61" s="1916"/>
      <c r="AD61" s="1916"/>
      <c r="AE61" s="1916"/>
      <c r="AF61" s="1444">
        <v>11</v>
      </c>
    </row>
    <row s="14157" customFormat="1" customHeight="1" ht="11.549999999999999">
      <c r="A62" s="1271"/>
      <c r="C62" s="1920"/>
      <c r="D62" s="1922"/>
      <c r="E62" s="830" t="str">
        <f>FHD_NUM_P_26</f>
        <v>2.11</v>
      </c>
      <c r="F62" s="1808" t="str">
        <f>FHD_P_26</f>
        <v>Общехозяйственные расходы, в том числе:</v>
      </c>
      <c r="G62" s="2162" t="s">
        <v>560</v>
      </c>
      <c r="H62" s="841"/>
      <c r="I62" s="841"/>
      <c r="J62" s="573" t="str">
        <f>FHD_NOTE_P_26</f>
        <v>Указывается общая сумма общехозяйственных расходов.</v>
      </c>
      <c r="K62" s="1920" t="str">
        <f>IF((LEN(E62)-LEN(SUBSTITUTE(E62,".","")))/LEN(".")=1,"p","")</f>
        <v>p</v>
      </c>
      <c r="L62" s="1920"/>
      <c r="M62" s="1920"/>
      <c r="R62" s="1920"/>
      <c r="U62" s="828"/>
      <c r="AA62" s="1916"/>
      <c r="AB62" s="1916"/>
      <c r="AC62" s="1916"/>
      <c r="AD62" s="1916"/>
      <c r="AE62" s="1916"/>
      <c r="AF62" s="1444">
        <v>11</v>
      </c>
    </row>
    <row s="14157" customFormat="1" customHeight="1" ht="11.549999999999999">
      <c r="A63" s="1271"/>
      <c r="C63" s="1920"/>
      <c r="D63" s="1922"/>
      <c r="E63" s="830" t="str">
        <f>FHD_NUM_P_27</f>
        <v>2.11.1</v>
      </c>
      <c r="F63" s="1934" t="str">
        <f>FHD_P_27</f>
        <v>Расходы на текущий ремонт</v>
      </c>
      <c r="G63" s="2162" t="s">
        <v>560</v>
      </c>
      <c r="H63" s="841"/>
      <c r="I63" s="841"/>
      <c r="J63" s="573" t="str">
        <f>FHD_NOTE_P_27</f>
        <v>Указываются расходы на текущий ремонт, отнесенные к общехозяйственным расходам.</v>
      </c>
      <c r="K63" s="1920" t="str">
        <f>IF((LEN(E63)-LEN(SUBSTITUTE(E63,".","")))/LEN(".")=1,"p","")</f>
        <v/>
      </c>
      <c r="L63" s="1920"/>
      <c r="M63" s="1920"/>
      <c r="R63" s="1920"/>
      <c r="U63" s="828"/>
      <c r="AA63" s="1916"/>
      <c r="AB63" s="1916"/>
      <c r="AC63" s="1916"/>
      <c r="AD63" s="1916"/>
      <c r="AE63" s="1916"/>
      <c r="AF63" s="1444">
        <v>11</v>
      </c>
    </row>
    <row s="14157" customFormat="1" customHeight="1" ht="11.549999999999999">
      <c r="A64" s="1271"/>
      <c r="C64" s="1920"/>
      <c r="D64" s="1922"/>
      <c r="E64" s="830" t="str">
        <f>FHD_NUM_P_28</f>
        <v>2.11.2</v>
      </c>
      <c r="F64" s="1934" t="str">
        <f>FHD_P_28</f>
        <v>Расходы на капитальный ремонт</v>
      </c>
      <c r="G64" s="2162" t="s">
        <v>560</v>
      </c>
      <c r="H64" s="841"/>
      <c r="I64" s="841"/>
      <c r="J64" s="573" t="str">
        <f>FHD_NOTE_P_28</f>
        <v>Указываются расходы на капитальный ремонт, отнесенные к общехозяйственным расходам.</v>
      </c>
      <c r="K64" s="1920" t="str">
        <f>IF((LEN(E64)-LEN(SUBSTITUTE(E64,".","")))/LEN(".")=1,"p","")</f>
        <v/>
      </c>
      <c r="L64" s="1920"/>
      <c r="M64" s="1920"/>
      <c r="R64" s="1920"/>
      <c r="U64" s="828"/>
      <c r="AA64" s="1916"/>
      <c r="AB64" s="1916"/>
      <c r="AC64" s="1916"/>
      <c r="AD64" s="1916"/>
      <c r="AE64" s="1916"/>
      <c r="AF64" s="1444">
        <v>11</v>
      </c>
    </row>
    <row s="14157" customFormat="1" customHeight="1" ht="11.549999999999999">
      <c r="A65" s="1271"/>
      <c r="C65" s="1920"/>
      <c r="D65" s="1922"/>
      <c r="E65" s="830" t="str">
        <f>FHD_NUM_P_29</f>
        <v>2.12</v>
      </c>
      <c r="F65" s="1808" t="str">
        <f>FHD_P_29</f>
        <v>Расходы на капитальный и текущий ремонт основных средств</v>
      </c>
      <c r="G65" s="2162" t="s">
        <v>560</v>
      </c>
      <c r="H65" s="841"/>
      <c r="I65" s="841"/>
      <c r="J65" s="573" t="str">
        <f>FHD_NOTE_P_29</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5" s="1920" t="str">
        <f>IF((LEN(E65)-LEN(SUBSTITUTE(E65,".","")))/LEN(".")=1,"p","")</f>
        <v>p</v>
      </c>
      <c r="L65" s="1920"/>
      <c r="M65" s="1920"/>
      <c r="R65" s="1920"/>
      <c r="U65" s="828"/>
      <c r="AA65" s="1916"/>
      <c r="AB65" s="1916"/>
      <c r="AC65" s="1916"/>
      <c r="AD65" s="1916"/>
      <c r="AE65" s="1916"/>
      <c r="AF65" s="1444">
        <v>11</v>
      </c>
    </row>
    <row s="14157" customFormat="1" customHeight="1" ht="11.549999999999999">
      <c r="A66" s="1271"/>
      <c r="C66" s="1920"/>
      <c r="D66" s="1922"/>
      <c r="E66" s="830" t="str">
        <f>FHD_NUM_P_30</f>
        <v>2.12.1</v>
      </c>
      <c r="F66" s="1934"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2162" t="s">
        <v>311</v>
      </c>
      <c r="H66" s="1933" t="s">
        <v>583</v>
      </c>
      <c r="I66" s="1933" t="s">
        <v>583</v>
      </c>
      <c r="J66" s="573" t="str">
        <f>FHD_NOTE_P_30</f>
        <v/>
      </c>
      <c r="K66" s="1920" t="str">
        <f>IF((LEN(E66)-LEN(SUBSTITUTE(E66,".","")))/LEN(".")=1,"p","")</f>
        <v/>
      </c>
      <c r="L66" s="1920">
        <f>_xlfn.IFERROR(MATCH("есть",B_FHD_FLAG_INDEX_1,0),0)</f>
        <v>0</v>
      </c>
      <c r="M66" s="1920"/>
      <c r="R66" s="1920"/>
      <c r="U66" s="828"/>
      <c r="AA66" s="1916"/>
      <c r="AB66" s="1916"/>
      <c r="AC66" s="1916"/>
      <c r="AD66" s="1916"/>
      <c r="AE66" s="1916"/>
      <c r="AF66" s="1444">
        <v>11</v>
      </c>
    </row>
    <row s="14157" customFormat="1" customHeight="1" ht="23.25" hidden="1">
      <c r="A67" s="2655" t="s">
        <v>584</v>
      </c>
      <c r="C67" s="1920"/>
      <c r="D67" s="1922"/>
      <c r="E67" s="830" t="str">
        <f>FHD_NUM_P_31</f>
        <v/>
      </c>
      <c r="F67" s="1808" t="str">
        <f>FHD_P_31</f>
        <v/>
      </c>
      <c r="G67" s="2162" t="s">
        <v>560</v>
      </c>
      <c r="H67" s="841"/>
      <c r="I67" s="841"/>
      <c r="J67" s="573" t="str">
        <f>FHD_NOTE_P_31</f>
        <v/>
      </c>
      <c r="K67" s="1920" t="str">
        <f>IF((LEN(E67)-LEN(SUBSTITUTE(E67,".","")))/LEN(".")=1,"p","")</f>
        <v/>
      </c>
      <c r="L67" s="1920"/>
      <c r="M67" s="1920"/>
      <c r="R67" s="1920"/>
      <c r="U67" s="828"/>
      <c r="AA67" s="1916"/>
      <c r="AB67" s="1916"/>
      <c r="AC67" s="1916"/>
      <c r="AD67" s="1916"/>
      <c r="AE67" s="1916"/>
      <c r="AF67" s="1444">
        <v>22</v>
      </c>
    </row>
    <row s="14157" customFormat="1" customHeight="1" ht="47.25" hidden="1">
      <c r="A68" s="2655"/>
      <c r="C68" s="1920"/>
      <c r="D68" s="1922"/>
      <c r="E68" s="830" t="str">
        <f>FHD_NUM_P_32</f>
        <v/>
      </c>
      <c r="F68" s="1934" t="str">
        <f>FHD_P_32</f>
        <v/>
      </c>
      <c r="G68" s="2162" t="s">
        <v>311</v>
      </c>
      <c r="H68" s="1933" t="s">
        <v>583</v>
      </c>
      <c r="I68" s="1933" t="s">
        <v>583</v>
      </c>
      <c r="J68" s="573" t="str">
        <f>FHD_NOTE_P_32</f>
        <v/>
      </c>
      <c r="K68" s="1920" t="str">
        <f>IF((LEN(E68)-LEN(SUBSTITUTE(E68,".","")))/LEN(".")=1,"p","")</f>
        <v/>
      </c>
      <c r="L68" s="1920">
        <f>_xlfn.IFERROR(MATCH("есть",B_FHD_FLAG_INDEX_2,0),0)</f>
        <v>0</v>
      </c>
      <c r="M68" s="1920"/>
      <c r="R68" s="1920"/>
      <c r="U68" s="828"/>
      <c r="AA68" s="1916"/>
      <c r="AB68" s="1916"/>
      <c r="AC68" s="1916"/>
      <c r="AD68" s="1916"/>
      <c r="AE68" s="1916"/>
      <c r="AF68" s="1444">
        <v>45</v>
      </c>
    </row>
    <row s="14157" customFormat="1" customHeight="1" ht="11.549999999999999">
      <c r="A69" s="1271"/>
      <c r="C69" s="1920"/>
      <c r="D69" s="1922"/>
      <c r="E69" s="830" t="str">
        <f>FHD_NUM_P_33</f>
        <v>2.13</v>
      </c>
      <c r="F69" s="1808" t="str">
        <f>FHD_P_33</f>
        <v>Прочие расходы, которые подлежат отнесению на регулируемые виды деятельности в соответствии с законодательством Российской Федерации</v>
      </c>
      <c r="G69" s="2163" t="s">
        <v>560</v>
      </c>
      <c r="H69" s="863">
        <f>SUM(H70:H71)</f>
        <v>0</v>
      </c>
      <c r="I69" s="863">
        <f>SUM(I70:I71)</f>
        <v>0</v>
      </c>
      <c r="J69" s="573" t="str">
        <f>FHD_NOTE_P_33</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K69" s="1920" t="str">
        <f>IF((LEN(E69)-LEN(SUBSTITUTE(E69,".","")))/LEN(".")=1,"p","")</f>
        <v>p</v>
      </c>
      <c r="L69" s="1920"/>
      <c r="M69" s="1920"/>
      <c r="R69" s="1920"/>
      <c r="U69" s="828"/>
      <c r="AA69" s="1916"/>
      <c r="AB69" s="1916"/>
      <c r="AC69" s="1916"/>
      <c r="AD69" s="1916"/>
      <c r="AE69" s="1916"/>
      <c r="AF69" s="1444">
        <v>11</v>
      </c>
    </row>
    <row s="14158" customFormat="1" customHeight="1" ht="1.05">
      <c r="A70" s="1451"/>
      <c r="D70" s="832"/>
      <c r="E70" s="1297" t="str">
        <f>E69&amp;".0"</f>
        <v>2.13.0</v>
      </c>
      <c r="F70" s="1275"/>
      <c r="G70" s="1297"/>
      <c r="H70" s="1276"/>
      <c r="I70" s="1276"/>
      <c r="J70" s="1277"/>
      <c r="K70" s="1920" t="str">
        <f>IF((LEN(E70)-LEN(SUBSTITUTE(E70,".","")))/LEN(".")=1,"p","")</f>
        <v/>
      </c>
      <c r="AF70" s="1920">
        <v>1</v>
      </c>
    </row>
    <row s="14157" customFormat="1" customHeight="1" ht="14.699999999999998">
      <c r="A71" s="1271"/>
      <c r="C71" s="1920"/>
      <c r="D71" s="1917"/>
      <c r="E71" s="854"/>
      <c r="F71" s="855" t="s">
        <v>585</v>
      </c>
      <c r="G71" s="856"/>
      <c r="H71" s="857"/>
      <c r="I71" s="857"/>
      <c r="J71" s="585"/>
      <c r="K71" s="1920"/>
      <c r="L71" s="1920"/>
      <c r="M71" s="1920"/>
      <c r="R71" s="1920"/>
      <c r="U71" s="828"/>
      <c r="AA71" s="1916"/>
      <c r="AB71" s="1916"/>
      <c r="AC71" s="1916"/>
      <c r="AD71" s="1916"/>
      <c r="AE71" s="1916"/>
      <c r="AF71" s="1444">
        <v>14</v>
      </c>
    </row>
    <row s="14157" customFormat="1" customHeight="1" ht="18.75">
      <c r="A72" s="1273" t="s">
        <v>586</v>
      </c>
      <c r="C72" s="1920"/>
      <c r="D72" s="1922"/>
      <c r="E72" s="830" t="str">
        <f>FHD_NUM_P_34</f>
        <v>3</v>
      </c>
      <c r="F72" s="2164" t="str">
        <f>FHD_P_34</f>
        <v>Валовая прибыль (убытки) от реализации товаров и оказания услуг по регулируемому виду деятельности</v>
      </c>
      <c r="G72" s="2162" t="s">
        <v>560</v>
      </c>
      <c r="H72" s="841"/>
      <c r="I72" s="841"/>
      <c r="J72" s="573" t="str">
        <f>FHD_NOTE_P_34</f>
        <v/>
      </c>
      <c r="K72" s="827"/>
      <c r="L72" s="1920"/>
      <c r="M72" s="1920"/>
      <c r="R72" s="1920"/>
      <c r="U72" s="828"/>
      <c r="AA72" s="1916"/>
      <c r="AB72" s="1916"/>
      <c r="AC72" s="1916"/>
      <c r="AD72" s="1916"/>
      <c r="AE72" s="1916"/>
      <c r="AF72" s="1444">
        <v>0</v>
      </c>
    </row>
    <row s="14157" customFormat="1" customHeight="1" ht="19.95">
      <c r="A73" s="1271"/>
      <c r="C73" s="1920"/>
      <c r="D73" s="859"/>
      <c r="E73" s="830" t="str">
        <f>FHD_NUM_P_35</f>
        <v>4</v>
      </c>
      <c r="F73" s="2164" t="str">
        <f>FHD_P_35</f>
        <v>Чистая прибыль, полученная от регулируемого вида деятельности, в том числе:</v>
      </c>
      <c r="G73" s="2162" t="s">
        <v>560</v>
      </c>
      <c r="H73" s="841"/>
      <c r="I73" s="841"/>
      <c r="J73" s="573" t="str">
        <f>FHD_NOTE_P_35</f>
        <v>Указывается общая сумма чистой прибыли, полученной от регулируемого вида деятельности.</v>
      </c>
      <c r="K73" s="827"/>
      <c r="L73" s="1920"/>
      <c r="M73" s="1920"/>
      <c r="R73" s="1920"/>
      <c r="U73" s="828"/>
      <c r="AA73" s="1916"/>
      <c r="AB73" s="1916"/>
      <c r="AC73" s="1916"/>
      <c r="AD73" s="1916"/>
      <c r="AE73" s="1916"/>
      <c r="AF73" s="1444">
        <v>19</v>
      </c>
    </row>
    <row s="14157" customFormat="1" customHeight="1" ht="19.95">
      <c r="A74" s="1271"/>
      <c r="C74" s="1920"/>
      <c r="D74" s="1922"/>
      <c r="E74" s="830" t="str">
        <f>FHD_NUM_P_36</f>
        <v>4.1</v>
      </c>
      <c r="F74" s="1808"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2162" t="s">
        <v>560</v>
      </c>
      <c r="H74" s="841"/>
      <c r="I74" s="841"/>
      <c r="J74" s="573" t="str">
        <f>FHD_NOTE_P_36</f>
        <v/>
      </c>
      <c r="K74" s="827"/>
      <c r="L74" s="1920"/>
      <c r="M74" s="1920"/>
      <c r="R74" s="1920"/>
      <c r="U74" s="828"/>
      <c r="AA74" s="1916"/>
      <c r="AB74" s="1916"/>
      <c r="AC74" s="1916"/>
      <c r="AD74" s="1916"/>
      <c r="AE74" s="1916"/>
      <c r="AF74" s="1444">
        <v>19</v>
      </c>
    </row>
    <row s="14157" customFormat="1" customHeight="1" ht="19.95">
      <c r="A75" s="1271"/>
      <c r="C75" s="1920"/>
      <c r="D75" s="1922"/>
      <c r="E75" s="830" t="str">
        <f>FHD_NUM_P_37</f>
        <v>5</v>
      </c>
      <c r="F75" s="2164" t="str">
        <f>FHD_P_37</f>
        <v>Изменение стоимости основных фондов, в том числе:</v>
      </c>
      <c r="G75" s="2162" t="s">
        <v>560</v>
      </c>
      <c r="H75" s="841"/>
      <c r="I75" s="841"/>
      <c r="J75" s="573" t="str">
        <f>FHD_NOTE_P_37</f>
        <v>Указывается общее изменение стоимости основных фондов.</v>
      </c>
      <c r="K75" s="827"/>
      <c r="L75" s="1920"/>
      <c r="M75" s="1920"/>
      <c r="R75" s="1920"/>
      <c r="U75" s="828"/>
      <c r="AA75" s="1916"/>
      <c r="AB75" s="1916"/>
      <c r="AC75" s="1916"/>
      <c r="AD75" s="1916"/>
      <c r="AE75" s="1916"/>
      <c r="AF75" s="1444">
        <v>19</v>
      </c>
    </row>
    <row s="14157" customFormat="1" customHeight="1" ht="19.95">
      <c r="A76" s="1271"/>
      <c r="C76" s="1920"/>
      <c r="D76" s="1922"/>
      <c r="E76" s="830" t="str">
        <f>FHD_NUM_P_38</f>
        <v>5.1</v>
      </c>
      <c r="F76" s="1808" t="str">
        <f>FHD_P_38</f>
        <v>Изменение стоимости основных фондов за счет:</v>
      </c>
      <c r="G76" s="2162" t="s">
        <v>560</v>
      </c>
      <c r="H76" s="841"/>
      <c r="I76" s="841"/>
      <c r="J76" s="573" t="str">
        <f>FHD_NOTE_P_38</f>
        <v>Указываются общее изменение стоимости основных фондов за счет их ввода в эксплуатацию и вывода из эксплуатации.</v>
      </c>
      <c r="K76" s="827"/>
      <c r="L76" s="1920"/>
      <c r="M76" s="1920"/>
      <c r="R76" s="1920"/>
      <c r="U76" s="828"/>
      <c r="AA76" s="1916"/>
      <c r="AB76" s="1916"/>
      <c r="AC76" s="1916"/>
      <c r="AD76" s="1916"/>
      <c r="AE76" s="1916"/>
      <c r="AF76" s="1444">
        <v>19</v>
      </c>
    </row>
    <row s="14157" customFormat="1" customHeight="1" ht="19.95">
      <c r="A77" s="1271"/>
      <c r="C77" s="1920"/>
      <c r="D77" s="1922"/>
      <c r="E77" s="830" t="str">
        <f>FHD_NUM_P_39</f>
        <v>5.1.1</v>
      </c>
      <c r="F77" s="1934" t="str">
        <f>FHD_P_39</f>
        <v>Изменения стоимости основных фондов за счет их ввода в эксплуатацию</v>
      </c>
      <c r="G77" s="2356" t="s">
        <v>560</v>
      </c>
      <c r="H77" s="841"/>
      <c r="I77" s="841"/>
      <c r="J77" s="573" t="str">
        <f>FHD_NOTE_P_39</f>
        <v>Указываются изменение стоимости основных фондов за счет их ввода в эксплуатацию.</v>
      </c>
      <c r="K77" s="827"/>
      <c r="L77" s="1920"/>
      <c r="M77" s="1920"/>
      <c r="R77" s="1920"/>
      <c r="U77" s="828"/>
      <c r="AA77" s="1916"/>
      <c r="AB77" s="1916"/>
      <c r="AC77" s="1916"/>
      <c r="AD77" s="1916"/>
      <c r="AE77" s="1916"/>
      <c r="AF77" s="1444">
        <v>19</v>
      </c>
    </row>
    <row s="14157" customFormat="1" customHeight="1" ht="19.95">
      <c r="A78" s="1271"/>
      <c r="C78" s="1920"/>
      <c r="D78" s="1922"/>
      <c r="E78" s="830" t="str">
        <f>FHD_NUM_P_40</f>
        <v>5.1.2</v>
      </c>
      <c r="F78" s="2360" t="str">
        <f>FHD_P_40</f>
        <v>Изменения стоимости основных фондов за счет их вывода в эксплуатацию</v>
      </c>
      <c r="G78" s="2355" t="s">
        <v>560</v>
      </c>
      <c r="H78" s="1260"/>
      <c r="I78" s="841"/>
      <c r="J78" s="573" t="str">
        <f>FHD_NOTE_P_40</f>
        <v>Указываются изменение стоимости основных фондов за счет их вывода из эксплуатации.</v>
      </c>
      <c r="K78" s="827"/>
      <c r="L78" s="1920"/>
      <c r="M78" s="1920"/>
      <c r="R78" s="1920"/>
      <c r="U78" s="828"/>
      <c r="AA78" s="1916"/>
      <c r="AB78" s="1916"/>
      <c r="AC78" s="1916"/>
      <c r="AD78" s="1916"/>
      <c r="AE78" s="1916"/>
      <c r="AF78" s="1444">
        <v>19</v>
      </c>
    </row>
    <row s="14157" customFormat="1" customHeight="1" ht="19.95">
      <c r="A79" s="1271"/>
      <c r="C79" s="1920"/>
      <c r="D79" s="1922"/>
      <c r="E79" s="830" t="str">
        <f>FHD_NUM_P_41</f>
        <v>5.2</v>
      </c>
      <c r="F79" s="2359" t="str">
        <f>FHD_P_41</f>
        <v>Изменение стоимости основных фондов за счет их переоценки</v>
      </c>
      <c r="G79" s="2355" t="s">
        <v>560</v>
      </c>
      <c r="H79" s="1260"/>
      <c r="I79" s="841"/>
      <c r="J79" s="573" t="str">
        <f>FHD_NOTE_P_41</f>
        <v/>
      </c>
      <c r="K79" s="827"/>
      <c r="L79" s="1920"/>
      <c r="M79" s="1920"/>
      <c r="R79" s="1920"/>
      <c r="U79" s="828"/>
      <c r="AA79" s="1916"/>
      <c r="AB79" s="1916"/>
      <c r="AC79" s="1916"/>
      <c r="AD79" s="1916"/>
      <c r="AE79" s="1916"/>
      <c r="AF79" s="1444">
        <v>19</v>
      </c>
    </row>
    <row s="14157" customFormat="1" customHeight="1" ht="20.25" hidden="1">
      <c r="A80" s="1273" t="s">
        <v>587</v>
      </c>
      <c r="C80" s="1920"/>
      <c r="D80" s="1922"/>
      <c r="E80" s="830" t="str">
        <f>FHD_NUM_P_42</f>
        <v/>
      </c>
      <c r="F80" s="2357" t="str">
        <f>FHD_P_42</f>
        <v/>
      </c>
      <c r="G80" s="2355" t="s">
        <v>560</v>
      </c>
      <c r="H80" s="1260"/>
      <c r="I80" s="841"/>
      <c r="J80" s="573" t="str">
        <f>FHD_NOTE_P_42</f>
        <v/>
      </c>
      <c r="K80" s="827"/>
      <c r="L80" s="1920"/>
      <c r="M80" s="1920"/>
      <c r="R80" s="1920"/>
      <c r="U80" s="828"/>
      <c r="AA80" s="1916"/>
      <c r="AB80" s="1916"/>
      <c r="AC80" s="1916"/>
      <c r="AD80" s="1916"/>
      <c r="AE80" s="1916"/>
      <c r="AF80" s="1444">
        <v>19</v>
      </c>
    </row>
    <row s="14157" customFormat="1" customHeight="1" ht="19.95">
      <c r="A81" s="1271"/>
      <c r="C81" s="1920"/>
      <c r="D81" s="1922"/>
      <c r="E81" s="830" t="str">
        <f>FHD_NUM_P_43</f>
        <v>6</v>
      </c>
      <c r="F81" s="2164" t="str">
        <f>FHD_P_43</f>
        <v>Годовая бухгалтерская (финансовая) отчетность, включая бухгалтерский баланс и приложения к нему</v>
      </c>
      <c r="G81" s="2358" t="s">
        <v>311</v>
      </c>
      <c r="H81" s="1339"/>
      <c r="I81" s="1102"/>
      <c r="J81" s="573" t="str">
        <f>FHD_NOTE_P_43</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K81" s="827"/>
      <c r="L81" s="1920"/>
      <c r="M81" s="1920"/>
      <c r="R81" s="1920"/>
      <c r="U81" s="828"/>
      <c r="AA81" s="1916"/>
      <c r="AB81" s="1916"/>
      <c r="AC81" s="1916"/>
      <c r="AD81" s="1916"/>
      <c r="AE81" s="1916"/>
      <c r="AF81" s="1444">
        <v>19</v>
      </c>
    </row>
    <row s="14157" customFormat="1" customHeight="1" ht="18.75" hidden="1">
      <c r="A82" s="2655" t="s">
        <v>588</v>
      </c>
      <c r="C82" s="1019"/>
      <c r="D82" s="1017"/>
      <c r="E82" s="830" t="str">
        <f>FHD_NUM_P_44</f>
        <v/>
      </c>
      <c r="F82" s="2164" t="str">
        <f>FHD_P_44</f>
        <v/>
      </c>
      <c r="G82" s="2165" t="s">
        <v>589</v>
      </c>
      <c r="H82" s="1261"/>
      <c r="I82" s="861"/>
      <c r="J82" s="573" t="str">
        <f>FHD_NOTE_P_44</f>
        <v/>
      </c>
      <c r="K82" s="1018"/>
      <c r="L82" s="1019"/>
      <c r="M82" s="1019"/>
      <c r="R82" s="1019"/>
      <c r="U82" s="1020"/>
      <c r="AA82" s="1021"/>
      <c r="AB82" s="1021"/>
      <c r="AC82" s="1021"/>
      <c r="AD82" s="1021"/>
      <c r="AE82" s="1021"/>
      <c r="AF82" s="1194">
        <v>0</v>
      </c>
    </row>
    <row s="14157" customFormat="1" customHeight="1" ht="18.75" hidden="1">
      <c r="A83" s="2655"/>
      <c r="C83" s="1019"/>
      <c r="D83" s="1017"/>
      <c r="E83" s="830" t="str">
        <f>FHD_NUM_P_45</f>
        <v/>
      </c>
      <c r="F83" s="2164" t="str">
        <f>FHD_P_45</f>
        <v/>
      </c>
      <c r="G83" s="2165" t="s">
        <v>589</v>
      </c>
      <c r="H83" s="1261"/>
      <c r="I83" s="861"/>
      <c r="J83" s="573" t="str">
        <f>FHD_NOTE_P_45</f>
        <v/>
      </c>
      <c r="K83" s="1018"/>
      <c r="L83" s="1019"/>
      <c r="M83" s="1019"/>
      <c r="R83" s="1019"/>
      <c r="U83" s="1020"/>
      <c r="AA83" s="1021"/>
      <c r="AB83" s="1021"/>
      <c r="AC83" s="1021"/>
      <c r="AD83" s="1021"/>
      <c r="AE83" s="1021"/>
      <c r="AF83" s="1194">
        <v>0</v>
      </c>
    </row>
    <row s="14157" customFormat="1" customHeight="1" ht="18.75" hidden="1">
      <c r="A84" s="2655"/>
      <c r="C84" s="1019"/>
      <c r="D84" s="1022"/>
      <c r="E84" s="830" t="str">
        <f>FHD_NUM_P_46</f>
        <v/>
      </c>
      <c r="F84" s="2164" t="str">
        <f>FHD_P_46</f>
        <v/>
      </c>
      <c r="G84" s="2165" t="s">
        <v>589</v>
      </c>
      <c r="H84" s="1261"/>
      <c r="I84" s="861"/>
      <c r="J84" s="573" t="str">
        <f>FHD_NOTE_P_46</f>
        <v/>
      </c>
      <c r="K84" s="1018"/>
      <c r="L84" s="1019"/>
      <c r="M84" s="1019"/>
      <c r="R84" s="1019"/>
      <c r="U84" s="1020"/>
      <c r="AA84" s="1021"/>
      <c r="AB84" s="1021"/>
      <c r="AC84" s="1021"/>
      <c r="AD84" s="1021"/>
      <c r="AE84" s="1021"/>
      <c r="AF84" s="1194">
        <v>0</v>
      </c>
    </row>
    <row s="14157" customFormat="1" customHeight="1" ht="18.75" hidden="1">
      <c r="A85" s="2655"/>
      <c r="C85" s="1019"/>
      <c r="D85" s="1017"/>
      <c r="E85" s="830" t="str">
        <f>FHD_NUM_P_47</f>
        <v/>
      </c>
      <c r="F85" s="2164" t="str">
        <f>FHD_P_47</f>
        <v/>
      </c>
      <c r="G85" s="2165" t="s">
        <v>589</v>
      </c>
      <c r="H85" s="1261"/>
      <c r="I85" s="861"/>
      <c r="J85" s="573" t="str">
        <f>FHD_NOTE_P_47</f>
        <v/>
      </c>
      <c r="K85" s="1018"/>
      <c r="L85" s="1019"/>
      <c r="M85" s="1019"/>
      <c r="R85" s="1019"/>
      <c r="U85" s="1020"/>
      <c r="AA85" s="1021"/>
      <c r="AB85" s="1021"/>
      <c r="AC85" s="1021"/>
      <c r="AD85" s="1021"/>
      <c r="AE85" s="1021"/>
      <c r="AF85" s="1194">
        <v>0</v>
      </c>
    </row>
    <row s="14077" customFormat="1" customHeight="1" ht="18.75" hidden="1">
      <c r="A86" s="2655"/>
      <c r="B86" s="1194"/>
      <c r="C86" s="1019"/>
      <c r="D86" s="1017"/>
      <c r="E86" s="830" t="str">
        <f>FHD_NUM_P_48</f>
        <v/>
      </c>
      <c r="F86" s="2164" t="str">
        <f>FHD_P_48</f>
        <v/>
      </c>
      <c r="G86" s="2165" t="s">
        <v>589</v>
      </c>
      <c r="H86" s="1261"/>
      <c r="I86" s="861"/>
      <c r="J86" s="573" t="str">
        <f>FHD_NOTE_P_48</f>
        <v/>
      </c>
      <c r="K86" s="1018"/>
      <c r="L86" s="1019"/>
      <c r="M86" s="1019"/>
      <c r="N86" s="1194"/>
      <c r="O86" s="1194"/>
      <c r="P86" s="1194"/>
      <c r="Q86" s="1194"/>
      <c r="R86" s="1019"/>
      <c r="S86" s="1194"/>
      <c r="T86" s="1194"/>
      <c r="U86" s="1020"/>
      <c r="V86" s="1194"/>
      <c r="W86" s="1194"/>
      <c r="X86" s="1194"/>
      <c r="Y86" s="1194"/>
      <c r="Z86" s="1194"/>
      <c r="AA86" s="1021"/>
      <c r="AB86" s="1021"/>
      <c r="AC86" s="1021"/>
      <c r="AD86" s="1021"/>
      <c r="AE86" s="1021"/>
      <c r="AF86" s="1023">
        <v>0</v>
      </c>
    </row>
    <row s="14077" customFormat="1" customHeight="1" ht="18.75" hidden="1">
      <c r="A87" s="2655"/>
      <c r="B87" s="1194"/>
      <c r="C87" s="1019"/>
      <c r="D87" s="1017"/>
      <c r="E87" s="830" t="str">
        <f>FHD_NUM_P_49</f>
        <v/>
      </c>
      <c r="F87" s="2164" t="str">
        <f>FHD_P_49</f>
        <v/>
      </c>
      <c r="G87" s="2165" t="s">
        <v>589</v>
      </c>
      <c r="H87" s="1262">
        <f>SUM(H88:H89)</f>
        <v>0</v>
      </c>
      <c r="I87" s="1033">
        <f>SUM(I88:I89)</f>
        <v>0</v>
      </c>
      <c r="J87" s="573" t="str">
        <f>FHD_NOTE_P_49</f>
        <v/>
      </c>
      <c r="K87" s="1018"/>
      <c r="L87" s="1019"/>
      <c r="M87" s="1019"/>
      <c r="N87" s="1194"/>
      <c r="O87" s="1194"/>
      <c r="P87" s="1194"/>
      <c r="Q87" s="1194"/>
      <c r="R87" s="1019"/>
      <c r="S87" s="1194"/>
      <c r="T87" s="1194"/>
      <c r="U87" s="1020"/>
      <c r="V87" s="1194"/>
      <c r="W87" s="1194"/>
      <c r="X87" s="1194"/>
      <c r="Y87" s="1194"/>
      <c r="Z87" s="1194"/>
      <c r="AA87" s="1021"/>
      <c r="AB87" s="1021"/>
      <c r="AC87" s="1021"/>
      <c r="AD87" s="1021"/>
      <c r="AE87" s="1021"/>
      <c r="AF87" s="1023">
        <v>0</v>
      </c>
    </row>
    <row s="14077" customFormat="1" customHeight="1" ht="18.75" hidden="1">
      <c r="A88" s="2655"/>
      <c r="B88" s="1194"/>
      <c r="C88" s="1019"/>
      <c r="D88" s="1017"/>
      <c r="E88" s="830" t="str">
        <f>FHD_NUM_P_50</f>
        <v/>
      </c>
      <c r="F88" s="2164" t="str">
        <f>FHD_P_50</f>
        <v/>
      </c>
      <c r="G88" s="2165" t="s">
        <v>589</v>
      </c>
      <c r="H88" s="1261"/>
      <c r="I88" s="861"/>
      <c r="J88" s="573" t="str">
        <f>FHD_NOTE_P_50</f>
        <v/>
      </c>
      <c r="K88" s="1018"/>
      <c r="L88" s="1019"/>
      <c r="M88" s="1019"/>
      <c r="N88" s="1194"/>
      <c r="O88" s="1194"/>
      <c r="P88" s="1194"/>
      <c r="Q88" s="1194"/>
      <c r="R88" s="1019"/>
      <c r="S88" s="1194"/>
      <c r="T88" s="1194"/>
      <c r="U88" s="1020"/>
      <c r="V88" s="1194"/>
      <c r="W88" s="1194"/>
      <c r="X88" s="1194"/>
      <c r="Y88" s="1194"/>
      <c r="Z88" s="1194"/>
      <c r="AA88" s="1021"/>
      <c r="AB88" s="1021"/>
      <c r="AC88" s="1021"/>
      <c r="AD88" s="1021"/>
      <c r="AE88" s="1021"/>
      <c r="AF88" s="1023">
        <v>0</v>
      </c>
    </row>
    <row s="14077" customFormat="1" customHeight="1" ht="18.75" hidden="1">
      <c r="A89" s="2655"/>
      <c r="B89" s="1194"/>
      <c r="C89" s="1019"/>
      <c r="D89" s="1017"/>
      <c r="E89" s="830" t="str">
        <f>FHD_NUM_P_51</f>
        <v/>
      </c>
      <c r="F89" s="2164" t="str">
        <f>FHD_P_51</f>
        <v/>
      </c>
      <c r="G89" s="2165" t="s">
        <v>589</v>
      </c>
      <c r="H89" s="1261"/>
      <c r="I89" s="861"/>
      <c r="J89" s="573" t="str">
        <f>FHD_NOTE_P_51</f>
        <v/>
      </c>
      <c r="K89" s="1018"/>
      <c r="L89" s="1019"/>
      <c r="M89" s="1019"/>
      <c r="N89" s="1194"/>
      <c r="O89" s="1194"/>
      <c r="P89" s="1194"/>
      <c r="Q89" s="1194"/>
      <c r="R89" s="1019"/>
      <c r="S89" s="1194"/>
      <c r="T89" s="1194"/>
      <c r="U89" s="1020"/>
      <c r="V89" s="1194"/>
      <c r="W89" s="1194"/>
      <c r="X89" s="1194"/>
      <c r="Y89" s="1194"/>
      <c r="Z89" s="1194"/>
      <c r="AA89" s="1021"/>
      <c r="AB89" s="1021"/>
      <c r="AC89" s="1021"/>
      <c r="AD89" s="1021"/>
      <c r="AE89" s="1021"/>
      <c r="AF89" s="1023">
        <v>0</v>
      </c>
    </row>
    <row s="14077" customFormat="1" customHeight="1" ht="18.75" hidden="1">
      <c r="A90" s="2655"/>
      <c r="B90" s="1194"/>
      <c r="C90" s="1019"/>
      <c r="D90" s="1017"/>
      <c r="E90" s="830" t="str">
        <f>FHD_NUM_P_52</f>
        <v/>
      </c>
      <c r="F90" s="2164" t="str">
        <f>FHD_P_52</f>
        <v/>
      </c>
      <c r="G90" s="2165" t="s">
        <v>566</v>
      </c>
      <c r="H90" s="1260"/>
      <c r="I90" s="841"/>
      <c r="J90" s="573" t="str">
        <f>FHD_NOTE_P_52</f>
        <v/>
      </c>
      <c r="K90" s="1018"/>
      <c r="L90" s="1019"/>
      <c r="M90" s="1019"/>
      <c r="N90" s="1194"/>
      <c r="O90" s="1194"/>
      <c r="P90" s="1194"/>
      <c r="Q90" s="1194"/>
      <c r="R90" s="1019"/>
      <c r="S90" s="1194"/>
      <c r="T90" s="1194"/>
      <c r="U90" s="1020"/>
      <c r="V90" s="1194"/>
      <c r="W90" s="1194"/>
      <c r="X90" s="1194"/>
      <c r="Y90" s="1194"/>
      <c r="Z90" s="1194"/>
      <c r="AA90" s="1021"/>
      <c r="AB90" s="1021"/>
      <c r="AC90" s="1021"/>
      <c r="AD90" s="1021"/>
      <c r="AE90" s="1021"/>
      <c r="AF90" s="1023">
        <v>0</v>
      </c>
    </row>
    <row s="14157" customFormat="1" customHeight="1" ht="18.75" hidden="1">
      <c r="A91" s="2657" t="s">
        <v>590</v>
      </c>
      <c r="C91" s="1019"/>
      <c r="D91" s="1017"/>
      <c r="E91" s="830" t="str">
        <f>FHD_NUM_P_53</f>
        <v/>
      </c>
      <c r="F91" s="2164" t="str">
        <f>FHD_P_53</f>
        <v/>
      </c>
      <c r="G91" s="2165" t="s">
        <v>589</v>
      </c>
      <c r="H91" s="1261"/>
      <c r="I91" s="861"/>
      <c r="J91" s="573" t="str">
        <f>FHD_NOTE_P_53</f>
        <v/>
      </c>
      <c r="K91" s="1018"/>
      <c r="L91" s="1019"/>
      <c r="M91" s="1019"/>
      <c r="R91" s="1019"/>
      <c r="U91" s="1020"/>
      <c r="AA91" s="1021"/>
      <c r="AB91" s="1021"/>
      <c r="AC91" s="1021"/>
      <c r="AD91" s="1021"/>
      <c r="AE91" s="1021"/>
      <c r="AF91" s="1194">
        <v>0</v>
      </c>
    </row>
    <row s="14157" customFormat="1" customHeight="1" ht="18.75" hidden="1">
      <c r="A92" s="2657"/>
      <c r="C92" s="1019"/>
      <c r="D92" s="1017"/>
      <c r="E92" s="830" t="str">
        <f>FHD_NUM_P_54</f>
        <v/>
      </c>
      <c r="F92" s="2164" t="str">
        <f>FHD_P_54</f>
        <v/>
      </c>
      <c r="G92" s="2165" t="s">
        <v>589</v>
      </c>
      <c r="H92" s="1261"/>
      <c r="I92" s="861"/>
      <c r="J92" s="573" t="str">
        <f>FHD_NOTE_P_54</f>
        <v/>
      </c>
      <c r="K92" s="1018"/>
      <c r="L92" s="1019"/>
      <c r="M92" s="1019"/>
      <c r="R92" s="1019"/>
      <c r="U92" s="1020"/>
      <c r="AA92" s="1021"/>
      <c r="AB92" s="1021"/>
      <c r="AC92" s="1021"/>
      <c r="AD92" s="1021"/>
      <c r="AE92" s="1021"/>
      <c r="AF92" s="1194">
        <v>0</v>
      </c>
    </row>
    <row s="14157" customFormat="1" customHeight="1" ht="18.75" hidden="1">
      <c r="A93" s="2657"/>
      <c r="C93" s="1019"/>
      <c r="D93" s="1022"/>
      <c r="E93" s="830" t="str">
        <f>FHD_NUM_P_55</f>
        <v/>
      </c>
      <c r="F93" s="2164" t="str">
        <f>FHD_P_55</f>
        <v/>
      </c>
      <c r="G93" s="2168"/>
      <c r="H93" s="1261"/>
      <c r="I93" s="861"/>
      <c r="J93" s="573" t="str">
        <f>FHD_NOTE_P_55</f>
        <v/>
      </c>
      <c r="K93" s="1018"/>
      <c r="L93" s="1019"/>
      <c r="M93" s="1019"/>
      <c r="R93" s="1019"/>
      <c r="U93" s="1020"/>
      <c r="AA93" s="1021"/>
      <c r="AB93" s="1021"/>
      <c r="AC93" s="1021"/>
      <c r="AD93" s="1021"/>
      <c r="AE93" s="1021"/>
      <c r="AF93" s="1194">
        <v>0</v>
      </c>
    </row>
    <row s="14157" customFormat="1" customHeight="1" ht="18.75" hidden="1">
      <c r="A94" s="2657"/>
      <c r="C94" s="1019"/>
      <c r="D94" s="1017"/>
      <c r="E94" s="830" t="str">
        <f>FHD_NUM_P_56</f>
        <v/>
      </c>
      <c r="F94" s="2164" t="str">
        <f>FHD_P_56</f>
        <v/>
      </c>
      <c r="G94" s="2165" t="s">
        <v>591</v>
      </c>
      <c r="H94" s="1261"/>
      <c r="I94" s="861"/>
      <c r="J94" s="573" t="str">
        <f>FHD_NOTE_P_56</f>
        <v/>
      </c>
      <c r="K94" s="1018"/>
      <c r="L94" s="1019"/>
      <c r="M94" s="1019"/>
      <c r="R94" s="1019"/>
      <c r="U94" s="1020"/>
      <c r="AA94" s="1021"/>
      <c r="AB94" s="1021"/>
      <c r="AC94" s="1021"/>
      <c r="AD94" s="1021"/>
      <c r="AE94" s="1021"/>
      <c r="AF94" s="1194">
        <v>0</v>
      </c>
    </row>
    <row s="14077" customFormat="1" customHeight="1" ht="18.75" hidden="1">
      <c r="A95" s="2657"/>
      <c r="B95" s="1194"/>
      <c r="C95" s="1019"/>
      <c r="D95" s="1017"/>
      <c r="E95" s="830" t="str">
        <f>FHD_NUM_P_57</f>
        <v/>
      </c>
      <c r="F95" s="2164" t="str">
        <f>FHD_P_57</f>
        <v/>
      </c>
      <c r="G95" s="2165" t="s">
        <v>566</v>
      </c>
      <c r="H95" s="1260"/>
      <c r="I95" s="841"/>
      <c r="J95" s="573" t="str">
        <f>FHD_NOTE_P_57</f>
        <v/>
      </c>
      <c r="K95" s="1018"/>
      <c r="L95" s="1019"/>
      <c r="M95" s="1019"/>
      <c r="N95" s="1194"/>
      <c r="O95" s="1194"/>
      <c r="P95" s="1194"/>
      <c r="Q95" s="1194"/>
      <c r="R95" s="1019"/>
      <c r="S95" s="1194"/>
      <c r="T95" s="1194"/>
      <c r="U95" s="1020"/>
      <c r="V95" s="1194"/>
      <c r="W95" s="1194"/>
      <c r="X95" s="1194"/>
      <c r="Y95" s="1194"/>
      <c r="Z95" s="1194"/>
      <c r="AA95" s="1021"/>
      <c r="AB95" s="1021"/>
      <c r="AC95" s="1021"/>
      <c r="AD95" s="1021"/>
      <c r="AE95" s="1021"/>
      <c r="AF95" s="1023">
        <v>0</v>
      </c>
    </row>
    <row customHeight="1" ht="18.75" hidden="1">
      <c r="A96" s="2655" t="s">
        <v>592</v>
      </c>
      <c r="D96" s="1922"/>
      <c r="E96" s="830" t="str">
        <f>FHD_NUM_P_58</f>
        <v/>
      </c>
      <c r="F96" s="2164" t="str">
        <f>FHD_P_58</f>
        <v/>
      </c>
      <c r="G96" s="2165" t="s">
        <v>589</v>
      </c>
      <c r="H96" s="1261"/>
      <c r="I96" s="861"/>
      <c r="J96" s="573" t="str">
        <f>FHD_NOTE_P_58</f>
        <v/>
      </c>
      <c r="K96" s="827"/>
      <c r="AF96" s="1915">
        <v>0</v>
      </c>
    </row>
    <row customHeight="1" ht="18.75" hidden="1">
      <c r="A97" s="2655"/>
      <c r="D97" s="1922"/>
      <c r="E97" s="830" t="str">
        <f>FHD_NUM_P_59</f>
        <v/>
      </c>
      <c r="F97" s="2164" t="str">
        <f>FHD_P_59</f>
        <v/>
      </c>
      <c r="G97" s="2165" t="s">
        <v>589</v>
      </c>
      <c r="H97" s="1261"/>
      <c r="I97" s="861"/>
      <c r="J97" s="573" t="str">
        <f>FHD_NOTE_P_59</f>
        <v/>
      </c>
      <c r="K97" s="827"/>
      <c r="AF97" s="1915">
        <v>0</v>
      </c>
    </row>
    <row customHeight="1" ht="18.75" hidden="1">
      <c r="A98" s="2655"/>
      <c r="D98" s="1922"/>
      <c r="E98" s="830" t="str">
        <f>FHD_NUM_P_60</f>
        <v/>
      </c>
      <c r="F98" s="2164" t="str">
        <f>FHD_P_60</f>
        <v/>
      </c>
      <c r="G98" s="2165" t="s">
        <v>589</v>
      </c>
      <c r="H98" s="1261"/>
      <c r="I98" s="861"/>
      <c r="J98" s="573" t="str">
        <f>FHD_NOTE_P_60</f>
        <v/>
      </c>
      <c r="K98" s="827"/>
      <c r="AF98" s="1915">
        <v>0</v>
      </c>
    </row>
    <row s="14157" customFormat="1" customHeight="1" ht="18.75">
      <c r="A99" s="2655" t="s">
        <v>593</v>
      </c>
      <c r="C99" s="1920"/>
      <c r="D99" s="1922"/>
      <c r="E99" s="830" t="str">
        <f>FHD_NUM_P_61</f>
        <v>7</v>
      </c>
      <c r="F99" s="2164" t="str">
        <f>FHD_P_61</f>
        <v>Установленная тепловая мощность объектов основных фондов, используемых для теплоснабжения, в том числе по каждому источнику тепловой энергии</v>
      </c>
      <c r="G99" s="2162" t="s">
        <v>564</v>
      </c>
      <c r="H99" s="1263"/>
      <c r="I99" s="1026"/>
      <c r="J99" s="573" t="str">
        <f>FHD_NOTE_P_61</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K99" s="827"/>
      <c r="L99" s="1920"/>
      <c r="M99" s="1920"/>
      <c r="R99" s="1920"/>
      <c r="U99" s="828"/>
      <c r="AA99" s="1916"/>
      <c r="AB99" s="1916"/>
      <c r="AC99" s="1916"/>
      <c r="AD99" s="1916"/>
      <c r="AE99" s="1916"/>
      <c r="AF99" s="1444">
        <v>0</v>
      </c>
    </row>
    <row s="14158" customFormat="1" customHeight="1" ht="0.75">
      <c r="A100" s="2655"/>
      <c r="D100" s="832"/>
      <c r="E100" s="1297" t="str">
        <f>E99&amp;".0"</f>
        <v>7.0</v>
      </c>
      <c r="F100" s="1278"/>
      <c r="G100" s="1279"/>
      <c r="H100" s="1276"/>
      <c r="I100" s="1276"/>
      <c r="J100" s="1280"/>
      <c r="AF100" s="1920">
        <v>0</v>
      </c>
    </row>
    <row customHeight="1" ht="15">
      <c r="A101" s="2655"/>
      <c r="D101" s="1917"/>
      <c r="E101" s="1255"/>
      <c r="F101" s="1256" t="s">
        <v>594</v>
      </c>
      <c r="G101" s="856"/>
      <c r="H101" s="857"/>
      <c r="I101" s="857"/>
      <c r="J101" s="1288" t="s">
        <v>595</v>
      </c>
      <c r="K101" s="827"/>
      <c r="AF101" s="1915">
        <v>0</v>
      </c>
    </row>
    <row s="14157" customFormat="1" customHeight="1" ht="18.75">
      <c r="A102" s="2655"/>
      <c r="C102" s="1920"/>
      <c r="D102" s="1922"/>
      <c r="E102" s="830" t="str">
        <f>FHD_NUM_P_62</f>
        <v>8</v>
      </c>
      <c r="F102" s="2164" t="str">
        <f>FHD_P_62</f>
        <v>Тепловая нагрузка по договорам, заключенным в рамках осуществления регулируемых видов деятельности</v>
      </c>
      <c r="G102" s="2161" t="s">
        <v>564</v>
      </c>
      <c r="H102" s="841"/>
      <c r="I102" s="841"/>
      <c r="J102" s="573" t="str">
        <f>FHD_NOTE_P_62</f>
        <v>Регулируемыми организациями указывается информация по договорам, заключенным в рамках осуществления регулируемых видов деятельности</v>
      </c>
      <c r="K102" s="827"/>
      <c r="L102" s="1920"/>
      <c r="M102" s="1920"/>
      <c r="R102" s="1920"/>
      <c r="U102" s="828"/>
      <c r="AA102" s="1916"/>
      <c r="AB102" s="1916"/>
      <c r="AC102" s="1916"/>
      <c r="AD102" s="1916"/>
      <c r="AE102" s="1916"/>
      <c r="AF102" s="1444">
        <v>0</v>
      </c>
    </row>
    <row s="14157" customFormat="1" customHeight="1" ht="18.75">
      <c r="A103" s="2655"/>
      <c r="C103" s="1920"/>
      <c r="D103" s="1922"/>
      <c r="E103" s="830" t="str">
        <f>FHD_NUM_P_63</f>
        <v>9</v>
      </c>
      <c r="F103" s="2164" t="str">
        <f>FHD_P_63</f>
        <v>Объем вырабатываемой регулируемой организацией тепловой энергии в рамках осуществления регулируемых видов деятельности</v>
      </c>
      <c r="G103" s="2161" t="s">
        <v>591</v>
      </c>
      <c r="H103" s="861"/>
      <c r="I103" s="861"/>
      <c r="J103" s="573" t="str">
        <f>FHD_NOTE_P_63</f>
        <v>Регулируемыми организациями указывается информация тепловой энергии, выработанной в рамках осуществления регулируемых видов деятельности.</v>
      </c>
      <c r="K103" s="827"/>
      <c r="L103" s="1920"/>
      <c r="M103" s="1920"/>
      <c r="R103" s="1920"/>
      <c r="U103" s="828"/>
      <c r="AA103" s="1916"/>
      <c r="AB103" s="1916"/>
      <c r="AC103" s="1916"/>
      <c r="AD103" s="1916"/>
      <c r="AE103" s="1916"/>
      <c r="AF103" s="1444">
        <v>0</v>
      </c>
    </row>
    <row s="14157" customFormat="1" customHeight="1" ht="18.75">
      <c r="A104" s="2655"/>
      <c r="C104" s="1920" t="s">
        <v>596</v>
      </c>
      <c r="D104" s="1922"/>
      <c r="E104" s="830" t="str">
        <f>FHD_NUM_P_64</f>
        <v>9.1</v>
      </c>
      <c r="F104" s="2164" t="str">
        <f>FHD_P_64</f>
        <v>Объем приобретаемой регулируемой организацией тепловой энергии в рамках осуществления регулируемых видов деятельности</v>
      </c>
      <c r="G104" s="2161" t="s">
        <v>591</v>
      </c>
      <c r="H104" s="829"/>
      <c r="I104" s="829"/>
      <c r="J104" s="573" t="str">
        <f>FHD_NOTE_P_64</f>
        <v>Информация указывается только едиными теплоснабжающими организациями.</v>
      </c>
      <c r="K104" s="827"/>
      <c r="L104" s="1920"/>
      <c r="M104" s="1920"/>
      <c r="R104" s="1920"/>
      <c r="U104" s="828"/>
      <c r="AA104" s="1916"/>
      <c r="AB104" s="1916"/>
      <c r="AC104" s="1916"/>
      <c r="AD104" s="1916"/>
      <c r="AE104" s="1916"/>
      <c r="AF104" s="1444">
        <v>0</v>
      </c>
    </row>
    <row s="14157" customFormat="1" customHeight="1" ht="18.75">
      <c r="A105" s="2655"/>
      <c r="C105" s="1920"/>
      <c r="D105" s="1922"/>
      <c r="E105" s="830" t="str">
        <f>FHD_NUM_P_65</f>
        <v>10</v>
      </c>
      <c r="F105" s="2164" t="str">
        <f>FHD_P_65</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G105" s="2161" t="s">
        <v>591</v>
      </c>
      <c r="H105" s="861"/>
      <c r="I105" s="861"/>
      <c r="J105" s="573" t="str">
        <f>FHD_NOTE_P_65</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K105" s="827"/>
      <c r="L105" s="1920"/>
      <c r="M105" s="1920"/>
      <c r="R105" s="1920"/>
      <c r="U105" s="828"/>
      <c r="AA105" s="1916"/>
      <c r="AB105" s="1916"/>
      <c r="AC105" s="1916"/>
      <c r="AD105" s="1916"/>
      <c r="AE105" s="1916"/>
      <c r="AF105" s="1444">
        <v>0</v>
      </c>
    </row>
    <row s="14157" customFormat="1" customHeight="1" ht="18.75">
      <c r="A106" s="2655"/>
      <c r="C106" s="1920"/>
      <c r="D106" s="1922"/>
      <c r="E106" s="830" t="str">
        <f>FHD_NUM_P_66</f>
        <v>10.1</v>
      </c>
      <c r="F106" s="1808" t="str">
        <f>FHD_P_66</f>
        <v>По приборам учёта </v>
      </c>
      <c r="G106" s="2161" t="s">
        <v>591</v>
      </c>
      <c r="H106" s="861"/>
      <c r="I106" s="861"/>
      <c r="J106" s="573" t="str">
        <f>FHD_NOTE_P_66</f>
        <v/>
      </c>
      <c r="K106" s="827"/>
      <c r="L106" s="1920"/>
      <c r="M106" s="1920"/>
      <c r="R106" s="1920"/>
      <c r="U106" s="828"/>
      <c r="AA106" s="1916"/>
      <c r="AB106" s="1916"/>
      <c r="AC106" s="1916"/>
      <c r="AD106" s="1916"/>
      <c r="AE106" s="1916"/>
      <c r="AF106" s="1444">
        <v>0</v>
      </c>
    </row>
    <row s="14157" customFormat="1" customHeight="1" ht="18.75">
      <c r="A107" s="2655"/>
      <c r="C107" s="1920"/>
      <c r="D107" s="1922"/>
      <c r="E107" s="830" t="str">
        <f>FHD_NUM_P_67</f>
        <v>10.1.1</v>
      </c>
      <c r="F107" s="1934" t="str">
        <f>FHD_P_67</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G107" s="2161" t="s">
        <v>591</v>
      </c>
      <c r="H107" s="861"/>
      <c r="I107" s="861"/>
      <c r="J107" s="573" t="str">
        <f>FHD_NOTE_P_67</f>
        <v/>
      </c>
      <c r="K107" s="827"/>
      <c r="L107" s="1920"/>
      <c r="M107" s="1920"/>
      <c r="R107" s="1920"/>
      <c r="U107" s="828"/>
      <c r="AA107" s="1916"/>
      <c r="AB107" s="1916"/>
      <c r="AC107" s="1916"/>
      <c r="AD107" s="1916"/>
      <c r="AE107" s="1916"/>
      <c r="AF107" s="1444">
        <v>0</v>
      </c>
    </row>
    <row s="14157" customFormat="1" customHeight="1" ht="18.75">
      <c r="A108" s="2655"/>
      <c r="C108" s="1920"/>
      <c r="D108" s="1922"/>
      <c r="E108" s="830" t="str">
        <f>FHD_NUM_P_68</f>
        <v>10.2</v>
      </c>
      <c r="F108" s="1808" t="str">
        <f>FHD_P_68</f>
        <v>Расчётным путём</v>
      </c>
      <c r="G108" s="2161" t="s">
        <v>591</v>
      </c>
      <c r="H108" s="861"/>
      <c r="I108" s="861"/>
      <c r="J108" s="573" t="str">
        <f>FHD_NOTE_P_68</f>
        <v/>
      </c>
      <c r="K108" s="827"/>
      <c r="L108" s="1920"/>
      <c r="M108" s="1920"/>
      <c r="R108" s="1920"/>
      <c r="U108" s="828"/>
      <c r="AA108" s="1916"/>
      <c r="AB108" s="1916"/>
      <c r="AC108" s="1916"/>
      <c r="AD108" s="1916"/>
      <c r="AE108" s="1916"/>
      <c r="AF108" s="1444">
        <v>0</v>
      </c>
    </row>
    <row s="14157" customFormat="1" customHeight="1" ht="18.75">
      <c r="A109" s="2655"/>
      <c r="C109" s="1920"/>
      <c r="D109" s="1922"/>
      <c r="E109" s="830" t="str">
        <f>FHD_NUM_P_69</f>
        <v>10.3</v>
      </c>
      <c r="F109" s="1808" t="str">
        <f>FHD_P_69</f>
        <v>По нормативам потребления коммунальных услуг и нормативам потребления коммунальных ресурсов</v>
      </c>
      <c r="G109" s="2161" t="s">
        <v>591</v>
      </c>
      <c r="H109" s="861"/>
      <c r="I109" s="861"/>
      <c r="J109" s="573" t="str">
        <f>FHD_NOTE_P_69</f>
        <v/>
      </c>
      <c r="K109" s="827"/>
      <c r="L109" s="1920"/>
      <c r="M109" s="1920"/>
      <c r="R109" s="1920"/>
      <c r="U109" s="828"/>
      <c r="AA109" s="1916"/>
      <c r="AB109" s="1916"/>
      <c r="AC109" s="1916"/>
      <c r="AD109" s="1916"/>
      <c r="AE109" s="1916"/>
      <c r="AF109" s="1444">
        <v>0</v>
      </c>
    </row>
    <row s="14157" customFormat="1" customHeight="1" ht="22.5">
      <c r="A110" s="2655"/>
      <c r="C110" s="1920"/>
      <c r="D110" s="1922"/>
      <c r="E110" s="830" t="str">
        <f>FHD_NUM_P_70</f>
        <v>11</v>
      </c>
      <c r="F110" s="2164" t="str">
        <f>FHD_P_70</f>
        <v>Нормативы технологических потерь при передаче тепловой энергии, теплоносителя по тепловым сетям, утвержденные уполномоченным органом</v>
      </c>
      <c r="G110" s="2161" t="s">
        <v>597</v>
      </c>
      <c r="H110" s="841"/>
      <c r="I110" s="841"/>
      <c r="J110" s="573" t="str">
        <f>FHD_NOTE_P_70</f>
        <v/>
      </c>
      <c r="K110" s="827"/>
      <c r="L110" s="1920"/>
      <c r="M110" s="1920"/>
      <c r="R110" s="1920"/>
      <c r="U110" s="828"/>
      <c r="AA110" s="1916"/>
      <c r="AB110" s="1916"/>
      <c r="AC110" s="1916"/>
      <c r="AD110" s="1916"/>
      <c r="AE110" s="1916"/>
      <c r="AF110" s="1444">
        <v>0</v>
      </c>
    </row>
    <row s="14157" customFormat="1" customHeight="1" ht="22.5">
      <c r="A111" s="2655"/>
      <c r="C111" s="1920"/>
      <c r="D111" s="1922"/>
      <c r="E111" s="830" t="str">
        <f>FHD_NUM_P_71</f>
        <v>12</v>
      </c>
      <c r="F111" s="2164" t="str">
        <f>FHD_P_71</f>
        <v>Фактический объем потерь при передаче тепловой энергии</v>
      </c>
      <c r="G111" s="2161" t="s">
        <v>597</v>
      </c>
      <c r="H111" s="841"/>
      <c r="I111" s="841"/>
      <c r="J111" s="573" t="str">
        <f>FHD_NOTE_P_71</f>
        <v/>
      </c>
      <c r="K111" s="827"/>
      <c r="L111" s="1920"/>
      <c r="M111" s="1920"/>
      <c r="R111" s="1920"/>
      <c r="U111" s="828"/>
      <c r="AA111" s="1916"/>
      <c r="AB111" s="1916"/>
      <c r="AC111" s="1916"/>
      <c r="AD111" s="1916"/>
      <c r="AE111" s="1916"/>
      <c r="AF111" s="1444">
        <v>0</v>
      </c>
    </row>
    <row customHeight="1" ht="19.95">
      <c r="D112" s="1922"/>
      <c r="E112" s="830" t="str">
        <f>FHD_NUM_P_72</f>
        <v>13</v>
      </c>
      <c r="F112" s="2164" t="str">
        <f>FHD_P_72</f>
        <v>Среднесписочная численность основного производственного персонала</v>
      </c>
      <c r="G112" s="2160" t="s">
        <v>598</v>
      </c>
      <c r="H112" s="861"/>
      <c r="I112" s="861"/>
      <c r="J112" s="573" t="str">
        <f>FHD_NOTE_P_72</f>
        <v/>
      </c>
      <c r="K112" s="827"/>
      <c r="AF112" s="1915">
        <v>19</v>
      </c>
    </row>
    <row customHeight="1" ht="18.75">
      <c r="A113" s="1273" t="s">
        <v>599</v>
      </c>
      <c r="D113" s="1922"/>
      <c r="E113" s="830" t="str">
        <f>FHD_NUM_P_73</f>
        <v>14</v>
      </c>
      <c r="F113" s="2164" t="str">
        <f>FHD_P_73</f>
        <v>Среднесписочная численность административно-управленческого персонала</v>
      </c>
      <c r="G113" s="1254" t="s">
        <v>598</v>
      </c>
      <c r="H113" s="1252"/>
      <c r="I113" s="1252"/>
      <c r="J113" s="573" t="str">
        <f>FHD_NOTE_P_73</f>
        <v/>
      </c>
      <c r="K113" s="827"/>
      <c r="AF113" s="1915">
        <v>0</v>
      </c>
    </row>
    <row customHeight="1" ht="33.75" hidden="1">
      <c r="A114" s="1273" t="s">
        <v>600</v>
      </c>
      <c r="D114" s="1922"/>
      <c r="E114" s="830" t="str">
        <f>FHD_NUM_P_74</f>
        <v/>
      </c>
      <c r="F114" s="2164" t="str">
        <f>FHD_P_74</f>
        <v/>
      </c>
      <c r="G114" s="2160" t="s">
        <v>601</v>
      </c>
      <c r="H114" s="861"/>
      <c r="I114" s="861"/>
      <c r="J114" s="573" t="str">
        <f>FHD_NOTE_P_74</f>
        <v/>
      </c>
      <c r="K114" s="827"/>
      <c r="AF114" s="1915">
        <v>0</v>
      </c>
    </row>
    <row s="14077" customFormat="1" customHeight="1" ht="18.75" hidden="1">
      <c r="A115" s="2657" t="s">
        <v>602</v>
      </c>
      <c r="B115" s="1194"/>
      <c r="C115" s="1019"/>
      <c r="D115" s="1017"/>
      <c r="E115" s="830" t="str">
        <f>FHD_NUM_P_75</f>
        <v/>
      </c>
      <c r="F115" s="2164" t="str">
        <f>FHD_P_75</f>
        <v/>
      </c>
      <c r="G115" s="2160" t="s">
        <v>566</v>
      </c>
      <c r="H115" s="841"/>
      <c r="I115" s="841"/>
      <c r="J115" s="573" t="str">
        <f>FHD_NOTE_P_75</f>
        <v/>
      </c>
      <c r="K115" s="1018"/>
      <c r="L115" s="1019"/>
      <c r="M115" s="1019"/>
      <c r="N115" s="1194"/>
      <c r="O115" s="1194"/>
      <c r="P115" s="1194"/>
      <c r="Q115" s="1194"/>
      <c r="R115" s="1019"/>
      <c r="S115" s="1194"/>
      <c r="T115" s="1194"/>
      <c r="U115" s="1020"/>
      <c r="V115" s="1194"/>
      <c r="W115" s="1194"/>
      <c r="X115" s="1194"/>
      <c r="Y115" s="1194"/>
      <c r="Z115" s="1194"/>
      <c r="AA115" s="1021"/>
      <c r="AB115" s="1021"/>
      <c r="AC115" s="1021"/>
      <c r="AD115" s="1021"/>
      <c r="AE115" s="1021"/>
      <c r="AF115" s="1023">
        <v>0</v>
      </c>
    </row>
    <row s="14077" customFormat="1" customHeight="1" ht="18.75" hidden="1">
      <c r="A116" s="2657"/>
      <c r="B116" s="1194"/>
      <c r="C116" s="1019"/>
      <c r="D116" s="1017"/>
      <c r="E116" s="830" t="str">
        <f>FHD_NUM_P_76</f>
        <v/>
      </c>
      <c r="F116" s="2164" t="str">
        <f>FHD_P_76</f>
        <v/>
      </c>
      <c r="G116" s="2160" t="s">
        <v>566</v>
      </c>
      <c r="H116" s="841"/>
      <c r="I116" s="841"/>
      <c r="J116" s="573" t="str">
        <f>FHD_NOTE_P_76</f>
        <v/>
      </c>
      <c r="K116" s="1018"/>
      <c r="L116" s="1019"/>
      <c r="M116" s="1019"/>
      <c r="N116" s="1194"/>
      <c r="O116" s="1194"/>
      <c r="P116" s="1194"/>
      <c r="Q116" s="1194"/>
      <c r="R116" s="1019"/>
      <c r="S116" s="1194"/>
      <c r="T116" s="1194"/>
      <c r="U116" s="1020"/>
      <c r="V116" s="1194"/>
      <c r="W116" s="1194"/>
      <c r="X116" s="1194"/>
      <c r="Y116" s="1194"/>
      <c r="Z116" s="1194"/>
      <c r="AA116" s="1021"/>
      <c r="AB116" s="1021"/>
      <c r="AC116" s="1021"/>
      <c r="AD116" s="1021"/>
      <c r="AE116" s="1021"/>
      <c r="AF116" s="1023">
        <v>0</v>
      </c>
    </row>
    <row s="14077" customFormat="1" customHeight="1" ht="18.75" hidden="1">
      <c r="A117" s="2657"/>
      <c r="B117" s="1194"/>
      <c r="C117" s="1019"/>
      <c r="D117" s="1017"/>
      <c r="E117" s="830" t="str">
        <f>FHD_NUM_P_77</f>
        <v/>
      </c>
      <c r="F117" s="2164" t="str">
        <f>FHD_P_77</f>
        <v/>
      </c>
      <c r="G117" s="2160" t="s">
        <v>566</v>
      </c>
      <c r="H117" s="841"/>
      <c r="I117" s="841"/>
      <c r="J117" s="573" t="str">
        <f>FHD_NOTE_P_77</f>
        <v/>
      </c>
      <c r="K117" s="1018"/>
      <c r="L117" s="1019"/>
      <c r="M117" s="1019"/>
      <c r="N117" s="1194"/>
      <c r="O117" s="1194"/>
      <c r="P117" s="1194"/>
      <c r="Q117" s="1194"/>
      <c r="R117" s="1019"/>
      <c r="S117" s="1194"/>
      <c r="T117" s="1194"/>
      <c r="U117" s="1020"/>
      <c r="V117" s="1194"/>
      <c r="W117" s="1194"/>
      <c r="X117" s="1194"/>
      <c r="Y117" s="1194"/>
      <c r="Z117" s="1194"/>
      <c r="AA117" s="1021"/>
      <c r="AB117" s="1021"/>
      <c r="AC117" s="1021"/>
      <c r="AD117" s="1021"/>
      <c r="AE117" s="1021"/>
      <c r="AF117" s="1023">
        <v>0</v>
      </c>
    </row>
    <row s="14158" customFormat="1" customHeight="1" ht="0.75" hidden="1">
      <c r="A118" s="2657"/>
      <c r="D118" s="832"/>
      <c r="E118" s="1297" t="str">
        <f>E117&amp;".0"</f>
        <v>.0</v>
      </c>
      <c r="F118" s="1281"/>
      <c r="G118" s="1935"/>
      <c r="H118" s="1276"/>
      <c r="I118" s="1276"/>
      <c r="J118" s="1280"/>
      <c r="AF118" s="1920">
        <v>0</v>
      </c>
    </row>
    <row s="14077" customFormat="1" customHeight="1" ht="15" hidden="1">
      <c r="A119" s="2657"/>
      <c r="B119" s="1194"/>
      <c r="C119" s="1019"/>
      <c r="D119" s="1030"/>
      <c r="E119" s="1257"/>
      <c r="F119" s="1258" t="s">
        <v>603</v>
      </c>
      <c r="G119" s="1031"/>
      <c r="H119" s="1032"/>
      <c r="I119" s="1032"/>
      <c r="J119" s="1287" t="s">
        <v>604</v>
      </c>
      <c r="K119" s="1018"/>
      <c r="L119" s="1019"/>
      <c r="M119" s="1019"/>
      <c r="N119" s="1194"/>
      <c r="O119" s="1194"/>
      <c r="P119" s="1194"/>
      <c r="Q119" s="1194"/>
      <c r="R119" s="1019"/>
      <c r="S119" s="1194"/>
      <c r="T119" s="1194"/>
      <c r="U119" s="1020"/>
      <c r="V119" s="1194"/>
      <c r="W119" s="1194"/>
      <c r="X119" s="1194"/>
      <c r="Y119" s="1194"/>
      <c r="Z119" s="1194"/>
      <c r="AA119" s="1021"/>
      <c r="AB119" s="1021"/>
      <c r="AC119" s="1021"/>
      <c r="AD119" s="1021"/>
      <c r="AE119" s="1021"/>
      <c r="AF119" s="1023">
        <v>0</v>
      </c>
    </row>
    <row customHeight="1" ht="22.5">
      <c r="A120" s="2655" t="s">
        <v>605</v>
      </c>
      <c r="D120" s="1922"/>
      <c r="E120" s="830" t="str">
        <f>FHD_NUM_P_78</f>
        <v>15</v>
      </c>
      <c r="F120" s="2164" t="str">
        <f>FHD_P_78</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0" s="2161" t="s">
        <v>568</v>
      </c>
      <c r="H120" s="861"/>
      <c r="I120" s="861"/>
      <c r="J120" s="573" t="str">
        <f>FHD_NOTE_P_78</f>
        <v/>
      </c>
      <c r="K120" s="827"/>
      <c r="AF120" s="1915">
        <v>0</v>
      </c>
    </row>
    <row s="14158" customFormat="1" customHeight="1" ht="0.75">
      <c r="A121" s="2655"/>
      <c r="D121" s="832"/>
      <c r="E121" s="1297" t="str">
        <f>E120&amp;".0"</f>
        <v>15.0</v>
      </c>
      <c r="F121" s="1281"/>
      <c r="G121" s="1935"/>
      <c r="H121" s="1276"/>
      <c r="I121" s="1276"/>
      <c r="J121" s="1280"/>
      <c r="AF121" s="1920">
        <v>0</v>
      </c>
    </row>
    <row customHeight="1" ht="15">
      <c r="A122" s="2655"/>
      <c r="D122" s="1917"/>
      <c r="E122" s="854"/>
      <c r="F122" s="1452" t="s">
        <v>594</v>
      </c>
      <c r="G122" s="856"/>
      <c r="H122" s="857"/>
      <c r="I122" s="857"/>
      <c r="J122" s="1288" t="s">
        <v>606</v>
      </c>
      <c r="K122" s="827"/>
      <c r="AF122" s="1915">
        <v>0</v>
      </c>
    </row>
    <row customHeight="1" ht="22.5">
      <c r="A123" s="2655"/>
      <c r="D123" s="1922"/>
      <c r="E123" s="830" t="str">
        <f>FHD_NUM_P_79</f>
        <v>16</v>
      </c>
      <c r="F123" s="2164" t="str">
        <f>FHD_P_79</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3" s="2162" t="s">
        <v>570</v>
      </c>
      <c r="H123" s="861"/>
      <c r="I123" s="861"/>
      <c r="J123" s="573" t="str">
        <f>FHD_NOTE_P_79</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K123" s="827"/>
      <c r="AF123" s="1915">
        <v>0</v>
      </c>
    </row>
    <row s="14158" customFormat="1" customHeight="1" ht="0.75">
      <c r="A124" s="2655"/>
      <c r="D124" s="832"/>
      <c r="E124" s="1297" t="str">
        <f>E123&amp;".0"</f>
        <v>16.0</v>
      </c>
      <c r="F124" s="1282"/>
      <c r="G124" s="1935"/>
      <c r="H124" s="1276"/>
      <c r="I124" s="1276"/>
      <c r="J124" s="1280"/>
      <c r="AF124" s="1920">
        <v>0</v>
      </c>
    </row>
    <row customHeight="1" ht="15">
      <c r="A125" s="2655"/>
      <c r="D125" s="1917"/>
      <c r="E125" s="854"/>
      <c r="F125" s="1452" t="s">
        <v>594</v>
      </c>
      <c r="G125" s="856"/>
      <c r="H125" s="857"/>
      <c r="I125" s="857"/>
      <c r="J125" s="1288" t="s">
        <v>607</v>
      </c>
      <c r="K125" s="827"/>
      <c r="AF125" s="1915">
        <v>0</v>
      </c>
    </row>
    <row customHeight="1" ht="22.5">
      <c r="A126" s="2655"/>
      <c r="D126" s="1922"/>
      <c r="E126" s="830" t="str">
        <f>FHD_NUM_P_80</f>
        <v>17</v>
      </c>
      <c r="F126" s="2164" t="str">
        <f>FHD_P_80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6" s="2162" t="s">
        <v>608</v>
      </c>
      <c r="H126" s="841"/>
      <c r="I126" s="841"/>
      <c r="J126" s="573" t="str">
        <f>FHD_NOTE_P_80</f>
        <v>Регулируемыми организациями указывается информация с по договорам, заключенным в рамках осуществления регулируемой деятельности.</v>
      </c>
      <c r="K126" s="827"/>
      <c r="AF126" s="1915">
        <v>0</v>
      </c>
    </row>
    <row customHeight="1" ht="18.75">
      <c r="A127" s="2655"/>
      <c r="D127" s="1922"/>
      <c r="E127" s="830" t="str">
        <f>FHD_NUM_P_81</f>
        <v>18</v>
      </c>
      <c r="F127" s="2164" t="str">
        <f>FHD_P_81</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7" s="2162" t="s">
        <v>609</v>
      </c>
      <c r="H127" s="841"/>
      <c r="I127" s="841"/>
      <c r="J127" s="573" t="str">
        <f>FHD_NOTE_P_81</f>
        <v>Регулируемыми организациями указывается информация с по договорам, заключенным в рамках осуществления регулируемой деятельности.</v>
      </c>
      <c r="K127" s="827"/>
      <c r="AF127" s="1915">
        <v>0</v>
      </c>
    </row>
    <row customHeight="1" ht="18.75">
      <c r="A128" s="2655"/>
      <c r="C128" s="1920" t="s">
        <v>596</v>
      </c>
      <c r="D128" s="1922"/>
      <c r="E128" s="830" t="str">
        <f>FHD_NUM_P_82</f>
        <v>19</v>
      </c>
      <c r="F128" s="2164" t="str">
        <f>FHD_P_82</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G128" s="2162" t="s">
        <v>311</v>
      </c>
      <c r="H128" s="685"/>
      <c r="I128" s="685"/>
      <c r="J128" s="573" t="str">
        <f>FHD_NOTE_P_82</f>
        <v>Указывается ссылка на документ, предварительно загруженный в хранилище файлов ФГИС ЕИАС.</v>
      </c>
      <c r="K128" s="827"/>
      <c r="AF128" s="1915">
        <v>0</v>
      </c>
    </row>
    <row customHeight="1" ht="18.75">
      <c r="A129" s="2655"/>
      <c r="C129" s="1920" t="s">
        <v>596</v>
      </c>
      <c r="D129" s="1922"/>
      <c r="E129" s="830" t="str">
        <f>FHD_NUM_P_83</f>
        <v>19.1</v>
      </c>
      <c r="F129" s="1808" t="str">
        <f>FHD_P_83</f>
        <v>Информация о показателях физического износа объектов теплоснабжения</v>
      </c>
      <c r="G129" s="2162" t="s">
        <v>311</v>
      </c>
      <c r="H129" s="685"/>
      <c r="I129" s="685"/>
      <c r="J129" s="573" t="str">
        <f>FHD_NOTE_P_83</f>
        <v>Указывается ссылка на документ, предварительно загруженный в хранилище файлов ФГИС ЕИАС.</v>
      </c>
      <c r="K129" s="827"/>
      <c r="AF129" s="1915">
        <v>0</v>
      </c>
    </row>
    <row customHeight="1" ht="18.75">
      <c r="A130" s="2655"/>
      <c r="C130" s="1920" t="s">
        <v>596</v>
      </c>
      <c r="D130" s="1922"/>
      <c r="E130" s="830" t="str">
        <f>FHD_NUM_P_84</f>
        <v>19.2</v>
      </c>
      <c r="F130" s="1808" t="str">
        <f>FHD_P_84</f>
        <v>Информация о показателях энергетической эффективности объектов теплоснабжения</v>
      </c>
      <c r="G130" s="2162" t="s">
        <v>311</v>
      </c>
      <c r="H130" s="685"/>
      <c r="I130" s="685"/>
      <c r="J130" s="573" t="str">
        <f>FHD_NOTE_P_84</f>
        <v>Указывается ссылка на документ, предварительно загруженный в хранилище файлов ФГИС ЕИАС.</v>
      </c>
      <c r="K130" s="827"/>
      <c r="AF130" s="1915">
        <v>0</v>
      </c>
    </row>
    <row customHeight="1" ht="11.549999999999999">
      <c r="D131" s="1922"/>
      <c r="AF131" s="1915">
        <v>11</v>
      </c>
    </row>
    <row customHeight="1" ht="13.5">
      <c r="D132" s="1922"/>
      <c r="E132" s="620"/>
      <c r="F132" s="653"/>
      <c r="G132" s="653"/>
      <c r="H132" s="653"/>
      <c r="I132" s="1931"/>
      <c r="J132" s="865"/>
      <c r="AF132" s="1915">
        <v>13</v>
      </c>
    </row>
    <row s="14730" customFormat="1" customHeight="1" ht="11.549999999999999">
      <c r="A133" s="1271"/>
      <c r="B133" s="1920"/>
      <c r="C133" s="1920"/>
      <c r="D133" s="635"/>
      <c r="F133" s="1924"/>
      <c r="G133" s="1915"/>
      <c r="H133" s="1915"/>
      <c r="I133" s="1915"/>
      <c r="K133" s="1444"/>
      <c r="L133" s="1920"/>
      <c r="M133" s="1920"/>
      <c r="N133" s="1444"/>
      <c r="O133" s="1444"/>
      <c r="P133" s="1444"/>
      <c r="Q133" s="1444"/>
      <c r="R133" s="1920"/>
      <c r="S133" s="1444"/>
      <c r="T133" s="1444"/>
      <c r="U133" s="828"/>
      <c r="V133" s="1444"/>
      <c r="W133" s="1444"/>
      <c r="X133" s="1444"/>
      <c r="Y133" s="1444"/>
      <c r="Z133" s="1444"/>
      <c r="AA133" s="1916"/>
      <c r="AB133" s="850"/>
      <c r="AC133" s="850"/>
      <c r="AD133" s="850"/>
      <c r="AE133" s="850"/>
      <c r="AF133" s="1925">
        <v>11</v>
      </c>
    </row>
    <row s="14730" customFormat="1" customHeight="1" ht="11.549999999999999">
      <c r="A134" s="1271"/>
      <c r="B134" s="1920"/>
      <c r="C134" s="1920"/>
      <c r="D134" s="635"/>
      <c r="K134" s="1444"/>
      <c r="L134" s="1920"/>
      <c r="M134" s="1920"/>
      <c r="N134" s="1444"/>
      <c r="O134" s="1444"/>
      <c r="P134" s="1444"/>
      <c r="Q134" s="1444"/>
      <c r="R134" s="1920"/>
      <c r="S134" s="1444"/>
      <c r="T134" s="1444"/>
      <c r="U134" s="828"/>
      <c r="V134" s="1444"/>
      <c r="W134" s="1444"/>
      <c r="X134" s="1444"/>
      <c r="Y134" s="1444"/>
      <c r="Z134" s="1444"/>
      <c r="AA134" s="1916"/>
      <c r="AB134" s="850"/>
      <c r="AC134" s="850"/>
      <c r="AD134" s="850"/>
      <c r="AE134" s="850"/>
      <c r="AF134" s="1925">
        <v>11</v>
      </c>
    </row>
    <row s="14730" customFormat="1" customHeight="1" ht="11.549999999999999">
      <c r="A135" s="1271"/>
      <c r="B135" s="1920"/>
      <c r="C135" s="1920"/>
      <c r="D135" s="635"/>
      <c r="K135" s="1444"/>
      <c r="L135" s="1920"/>
      <c r="M135" s="1920"/>
      <c r="N135" s="1444"/>
      <c r="O135" s="1444"/>
      <c r="P135" s="1444"/>
      <c r="Q135" s="1444"/>
      <c r="R135" s="1920"/>
      <c r="S135" s="1444"/>
      <c r="T135" s="1444"/>
      <c r="U135" s="828"/>
      <c r="V135" s="1444"/>
      <c r="W135" s="1444"/>
      <c r="X135" s="1444"/>
      <c r="Y135" s="1444"/>
      <c r="Z135" s="1444"/>
      <c r="AA135" s="1916"/>
      <c r="AB135" s="850"/>
      <c r="AC135" s="850"/>
      <c r="AD135" s="850"/>
      <c r="AE135" s="850"/>
      <c r="AF135" s="1925">
        <v>11</v>
      </c>
    </row>
    <row s="14730" customFormat="1" customHeight="1" ht="11.549999999999999">
      <c r="A136" s="1271"/>
      <c r="B136" s="1920"/>
      <c r="C136" s="1920"/>
      <c r="D136" s="635"/>
      <c r="H136" s="850" t="str">
        <f>IF(H30-H31&lt;&gt;H72,"WARNING","")</f>
        <v/>
      </c>
      <c r="I136" s="850" t="str">
        <f>IF(I30-I31&lt;&gt;I72,"WARNING","")</f>
        <v/>
      </c>
      <c r="K136" s="1444"/>
      <c r="L136" s="1920"/>
      <c r="M136" s="1920"/>
      <c r="N136" s="1444"/>
      <c r="O136" s="1444"/>
      <c r="P136" s="1444"/>
      <c r="Q136" s="1444"/>
      <c r="R136" s="1920"/>
      <c r="S136" s="1444"/>
      <c r="T136" s="1444"/>
      <c r="U136" s="828"/>
      <c r="V136" s="1444"/>
      <c r="W136" s="1444"/>
      <c r="X136" s="1444"/>
      <c r="Y136" s="1444"/>
      <c r="Z136" s="1444"/>
      <c r="AA136" s="1916"/>
      <c r="AB136" s="850"/>
      <c r="AC136" s="850"/>
      <c r="AD136" s="850"/>
      <c r="AE136" s="850"/>
      <c r="AF136" s="1925">
        <v>11</v>
      </c>
    </row>
    <row s="14730" customFormat="1" customHeight="1" ht="11.549999999999999">
      <c r="A137" s="1271"/>
      <c r="B137" s="1920"/>
      <c r="C137" s="1920"/>
      <c r="D137" s="635"/>
      <c r="K137" s="1444"/>
      <c r="L137" s="1920"/>
      <c r="M137" s="1920"/>
      <c r="N137" s="1444"/>
      <c r="O137" s="1444"/>
      <c r="P137" s="1444"/>
      <c r="Q137" s="1444"/>
      <c r="R137" s="1920"/>
      <c r="S137" s="1444"/>
      <c r="T137" s="1444"/>
      <c r="U137" s="828"/>
      <c r="V137" s="1444"/>
      <c r="W137" s="1444"/>
      <c r="X137" s="1444"/>
      <c r="Y137" s="1444"/>
      <c r="Z137" s="1444"/>
      <c r="AA137" s="1916"/>
      <c r="AB137" s="850"/>
      <c r="AC137" s="850"/>
      <c r="AD137" s="850"/>
      <c r="AE137" s="850"/>
      <c r="AF137" s="1925">
        <v>11</v>
      </c>
    </row>
    <row s="14730" customFormat="1" customHeight="1" ht="11.549999999999999">
      <c r="A138" s="1271"/>
      <c r="B138" s="1920"/>
      <c r="C138" s="1920"/>
      <c r="D138" s="635"/>
      <c r="K138" s="1444"/>
      <c r="L138" s="1920"/>
      <c r="M138" s="1920"/>
      <c r="N138" s="1444"/>
      <c r="O138" s="1444"/>
      <c r="P138" s="1444"/>
      <c r="Q138" s="1444"/>
      <c r="R138" s="1920"/>
      <c r="S138" s="1444"/>
      <c r="T138" s="1444"/>
      <c r="U138" s="828"/>
      <c r="V138" s="1444"/>
      <c r="W138" s="1444"/>
      <c r="X138" s="1444"/>
      <c r="Y138" s="1444"/>
      <c r="Z138" s="1444"/>
      <c r="AA138" s="1916"/>
      <c r="AB138" s="850"/>
      <c r="AC138" s="850"/>
      <c r="AD138" s="850"/>
      <c r="AE138" s="850"/>
      <c r="AF138" s="1925">
        <v>11</v>
      </c>
    </row>
    <row s="14730" customFormat="1" customHeight="1" ht="11.549999999999999">
      <c r="A139" s="1271"/>
      <c r="B139" s="1920"/>
      <c r="C139" s="1920"/>
      <c r="D139" s="635"/>
      <c r="K139" s="1444"/>
      <c r="L139" s="1920"/>
      <c r="M139" s="1920"/>
      <c r="N139" s="1444"/>
      <c r="O139" s="1444"/>
      <c r="P139" s="1444"/>
      <c r="Q139" s="1444"/>
      <c r="R139" s="1920"/>
      <c r="S139" s="1444"/>
      <c r="T139" s="1444"/>
      <c r="U139" s="828"/>
      <c r="V139" s="1444"/>
      <c r="W139" s="1444"/>
      <c r="X139" s="1444"/>
      <c r="Y139" s="1444"/>
      <c r="Z139" s="1444"/>
      <c r="AA139" s="1916"/>
      <c r="AB139" s="850"/>
      <c r="AC139" s="850"/>
      <c r="AD139" s="850"/>
      <c r="AE139" s="850"/>
      <c r="AF139" s="1925">
        <v>11</v>
      </c>
    </row>
    <row s="14730" customFormat="1" customHeight="1" ht="11.549999999999999">
      <c r="A140" s="1271"/>
      <c r="B140" s="1920"/>
      <c r="C140" s="1920"/>
      <c r="D140" s="635"/>
      <c r="K140" s="1444"/>
      <c r="L140" s="1920"/>
      <c r="M140" s="1920"/>
      <c r="N140" s="1444"/>
      <c r="O140" s="1444"/>
      <c r="P140" s="1444"/>
      <c r="Q140" s="1444"/>
      <c r="R140" s="1920"/>
      <c r="S140" s="1444"/>
      <c r="T140" s="1444"/>
      <c r="U140" s="828"/>
      <c r="V140" s="1444"/>
      <c r="W140" s="1444"/>
      <c r="X140" s="1444"/>
      <c r="Y140" s="1444"/>
      <c r="Z140" s="1444"/>
      <c r="AA140" s="1916"/>
      <c r="AB140" s="850"/>
      <c r="AC140" s="850"/>
      <c r="AD140" s="850"/>
      <c r="AE140" s="850"/>
      <c r="AF140" s="1925">
        <v>11</v>
      </c>
    </row>
    <row s="14730" customFormat="1" customHeight="1" ht="11.549999999999999">
      <c r="A141" s="1271"/>
      <c r="B141" s="1920"/>
      <c r="C141" s="1920"/>
      <c r="D141" s="635"/>
      <c r="K141" s="1444"/>
      <c r="L141" s="1920"/>
      <c r="M141" s="1920"/>
      <c r="N141" s="1444"/>
      <c r="O141" s="1444"/>
      <c r="P141" s="1444"/>
      <c r="Q141" s="1444"/>
      <c r="R141" s="1920"/>
      <c r="S141" s="1444"/>
      <c r="T141" s="1444"/>
      <c r="U141" s="828"/>
      <c r="V141" s="1444"/>
      <c r="W141" s="1444"/>
      <c r="X141" s="1444"/>
      <c r="Y141" s="1444"/>
      <c r="Z141" s="1444"/>
      <c r="AA141" s="1916"/>
      <c r="AB141" s="850"/>
      <c r="AC141" s="850"/>
      <c r="AD141" s="850"/>
      <c r="AE141" s="850"/>
      <c r="AF141" s="1925">
        <v>11</v>
      </c>
    </row>
    <row s="14730" customFormat="1" customHeight="1" ht="11.549999999999999">
      <c r="A142" s="1271"/>
      <c r="B142" s="1920"/>
      <c r="C142" s="1920"/>
      <c r="D142" s="635"/>
      <c r="K142" s="1444"/>
      <c r="L142" s="1920"/>
      <c r="M142" s="1920"/>
      <c r="N142" s="1444"/>
      <c r="O142" s="1444"/>
      <c r="P142" s="1444"/>
      <c r="Q142" s="1444"/>
      <c r="R142" s="1920"/>
      <c r="S142" s="1444"/>
      <c r="T142" s="1444"/>
      <c r="U142" s="828"/>
      <c r="V142" s="1444"/>
      <c r="W142" s="1444"/>
      <c r="X142" s="1444"/>
      <c r="Y142" s="1444"/>
      <c r="Z142" s="1444"/>
      <c r="AA142" s="1916"/>
      <c r="AB142" s="850"/>
      <c r="AC142" s="850"/>
      <c r="AD142" s="850"/>
      <c r="AE142" s="850"/>
      <c r="AF142" s="1925">
        <v>11</v>
      </c>
    </row>
    <row s="14730" customFormat="1" customHeight="1" ht="11.549999999999999">
      <c r="A143" s="1271"/>
      <c r="B143" s="1920"/>
      <c r="C143" s="1920"/>
      <c r="D143" s="635"/>
      <c r="K143" s="1444"/>
      <c r="L143" s="1920"/>
      <c r="M143" s="1920"/>
      <c r="N143" s="1444"/>
      <c r="O143" s="1444"/>
      <c r="P143" s="1444"/>
      <c r="Q143" s="1444"/>
      <c r="R143" s="1920"/>
      <c r="S143" s="1444"/>
      <c r="T143" s="1444"/>
      <c r="U143" s="828"/>
      <c r="V143" s="1444"/>
      <c r="W143" s="1444"/>
      <c r="X143" s="1444"/>
      <c r="Y143" s="1444"/>
      <c r="Z143" s="1444"/>
      <c r="AA143" s="1916"/>
      <c r="AB143" s="850"/>
      <c r="AC143" s="850"/>
      <c r="AD143" s="850"/>
      <c r="AE143" s="850"/>
      <c r="AF143" s="1925">
        <v>11</v>
      </c>
    </row>
    <row s="14730" customFormat="1" customHeight="1" ht="11.549999999999999">
      <c r="A144" s="1271"/>
      <c r="B144" s="1920"/>
      <c r="C144" s="1920"/>
      <c r="D144" s="635"/>
      <c r="K144" s="1444"/>
      <c r="L144" s="1920"/>
      <c r="M144" s="1920"/>
      <c r="N144" s="1444"/>
      <c r="O144" s="1444"/>
      <c r="P144" s="1444"/>
      <c r="Q144" s="1444"/>
      <c r="R144" s="1920"/>
      <c r="S144" s="1444"/>
      <c r="T144" s="1444"/>
      <c r="U144" s="828"/>
      <c r="V144" s="1444"/>
      <c r="W144" s="1444"/>
      <c r="X144" s="1444"/>
      <c r="Y144" s="1444"/>
      <c r="Z144" s="1444"/>
      <c r="AA144" s="1916"/>
      <c r="AB144" s="850"/>
      <c r="AC144" s="850"/>
      <c r="AD144" s="850"/>
      <c r="AE144" s="850"/>
      <c r="AF144" s="1925">
        <v>11</v>
      </c>
    </row>
    <row s="14730" customFormat="1" customHeight="1" ht="11.549999999999999">
      <c r="A145" s="1271"/>
      <c r="B145" s="1920"/>
      <c r="C145" s="1920"/>
      <c r="D145" s="635"/>
      <c r="K145" s="1444"/>
      <c r="L145" s="1920"/>
      <c r="M145" s="1920"/>
      <c r="N145" s="1444"/>
      <c r="O145" s="1444"/>
      <c r="P145" s="1444"/>
      <c r="Q145" s="1444"/>
      <c r="R145" s="1920"/>
      <c r="S145" s="1444"/>
      <c r="T145" s="1444"/>
      <c r="U145" s="828"/>
      <c r="V145" s="1444"/>
      <c r="W145" s="1444"/>
      <c r="X145" s="1444"/>
      <c r="Y145" s="1444"/>
      <c r="Z145" s="1444"/>
      <c r="AA145" s="1916"/>
      <c r="AB145" s="850"/>
      <c r="AC145" s="850"/>
      <c r="AD145" s="850"/>
      <c r="AE145" s="850"/>
      <c r="AF145" s="1925">
        <v>11</v>
      </c>
    </row>
    <row s="14730" customFormat="1" customHeight="1" ht="11.549999999999999">
      <c r="A146" s="1271"/>
      <c r="B146" s="1920"/>
      <c r="C146" s="1920"/>
      <c r="D146" s="635"/>
      <c r="K146" s="1444"/>
      <c r="L146" s="1920"/>
      <c r="M146" s="1920"/>
      <c r="N146" s="1444"/>
      <c r="O146" s="1444"/>
      <c r="P146" s="1444"/>
      <c r="Q146" s="1444"/>
      <c r="R146" s="1920"/>
      <c r="S146" s="1444"/>
      <c r="T146" s="1444"/>
      <c r="U146" s="828"/>
      <c r="V146" s="1444"/>
      <c r="W146" s="1444"/>
      <c r="X146" s="1444"/>
      <c r="Y146" s="1444"/>
      <c r="Z146" s="1444"/>
      <c r="AA146" s="1916"/>
      <c r="AB146" s="850"/>
      <c r="AC146" s="850"/>
      <c r="AD146" s="850"/>
      <c r="AE146" s="850"/>
      <c r="AF146" s="1925">
        <v>11</v>
      </c>
    </row>
    <row s="14730" customFormat="1" customHeight="1" ht="11.549999999999999">
      <c r="A147" s="1271"/>
      <c r="B147" s="1920"/>
      <c r="C147" s="1920"/>
      <c r="D147" s="635"/>
      <c r="K147" s="1444"/>
      <c r="L147" s="1920"/>
      <c r="M147" s="1920"/>
      <c r="N147" s="1444"/>
      <c r="O147" s="1444"/>
      <c r="P147" s="1444"/>
      <c r="Q147" s="1444"/>
      <c r="R147" s="1920"/>
      <c r="S147" s="1444"/>
      <c r="T147" s="1444"/>
      <c r="U147" s="828"/>
      <c r="V147" s="1444"/>
      <c r="W147" s="1444"/>
      <c r="X147" s="1444"/>
      <c r="Y147" s="1444"/>
      <c r="Z147" s="1444"/>
      <c r="AA147" s="1916"/>
      <c r="AB147" s="850"/>
      <c r="AC147" s="850"/>
      <c r="AD147" s="850"/>
      <c r="AE147" s="850"/>
      <c r="AF147" s="1925">
        <v>11</v>
      </c>
    </row>
    <row s="14730" customFormat="1" customHeight="1" ht="11.549999999999999">
      <c r="A148" s="1271"/>
      <c r="B148" s="1920"/>
      <c r="C148" s="1920"/>
      <c r="D148" s="635"/>
      <c r="K148" s="1444"/>
      <c r="L148" s="1920"/>
      <c r="M148" s="1920"/>
      <c r="N148" s="1444"/>
      <c r="O148" s="1444"/>
      <c r="P148" s="1444"/>
      <c r="Q148" s="1444"/>
      <c r="R148" s="1920"/>
      <c r="S148" s="1444"/>
      <c r="T148" s="1444"/>
      <c r="U148" s="828"/>
      <c r="V148" s="1444"/>
      <c r="W148" s="1444"/>
      <c r="X148" s="1444"/>
      <c r="Y148" s="1444"/>
      <c r="Z148" s="1444"/>
      <c r="AA148" s="1916"/>
      <c r="AB148" s="850"/>
      <c r="AC148" s="850"/>
      <c r="AD148" s="850"/>
      <c r="AE148" s="850"/>
      <c r="AF148" s="1925">
        <v>11</v>
      </c>
    </row>
    <row s="14730" customFormat="1" customHeight="1" ht="11.549999999999999">
      <c r="A149" s="1271"/>
      <c r="B149" s="1920"/>
      <c r="C149" s="1920"/>
      <c r="D149" s="635"/>
      <c r="K149" s="1444"/>
      <c r="L149" s="1920"/>
      <c r="M149" s="1920"/>
      <c r="N149" s="1444"/>
      <c r="O149" s="1444"/>
      <c r="P149" s="1444"/>
      <c r="Q149" s="1444"/>
      <c r="R149" s="1920"/>
      <c r="S149" s="1444"/>
      <c r="T149" s="1444"/>
      <c r="U149" s="828"/>
      <c r="V149" s="1444"/>
      <c r="W149" s="1444"/>
      <c r="X149" s="1444"/>
      <c r="Y149" s="1444"/>
      <c r="Z149" s="1444"/>
      <c r="AA149" s="1916"/>
      <c r="AB149" s="850"/>
      <c r="AC149" s="850"/>
      <c r="AD149" s="850"/>
      <c r="AE149" s="850"/>
      <c r="AF149" s="1925">
        <v>11</v>
      </c>
    </row>
    <row s="14730" customFormat="1" customHeight="1" ht="11.549999999999999">
      <c r="A150" s="1271"/>
      <c r="B150" s="1920"/>
      <c r="C150" s="1920"/>
      <c r="D150" s="635"/>
      <c r="K150" s="1444"/>
      <c r="L150" s="1920"/>
      <c r="M150" s="1920"/>
      <c r="N150" s="1444"/>
      <c r="O150" s="1444"/>
      <c r="P150" s="1444"/>
      <c r="Q150" s="1444"/>
      <c r="R150" s="1920"/>
      <c r="S150" s="1444"/>
      <c r="T150" s="1444"/>
      <c r="U150" s="828"/>
      <c r="V150" s="1444"/>
      <c r="W150" s="1444"/>
      <c r="X150" s="1444"/>
      <c r="Y150" s="1444"/>
      <c r="Z150" s="1444"/>
      <c r="AA150" s="1916"/>
      <c r="AB150" s="850"/>
      <c r="AC150" s="850"/>
      <c r="AD150" s="850"/>
      <c r="AE150" s="850"/>
      <c r="AF150" s="1925">
        <v>11</v>
      </c>
    </row>
    <row s="14730" customFormat="1" customHeight="1" ht="11.549999999999999">
      <c r="A151" s="1271"/>
      <c r="B151" s="1920"/>
      <c r="C151" s="1920"/>
      <c r="D151" s="635"/>
      <c r="K151" s="1444"/>
      <c r="L151" s="1920"/>
      <c r="M151" s="1920"/>
      <c r="N151" s="1444"/>
      <c r="O151" s="1444"/>
      <c r="P151" s="1444"/>
      <c r="Q151" s="1444"/>
      <c r="R151" s="1920"/>
      <c r="S151" s="1444"/>
      <c r="T151" s="1444"/>
      <c r="U151" s="828"/>
      <c r="V151" s="1444"/>
      <c r="W151" s="1444"/>
      <c r="X151" s="1444"/>
      <c r="Y151" s="1444"/>
      <c r="Z151" s="1444"/>
      <c r="AA151" s="1916"/>
      <c r="AB151" s="850"/>
      <c r="AC151" s="850"/>
      <c r="AD151" s="850"/>
      <c r="AE151" s="850"/>
      <c r="AF151" s="1925">
        <v>11</v>
      </c>
    </row>
    <row s="14730" customFormat="1" customHeight="1" ht="11.549999999999999">
      <c r="A152" s="1271"/>
      <c r="B152" s="1920"/>
      <c r="C152" s="1920"/>
      <c r="D152" s="635"/>
      <c r="K152" s="1444"/>
      <c r="L152" s="1920"/>
      <c r="M152" s="1920"/>
      <c r="N152" s="1444"/>
      <c r="O152" s="1444"/>
      <c r="P152" s="1444"/>
      <c r="Q152" s="1444"/>
      <c r="R152" s="1920"/>
      <c r="S152" s="1444"/>
      <c r="T152" s="1444"/>
      <c r="U152" s="828"/>
      <c r="V152" s="1444"/>
      <c r="W152" s="1444"/>
      <c r="X152" s="1444"/>
      <c r="Y152" s="1444"/>
      <c r="Z152" s="1444"/>
      <c r="AA152" s="1916"/>
      <c r="AB152" s="850"/>
      <c r="AC152" s="850"/>
      <c r="AD152" s="850"/>
      <c r="AE152" s="850"/>
      <c r="AF152" s="1925">
        <v>11</v>
      </c>
    </row>
    <row s="14730" customFormat="1" customHeight="1" ht="11.549999999999999">
      <c r="A153" s="1271"/>
      <c r="B153" s="1920"/>
      <c r="C153" s="1920"/>
      <c r="D153" s="635"/>
      <c r="K153" s="1444"/>
      <c r="L153" s="1920"/>
      <c r="M153" s="1920"/>
      <c r="N153" s="1444"/>
      <c r="O153" s="1444"/>
      <c r="P153" s="1444"/>
      <c r="Q153" s="1444"/>
      <c r="R153" s="1920"/>
      <c r="S153" s="1444"/>
      <c r="T153" s="1444"/>
      <c r="U153" s="828"/>
      <c r="V153" s="1444"/>
      <c r="W153" s="1444"/>
      <c r="X153" s="1444"/>
      <c r="Y153" s="1444"/>
      <c r="Z153" s="1444"/>
      <c r="AA153" s="1916"/>
      <c r="AB153" s="850"/>
      <c r="AC153" s="850"/>
      <c r="AD153" s="850"/>
      <c r="AE153" s="850"/>
      <c r="AF153" s="1925">
        <v>11</v>
      </c>
    </row>
    <row s="14730" customFormat="1" customHeight="1" ht="11.549999999999999">
      <c r="A154" s="1271"/>
      <c r="B154" s="1920"/>
      <c r="C154" s="1920"/>
      <c r="D154" s="635"/>
      <c r="K154" s="1444"/>
      <c r="L154" s="1920"/>
      <c r="M154" s="1920"/>
      <c r="N154" s="1444"/>
      <c r="O154" s="1444"/>
      <c r="P154" s="1444"/>
      <c r="Q154" s="1444"/>
      <c r="R154" s="1920"/>
      <c r="S154" s="1444"/>
      <c r="T154" s="1444"/>
      <c r="U154" s="828"/>
      <c r="V154" s="1444"/>
      <c r="W154" s="1444"/>
      <c r="X154" s="1444"/>
      <c r="Y154" s="1444"/>
      <c r="Z154" s="1444"/>
      <c r="AA154" s="1916"/>
      <c r="AB154" s="850"/>
      <c r="AC154" s="850"/>
      <c r="AD154" s="850"/>
      <c r="AE154" s="850"/>
      <c r="AF154" s="1925">
        <v>11</v>
      </c>
    </row>
    <row s="14730" customFormat="1" customHeight="1" ht="11.549999999999999">
      <c r="A155" s="1271"/>
      <c r="B155" s="1920"/>
      <c r="C155" s="1920"/>
      <c r="D155" s="635"/>
      <c r="K155" s="1444"/>
      <c r="L155" s="1920"/>
      <c r="M155" s="1920"/>
      <c r="N155" s="1444"/>
      <c r="O155" s="1444"/>
      <c r="P155" s="1444"/>
      <c r="Q155" s="1444"/>
      <c r="R155" s="1920"/>
      <c r="S155" s="1444"/>
      <c r="T155" s="1444"/>
      <c r="U155" s="828"/>
      <c r="V155" s="1444"/>
      <c r="W155" s="1444"/>
      <c r="X155" s="1444"/>
      <c r="Y155" s="1444"/>
      <c r="Z155" s="1444"/>
      <c r="AA155" s="1916"/>
      <c r="AB155" s="850"/>
      <c r="AC155" s="850"/>
      <c r="AD155" s="850"/>
      <c r="AE155" s="850"/>
      <c r="AF155" s="1925">
        <v>11</v>
      </c>
    </row>
    <row s="14730" customFormat="1" customHeight="1" ht="11.549999999999999">
      <c r="A156" s="1271"/>
      <c r="B156" s="1920"/>
      <c r="C156" s="1920"/>
      <c r="D156" s="635"/>
      <c r="K156" s="1444"/>
      <c r="L156" s="1920"/>
      <c r="M156" s="1920"/>
      <c r="N156" s="1444"/>
      <c r="O156" s="1444"/>
      <c r="P156" s="1444"/>
      <c r="Q156" s="1444"/>
      <c r="R156" s="1920"/>
      <c r="S156" s="1444"/>
      <c r="T156" s="1444"/>
      <c r="U156" s="828"/>
      <c r="V156" s="1444"/>
      <c r="W156" s="1444"/>
      <c r="X156" s="1444"/>
      <c r="Y156" s="1444"/>
      <c r="Z156" s="1444"/>
      <c r="AA156" s="1916"/>
      <c r="AB156" s="850"/>
      <c r="AC156" s="850"/>
      <c r="AD156" s="850"/>
      <c r="AE156" s="850"/>
      <c r="AF156" s="1925">
        <v>11</v>
      </c>
    </row>
    <row s="14730" customFormat="1" customHeight="1" ht="11.549999999999999">
      <c r="A157" s="1271"/>
      <c r="B157" s="1920"/>
      <c r="C157" s="1920"/>
      <c r="D157" s="635"/>
      <c r="K157" s="1444"/>
      <c r="L157" s="1920"/>
      <c r="M157" s="1920"/>
      <c r="N157" s="1444"/>
      <c r="O157" s="1444"/>
      <c r="P157" s="1444"/>
      <c r="Q157" s="1444"/>
      <c r="R157" s="1920"/>
      <c r="S157" s="1444"/>
      <c r="T157" s="1444"/>
      <c r="U157" s="828"/>
      <c r="V157" s="1444"/>
      <c r="W157" s="1444"/>
      <c r="X157" s="1444"/>
      <c r="Y157" s="1444"/>
      <c r="Z157" s="1444"/>
      <c r="AA157" s="1916"/>
      <c r="AB157" s="850"/>
      <c r="AC157" s="850"/>
      <c r="AD157" s="850"/>
      <c r="AE157" s="850"/>
      <c r="AF157" s="1925">
        <v>11</v>
      </c>
    </row>
    <row s="14730" customFormat="1" customHeight="1" ht="11.549999999999999">
      <c r="A158" s="1271"/>
      <c r="B158" s="1920"/>
      <c r="C158" s="1920"/>
      <c r="D158" s="635"/>
      <c r="K158" s="1444"/>
      <c r="L158" s="1920"/>
      <c r="M158" s="1920"/>
      <c r="N158" s="1444"/>
      <c r="O158" s="1444"/>
      <c r="P158" s="1444"/>
      <c r="Q158" s="1444"/>
      <c r="R158" s="1920"/>
      <c r="S158" s="1444"/>
      <c r="T158" s="1444"/>
      <c r="U158" s="828"/>
      <c r="V158" s="1444"/>
      <c r="W158" s="1444"/>
      <c r="X158" s="1444"/>
      <c r="Y158" s="1444"/>
      <c r="Z158" s="1444"/>
      <c r="AA158" s="1916"/>
      <c r="AB158" s="850"/>
      <c r="AC158" s="850"/>
      <c r="AD158" s="850"/>
      <c r="AE158" s="850"/>
      <c r="AF158" s="1925">
        <v>11</v>
      </c>
    </row>
    <row s="14730" customFormat="1" customHeight="1" ht="11.549999999999999">
      <c r="A159" s="1271"/>
      <c r="B159" s="1920"/>
      <c r="C159" s="1920"/>
      <c r="D159" s="635"/>
      <c r="K159" s="1444"/>
      <c r="L159" s="1920"/>
      <c r="M159" s="1920"/>
      <c r="N159" s="1444"/>
      <c r="O159" s="1444"/>
      <c r="P159" s="1444"/>
      <c r="Q159" s="1444"/>
      <c r="R159" s="1920"/>
      <c r="S159" s="1444"/>
      <c r="T159" s="1444"/>
      <c r="U159" s="828"/>
      <c r="V159" s="1444"/>
      <c r="W159" s="1444"/>
      <c r="X159" s="1444"/>
      <c r="Y159" s="1444"/>
      <c r="Z159" s="1444"/>
      <c r="AA159" s="1916"/>
      <c r="AB159" s="850"/>
      <c r="AC159" s="850"/>
      <c r="AD159" s="850"/>
      <c r="AE159" s="850"/>
      <c r="AF159" s="1925">
        <v>11</v>
      </c>
    </row>
    <row s="14730" customFormat="1" customHeight="1" ht="11.549999999999999">
      <c r="A160" s="1271"/>
      <c r="B160" s="1920"/>
      <c r="C160" s="1920"/>
      <c r="D160" s="635"/>
      <c r="K160" s="1444"/>
      <c r="L160" s="1920"/>
      <c r="M160" s="1920"/>
      <c r="N160" s="1444"/>
      <c r="O160" s="1444"/>
      <c r="P160" s="1444"/>
      <c r="Q160" s="1444"/>
      <c r="R160" s="1920"/>
      <c r="S160" s="1444"/>
      <c r="T160" s="1444"/>
      <c r="U160" s="828"/>
      <c r="V160" s="1444"/>
      <c r="W160" s="1444"/>
      <c r="X160" s="1444"/>
      <c r="Y160" s="1444"/>
      <c r="Z160" s="1444"/>
      <c r="AA160" s="1916"/>
      <c r="AB160" s="850"/>
      <c r="AC160" s="850"/>
      <c r="AD160" s="850"/>
      <c r="AE160" s="850"/>
      <c r="AF160" s="1925">
        <v>11</v>
      </c>
    </row>
    <row s="14730" customFormat="1" customHeight="1" ht="11.549999999999999">
      <c r="A161" s="1271"/>
      <c r="B161" s="1920"/>
      <c r="C161" s="1920"/>
      <c r="D161" s="635"/>
      <c r="K161" s="1444"/>
      <c r="L161" s="1920"/>
      <c r="M161" s="1920"/>
      <c r="N161" s="1444"/>
      <c r="O161" s="1444"/>
      <c r="P161" s="1444"/>
      <c r="Q161" s="1444"/>
      <c r="R161" s="1920"/>
      <c r="S161" s="1444"/>
      <c r="T161" s="1444"/>
      <c r="U161" s="828"/>
      <c r="V161" s="1444"/>
      <c r="W161" s="1444"/>
      <c r="X161" s="1444"/>
      <c r="Y161" s="1444"/>
      <c r="Z161" s="1444"/>
      <c r="AA161" s="1916"/>
      <c r="AB161" s="850"/>
      <c r="AC161" s="850"/>
      <c r="AD161" s="850"/>
      <c r="AE161" s="850"/>
      <c r="AF161" s="1925">
        <v>11</v>
      </c>
    </row>
    <row s="14730" customFormat="1" customHeight="1" ht="11.549999999999999">
      <c r="A162" s="1271"/>
      <c r="B162" s="1920"/>
      <c r="C162" s="1920"/>
      <c r="D162" s="635"/>
      <c r="K162" s="1444"/>
      <c r="L162" s="1920"/>
      <c r="M162" s="1920"/>
      <c r="N162" s="1444"/>
      <c r="O162" s="1444"/>
      <c r="P162" s="1444"/>
      <c r="Q162" s="1444"/>
      <c r="R162" s="1920"/>
      <c r="S162" s="1444"/>
      <c r="T162" s="1444"/>
      <c r="U162" s="828"/>
      <c r="V162" s="1444"/>
      <c r="W162" s="1444"/>
      <c r="X162" s="1444"/>
      <c r="Y162" s="1444"/>
      <c r="Z162" s="1444"/>
      <c r="AA162" s="1916"/>
      <c r="AB162" s="850"/>
      <c r="AC162" s="850"/>
      <c r="AD162" s="850"/>
      <c r="AE162" s="850"/>
      <c r="AF162" s="1925">
        <v>11</v>
      </c>
    </row>
    <row s="14730" customFormat="1" customHeight="1" ht="11.549999999999999">
      <c r="A163" s="1271"/>
      <c r="B163" s="1920"/>
      <c r="C163" s="1920"/>
      <c r="D163" s="635"/>
      <c r="K163" s="1444"/>
      <c r="L163" s="1920"/>
      <c r="M163" s="1920"/>
      <c r="N163" s="1444"/>
      <c r="O163" s="1444"/>
      <c r="P163" s="1444"/>
      <c r="Q163" s="1444"/>
      <c r="R163" s="1920"/>
      <c r="S163" s="1444"/>
      <c r="T163" s="1444"/>
      <c r="U163" s="828"/>
      <c r="V163" s="1444"/>
      <c r="W163" s="1444"/>
      <c r="X163" s="1444"/>
      <c r="Y163" s="1444"/>
      <c r="Z163" s="1444"/>
      <c r="AA163" s="1916"/>
      <c r="AB163" s="850"/>
      <c r="AC163" s="850"/>
      <c r="AD163" s="850"/>
      <c r="AE163" s="850"/>
      <c r="AF163" s="1925">
        <v>11</v>
      </c>
    </row>
    <row s="14730" customFormat="1" customHeight="1" ht="11.549999999999999">
      <c r="A164" s="1271"/>
      <c r="B164" s="1920"/>
      <c r="C164" s="1920"/>
      <c r="D164" s="635"/>
      <c r="K164" s="1444"/>
      <c r="L164" s="1920"/>
      <c r="M164" s="1920"/>
      <c r="N164" s="1444"/>
      <c r="O164" s="1444"/>
      <c r="P164" s="1444"/>
      <c r="Q164" s="1444"/>
      <c r="R164" s="1920"/>
      <c r="S164" s="1444"/>
      <c r="T164" s="1444"/>
      <c r="U164" s="828"/>
      <c r="V164" s="1444"/>
      <c r="W164" s="1444"/>
      <c r="X164" s="1444"/>
      <c r="Y164" s="1444"/>
      <c r="Z164" s="1444"/>
      <c r="AA164" s="1916"/>
      <c r="AB164" s="850"/>
      <c r="AC164" s="850"/>
      <c r="AD164" s="850"/>
      <c r="AE164" s="850"/>
      <c r="AF164" s="1925">
        <v>11</v>
      </c>
    </row>
    <row s="14730" customFormat="1" customHeight="1" ht="11.549999999999999">
      <c r="A165" s="1271"/>
      <c r="B165" s="1920"/>
      <c r="C165" s="1920"/>
      <c r="D165" s="635"/>
      <c r="K165" s="1444"/>
      <c r="L165" s="1920"/>
      <c r="M165" s="1920"/>
      <c r="N165" s="1444"/>
      <c r="O165" s="1444"/>
      <c r="P165" s="1444"/>
      <c r="Q165" s="1444"/>
      <c r="R165" s="1920"/>
      <c r="S165" s="1444"/>
      <c r="T165" s="1444"/>
      <c r="U165" s="828"/>
      <c r="V165" s="1444"/>
      <c r="W165" s="1444"/>
      <c r="X165" s="1444"/>
      <c r="Y165" s="1444"/>
      <c r="Z165" s="1444"/>
      <c r="AA165" s="1916"/>
      <c r="AB165" s="850"/>
      <c r="AC165" s="850"/>
      <c r="AD165" s="850"/>
      <c r="AE165" s="850"/>
      <c r="AF165" s="1925">
        <v>11</v>
      </c>
    </row>
    <row s="14730" customFormat="1" customHeight="1" ht="11.549999999999999">
      <c r="A166" s="1271"/>
      <c r="B166" s="1920"/>
      <c r="C166" s="1920"/>
      <c r="D166" s="635"/>
      <c r="K166" s="1444"/>
      <c r="L166" s="1920"/>
      <c r="M166" s="1920"/>
      <c r="N166" s="1444"/>
      <c r="O166" s="1444"/>
      <c r="P166" s="1444"/>
      <c r="Q166" s="1444"/>
      <c r="R166" s="1920"/>
      <c r="S166" s="1444"/>
      <c r="T166" s="1444"/>
      <c r="U166" s="828"/>
      <c r="V166" s="1444"/>
      <c r="W166" s="1444"/>
      <c r="X166" s="1444"/>
      <c r="Y166" s="1444"/>
      <c r="Z166" s="1444"/>
      <c r="AA166" s="1916"/>
      <c r="AB166" s="850"/>
      <c r="AC166" s="850"/>
      <c r="AD166" s="850"/>
      <c r="AE166" s="850"/>
      <c r="AF166" s="1925">
        <v>11</v>
      </c>
    </row>
    <row s="14730" customFormat="1" customHeight="1" ht="11.549999999999999">
      <c r="A167" s="1271"/>
      <c r="B167" s="1920"/>
      <c r="C167" s="1920"/>
      <c r="D167" s="635"/>
      <c r="K167" s="1444"/>
      <c r="L167" s="1920"/>
      <c r="M167" s="1920"/>
      <c r="N167" s="1444"/>
      <c r="O167" s="1444"/>
      <c r="P167" s="1444"/>
      <c r="Q167" s="1444"/>
      <c r="R167" s="1920"/>
      <c r="S167" s="1444"/>
      <c r="T167" s="1444"/>
      <c r="U167" s="828"/>
      <c r="V167" s="1444"/>
      <c r="W167" s="1444"/>
      <c r="X167" s="1444"/>
      <c r="Y167" s="1444"/>
      <c r="Z167" s="1444"/>
      <c r="AA167" s="1916"/>
      <c r="AB167" s="850"/>
      <c r="AC167" s="850"/>
      <c r="AD167" s="850"/>
      <c r="AE167" s="850"/>
      <c r="AF167" s="1925">
        <v>11</v>
      </c>
    </row>
    <row s="14730" customFormat="1" customHeight="1" ht="11.549999999999999">
      <c r="A168" s="1271"/>
      <c r="B168" s="1920"/>
      <c r="C168" s="1920"/>
      <c r="D168" s="635"/>
      <c r="K168" s="1444"/>
      <c r="L168" s="1920"/>
      <c r="M168" s="1920"/>
      <c r="N168" s="1444"/>
      <c r="O168" s="1444"/>
      <c r="P168" s="1444"/>
      <c r="Q168" s="1444"/>
      <c r="R168" s="1920"/>
      <c r="S168" s="1444"/>
      <c r="T168" s="1444"/>
      <c r="U168" s="828"/>
      <c r="V168" s="1444"/>
      <c r="W168" s="1444"/>
      <c r="X168" s="1444"/>
      <c r="Y168" s="1444"/>
      <c r="Z168" s="1444"/>
      <c r="AA168" s="1916"/>
      <c r="AB168" s="850"/>
      <c r="AC168" s="850"/>
      <c r="AD168" s="850"/>
      <c r="AE168" s="850"/>
      <c r="AF168" s="1925">
        <v>11</v>
      </c>
    </row>
    <row s="14730" customFormat="1" customHeight="1" ht="11.549999999999999">
      <c r="A169" s="1271"/>
      <c r="B169" s="1920"/>
      <c r="C169" s="1920"/>
      <c r="D169" s="635"/>
      <c r="K169" s="1444"/>
      <c r="L169" s="1920"/>
      <c r="M169" s="1920"/>
      <c r="N169" s="1444"/>
      <c r="O169" s="1444"/>
      <c r="P169" s="1444"/>
      <c r="Q169" s="1444"/>
      <c r="R169" s="1920"/>
      <c r="S169" s="1444"/>
      <c r="T169" s="1444"/>
      <c r="U169" s="828"/>
      <c r="V169" s="1444"/>
      <c r="W169" s="1444"/>
      <c r="X169" s="1444"/>
      <c r="Y169" s="1444"/>
      <c r="Z169" s="1444"/>
      <c r="AA169" s="1916"/>
      <c r="AB169" s="850"/>
      <c r="AC169" s="850"/>
      <c r="AD169" s="850"/>
      <c r="AE169" s="850"/>
      <c r="AF169" s="1925">
        <v>11</v>
      </c>
    </row>
    <row s="14730" customFormat="1" customHeight="1" ht="11.549999999999999">
      <c r="A170" s="1271"/>
      <c r="B170" s="1920"/>
      <c r="C170" s="1920"/>
      <c r="D170" s="635"/>
      <c r="K170" s="1444"/>
      <c r="L170" s="1920"/>
      <c r="M170" s="1920"/>
      <c r="N170" s="1444"/>
      <c r="O170" s="1444"/>
      <c r="P170" s="1444"/>
      <c r="Q170" s="1444"/>
      <c r="R170" s="1920"/>
      <c r="S170" s="1444"/>
      <c r="T170" s="1444"/>
      <c r="U170" s="828"/>
      <c r="V170" s="1444"/>
      <c r="W170" s="1444"/>
      <c r="X170" s="1444"/>
      <c r="Y170" s="1444"/>
      <c r="Z170" s="1444"/>
      <c r="AA170" s="1916"/>
      <c r="AB170" s="850"/>
      <c r="AC170" s="850"/>
      <c r="AD170" s="850"/>
      <c r="AE170" s="850"/>
      <c r="AF170" s="1925">
        <v>11</v>
      </c>
    </row>
    <row s="14730" customFormat="1" customHeight="1" ht="11.549999999999999">
      <c r="A171" s="1271"/>
      <c r="B171" s="1920"/>
      <c r="C171" s="1920"/>
      <c r="D171" s="635"/>
      <c r="K171" s="1444"/>
      <c r="L171" s="1920"/>
      <c r="M171" s="1920"/>
      <c r="N171" s="1444"/>
      <c r="O171" s="1444"/>
      <c r="P171" s="1444"/>
      <c r="Q171" s="1444"/>
      <c r="R171" s="1920"/>
      <c r="S171" s="1444"/>
      <c r="T171" s="1444"/>
      <c r="U171" s="828"/>
      <c r="V171" s="1444"/>
      <c r="W171" s="1444"/>
      <c r="X171" s="1444"/>
      <c r="Y171" s="1444"/>
      <c r="Z171" s="1444"/>
      <c r="AA171" s="1916"/>
      <c r="AB171" s="850"/>
      <c r="AC171" s="850"/>
      <c r="AD171" s="850"/>
      <c r="AE171" s="850"/>
      <c r="AF171" s="1925">
        <v>11</v>
      </c>
    </row>
    <row s="14730" customFormat="1" customHeight="1" ht="11.549999999999999">
      <c r="A172" s="1271"/>
      <c r="B172" s="1920"/>
      <c r="C172" s="1920"/>
      <c r="D172" s="635"/>
      <c r="K172" s="1444"/>
      <c r="L172" s="1920"/>
      <c r="M172" s="1920"/>
      <c r="N172" s="1444"/>
      <c r="O172" s="1444"/>
      <c r="P172" s="1444"/>
      <c r="Q172" s="1444"/>
      <c r="R172" s="1920"/>
      <c r="S172" s="1444"/>
      <c r="T172" s="1444"/>
      <c r="U172" s="828"/>
      <c r="V172" s="1444"/>
      <c r="W172" s="1444"/>
      <c r="X172" s="1444"/>
      <c r="Y172" s="1444"/>
      <c r="Z172" s="1444"/>
      <c r="AA172" s="1916"/>
      <c r="AB172" s="850"/>
      <c r="AC172" s="850"/>
      <c r="AD172" s="850"/>
      <c r="AE172" s="850"/>
      <c r="AF172" s="1925">
        <v>11</v>
      </c>
    </row>
    <row s="14730" customFormat="1" customHeight="1" ht="11.549999999999999">
      <c r="A173" s="1271"/>
      <c r="B173" s="1920"/>
      <c r="C173" s="1920"/>
      <c r="D173" s="635"/>
      <c r="K173" s="1444"/>
      <c r="L173" s="1920"/>
      <c r="M173" s="1920"/>
      <c r="N173" s="1444"/>
      <c r="O173" s="1444"/>
      <c r="P173" s="1444"/>
      <c r="Q173" s="1444"/>
      <c r="R173" s="1920"/>
      <c r="S173" s="1444"/>
      <c r="T173" s="1444"/>
      <c r="U173" s="828"/>
      <c r="V173" s="1444"/>
      <c r="W173" s="1444"/>
      <c r="X173" s="1444"/>
      <c r="Y173" s="1444"/>
      <c r="Z173" s="1444"/>
      <c r="AA173" s="1916"/>
      <c r="AB173" s="850"/>
      <c r="AC173" s="850"/>
      <c r="AD173" s="850"/>
      <c r="AE173" s="850"/>
      <c r="AF173" s="1925">
        <v>11</v>
      </c>
    </row>
    <row s="14730" customFormat="1" customHeight="1" ht="11.549999999999999">
      <c r="A174" s="1271"/>
      <c r="B174" s="1920"/>
      <c r="C174" s="1920"/>
      <c r="D174" s="635"/>
      <c r="K174" s="1444"/>
      <c r="L174" s="1920"/>
      <c r="M174" s="1920"/>
      <c r="N174" s="1444"/>
      <c r="O174" s="1444"/>
      <c r="P174" s="1444"/>
      <c r="Q174" s="1444"/>
      <c r="R174" s="1920"/>
      <c r="S174" s="1444"/>
      <c r="T174" s="1444"/>
      <c r="U174" s="828"/>
      <c r="V174" s="1444"/>
      <c r="W174" s="1444"/>
      <c r="X174" s="1444"/>
      <c r="Y174" s="1444"/>
      <c r="Z174" s="1444"/>
      <c r="AA174" s="1916"/>
      <c r="AB174" s="850"/>
      <c r="AC174" s="850"/>
      <c r="AD174" s="850"/>
      <c r="AE174" s="850"/>
      <c r="AF174" s="1925">
        <v>11</v>
      </c>
    </row>
    <row s="14730" customFormat="1" customHeight="1" ht="11.549999999999999">
      <c r="A175" s="1271"/>
      <c r="B175" s="1920"/>
      <c r="C175" s="1920"/>
      <c r="D175" s="635"/>
      <c r="K175" s="1444"/>
      <c r="L175" s="1920"/>
      <c r="M175" s="1920"/>
      <c r="N175" s="1444"/>
      <c r="O175" s="1444"/>
      <c r="P175" s="1444"/>
      <c r="Q175" s="1444"/>
      <c r="R175" s="1920"/>
      <c r="S175" s="1444"/>
      <c r="T175" s="1444"/>
      <c r="U175" s="828"/>
      <c r="V175" s="1444"/>
      <c r="W175" s="1444"/>
      <c r="X175" s="1444"/>
      <c r="Y175" s="1444"/>
      <c r="Z175" s="1444"/>
      <c r="AA175" s="1916"/>
      <c r="AB175" s="850"/>
      <c r="AC175" s="850"/>
      <c r="AD175" s="850"/>
      <c r="AE175" s="850"/>
      <c r="AF175" s="1925">
        <v>11</v>
      </c>
    </row>
    <row s="14730" customFormat="1" customHeight="1" ht="11.549999999999999">
      <c r="A176" s="1271"/>
      <c r="B176" s="1920"/>
      <c r="C176" s="1920"/>
      <c r="D176" s="635"/>
      <c r="K176" s="1444"/>
      <c r="L176" s="1920"/>
      <c r="M176" s="1920"/>
      <c r="N176" s="1444"/>
      <c r="O176" s="1444"/>
      <c r="P176" s="1444"/>
      <c r="Q176" s="1444"/>
      <c r="R176" s="1920"/>
      <c r="S176" s="1444"/>
      <c r="T176" s="1444"/>
      <c r="U176" s="828"/>
      <c r="V176" s="1444"/>
      <c r="W176" s="1444"/>
      <c r="X176" s="1444"/>
      <c r="Y176" s="1444"/>
      <c r="Z176" s="1444"/>
      <c r="AA176" s="1916"/>
      <c r="AB176" s="850"/>
      <c r="AC176" s="850"/>
      <c r="AD176" s="850"/>
      <c r="AE176" s="850"/>
      <c r="AF176" s="1925">
        <v>11</v>
      </c>
    </row>
    <row s="14730" customFormat="1" customHeight="1" ht="11.549999999999999">
      <c r="A177" s="1271"/>
      <c r="B177" s="1920"/>
      <c r="C177" s="1920"/>
      <c r="D177" s="635"/>
      <c r="K177" s="1444"/>
      <c r="L177" s="1920"/>
      <c r="M177" s="1920"/>
      <c r="N177" s="1444"/>
      <c r="O177" s="1444"/>
      <c r="P177" s="1444"/>
      <c r="Q177" s="1444"/>
      <c r="R177" s="1920"/>
      <c r="S177" s="1444"/>
      <c r="T177" s="1444"/>
      <c r="U177" s="828"/>
      <c r="V177" s="1444"/>
      <c r="W177" s="1444"/>
      <c r="X177" s="1444"/>
      <c r="Y177" s="1444"/>
      <c r="Z177" s="1444"/>
      <c r="AA177" s="1916"/>
      <c r="AB177" s="850"/>
      <c r="AC177" s="850"/>
      <c r="AD177" s="850"/>
      <c r="AE177" s="850"/>
      <c r="AF177" s="1925">
        <v>11</v>
      </c>
    </row>
    <row s="14730" customFormat="1" customHeight="1" ht="11.549999999999999">
      <c r="A178" s="1271"/>
      <c r="B178" s="1920"/>
      <c r="C178" s="1920"/>
      <c r="D178" s="635"/>
      <c r="K178" s="1444"/>
      <c r="L178" s="1920"/>
      <c r="M178" s="1920"/>
      <c r="N178" s="1444"/>
      <c r="O178" s="1444"/>
      <c r="P178" s="1444"/>
      <c r="Q178" s="1444"/>
      <c r="R178" s="1920"/>
      <c r="S178" s="1444"/>
      <c r="T178" s="1444"/>
      <c r="U178" s="828"/>
      <c r="V178" s="1444"/>
      <c r="W178" s="1444"/>
      <c r="X178" s="1444"/>
      <c r="Y178" s="1444"/>
      <c r="Z178" s="1444"/>
      <c r="AA178" s="1916"/>
      <c r="AB178" s="850"/>
      <c r="AC178" s="850"/>
      <c r="AD178" s="850"/>
      <c r="AE178" s="850"/>
      <c r="AF178" s="1925">
        <v>11</v>
      </c>
    </row>
    <row s="14730" customFormat="1" customHeight="1" ht="11.549999999999999">
      <c r="A179" s="1271"/>
      <c r="B179" s="1920"/>
      <c r="C179" s="1920"/>
      <c r="D179" s="635"/>
      <c r="K179" s="1444"/>
      <c r="L179" s="1920"/>
      <c r="M179" s="1920"/>
      <c r="N179" s="1444"/>
      <c r="O179" s="1444"/>
      <c r="P179" s="1444"/>
      <c r="Q179" s="1444"/>
      <c r="R179" s="1920"/>
      <c r="S179" s="1444"/>
      <c r="T179" s="1444"/>
      <c r="U179" s="828"/>
      <c r="V179" s="1444"/>
      <c r="W179" s="1444"/>
      <c r="X179" s="1444"/>
      <c r="Y179" s="1444"/>
      <c r="Z179" s="1444"/>
      <c r="AA179" s="1916"/>
      <c r="AB179" s="850"/>
      <c r="AC179" s="850"/>
      <c r="AD179" s="850"/>
      <c r="AE179" s="850"/>
      <c r="AF179" s="1925">
        <v>11</v>
      </c>
    </row>
    <row s="14730" customFormat="1" customHeight="1" ht="11.549999999999999">
      <c r="A180" s="1271"/>
      <c r="B180" s="1920"/>
      <c r="C180" s="1920"/>
      <c r="D180" s="635"/>
      <c r="K180" s="1444"/>
      <c r="L180" s="1920"/>
      <c r="M180" s="1920"/>
      <c r="N180" s="1444"/>
      <c r="O180" s="1444"/>
      <c r="P180" s="1444"/>
      <c r="Q180" s="1444"/>
      <c r="R180" s="1920"/>
      <c r="S180" s="1444"/>
      <c r="T180" s="1444"/>
      <c r="U180" s="828"/>
      <c r="V180" s="1444"/>
      <c r="W180" s="1444"/>
      <c r="X180" s="1444"/>
      <c r="Y180" s="1444"/>
      <c r="Z180" s="1444"/>
      <c r="AA180" s="1916"/>
      <c r="AB180" s="850"/>
      <c r="AC180" s="850"/>
      <c r="AD180" s="850"/>
      <c r="AE180" s="850"/>
      <c r="AF180" s="1925">
        <v>11</v>
      </c>
    </row>
    <row s="14730" customFormat="1" customHeight="1" ht="11.549999999999999">
      <c r="A181" s="1271"/>
      <c r="B181" s="1920"/>
      <c r="C181" s="1920"/>
      <c r="D181" s="635"/>
      <c r="K181" s="1444"/>
      <c r="L181" s="1920"/>
      <c r="M181" s="1920"/>
      <c r="N181" s="1444"/>
      <c r="O181" s="1444"/>
      <c r="P181" s="1444"/>
      <c r="Q181" s="1444"/>
      <c r="R181" s="1920"/>
      <c r="S181" s="1444"/>
      <c r="T181" s="1444"/>
      <c r="U181" s="828"/>
      <c r="V181" s="1444"/>
      <c r="W181" s="1444"/>
      <c r="X181" s="1444"/>
      <c r="Y181" s="1444"/>
      <c r="Z181" s="1444"/>
      <c r="AA181" s="1916"/>
      <c r="AB181" s="850"/>
      <c r="AC181" s="850"/>
      <c r="AD181" s="850"/>
      <c r="AE181" s="850"/>
      <c r="AF181" s="1925">
        <v>11</v>
      </c>
    </row>
    <row s="14730" customFormat="1" customHeight="1" ht="11.549999999999999">
      <c r="A182" s="1271"/>
      <c r="B182" s="1920"/>
      <c r="C182" s="1920"/>
      <c r="D182" s="635"/>
      <c r="K182" s="1444"/>
      <c r="L182" s="1920"/>
      <c r="M182" s="1920"/>
      <c r="N182" s="1444"/>
      <c r="O182" s="1444"/>
      <c r="P182" s="1444"/>
      <c r="Q182" s="1444"/>
      <c r="R182" s="1920"/>
      <c r="S182" s="1444"/>
      <c r="T182" s="1444"/>
      <c r="U182" s="828"/>
      <c r="V182" s="1444"/>
      <c r="W182" s="1444"/>
      <c r="X182" s="1444"/>
      <c r="Y182" s="1444"/>
      <c r="Z182" s="1444"/>
      <c r="AA182" s="1916"/>
      <c r="AB182" s="850"/>
      <c r="AC182" s="850"/>
      <c r="AD182" s="850"/>
      <c r="AE182" s="850"/>
      <c r="AF182" s="1925">
        <v>11</v>
      </c>
    </row>
    <row s="14730" customFormat="1" customHeight="1" ht="11.549999999999999">
      <c r="A183" s="1271"/>
      <c r="B183" s="1920"/>
      <c r="C183" s="1920"/>
      <c r="D183" s="635"/>
      <c r="K183" s="1444"/>
      <c r="L183" s="1920"/>
      <c r="M183" s="1920"/>
      <c r="N183" s="1444"/>
      <c r="O183" s="1444"/>
      <c r="P183" s="1444"/>
      <c r="Q183" s="1444"/>
      <c r="R183" s="1920"/>
      <c r="S183" s="1444"/>
      <c r="T183" s="1444"/>
      <c r="U183" s="828"/>
      <c r="V183" s="1444"/>
      <c r="W183" s="1444"/>
      <c r="X183" s="1444"/>
      <c r="Y183" s="1444"/>
      <c r="Z183" s="1444"/>
      <c r="AA183" s="1916"/>
      <c r="AB183" s="850"/>
      <c r="AC183" s="850"/>
      <c r="AD183" s="850"/>
      <c r="AE183" s="850"/>
      <c r="AF183" s="1925">
        <v>11</v>
      </c>
    </row>
    <row s="14730" customFormat="1" customHeight="1" ht="11.549999999999999">
      <c r="A184" s="1271"/>
      <c r="B184" s="1920"/>
      <c r="C184" s="1920"/>
      <c r="D184" s="635"/>
      <c r="K184" s="1444"/>
      <c r="L184" s="1920"/>
      <c r="M184" s="1920"/>
      <c r="N184" s="1444"/>
      <c r="O184" s="1444"/>
      <c r="P184" s="1444"/>
      <c r="Q184" s="1444"/>
      <c r="R184" s="1920"/>
      <c r="S184" s="1444"/>
      <c r="T184" s="1444"/>
      <c r="U184" s="828"/>
      <c r="V184" s="1444"/>
      <c r="W184" s="1444"/>
      <c r="X184" s="1444"/>
      <c r="Y184" s="1444"/>
      <c r="Z184" s="1444"/>
      <c r="AA184" s="1916"/>
      <c r="AB184" s="850"/>
      <c r="AC184" s="850"/>
      <c r="AD184" s="850"/>
      <c r="AE184" s="850"/>
      <c r="AF184" s="1925">
        <v>11</v>
      </c>
    </row>
    <row s="14730" customFormat="1" customHeight="1" ht="11.549999999999999">
      <c r="A185" s="1271"/>
      <c r="B185" s="1920"/>
      <c r="C185" s="1920"/>
      <c r="D185" s="635"/>
      <c r="K185" s="1444"/>
      <c r="L185" s="1920"/>
      <c r="M185" s="1920"/>
      <c r="N185" s="1444"/>
      <c r="O185" s="1444"/>
      <c r="P185" s="1444"/>
      <c r="Q185" s="1444"/>
      <c r="R185" s="1920"/>
      <c r="S185" s="1444"/>
      <c r="T185" s="1444"/>
      <c r="U185" s="828"/>
      <c r="V185" s="1444"/>
      <c r="W185" s="1444"/>
      <c r="X185" s="1444"/>
      <c r="Y185" s="1444"/>
      <c r="Z185" s="1444"/>
      <c r="AA185" s="1916"/>
      <c r="AB185" s="850"/>
      <c r="AC185" s="850"/>
      <c r="AD185" s="850"/>
      <c r="AE185" s="850"/>
      <c r="AF185" s="1925">
        <v>11</v>
      </c>
    </row>
    <row s="14730" customFormat="1" customHeight="1" ht="11.549999999999999">
      <c r="A186" s="1271"/>
      <c r="B186" s="1920"/>
      <c r="C186" s="1920"/>
      <c r="D186" s="635"/>
      <c r="K186" s="1444"/>
      <c r="L186" s="1920"/>
      <c r="M186" s="1920"/>
      <c r="N186" s="1444"/>
      <c r="O186" s="1444"/>
      <c r="P186" s="1444"/>
      <c r="Q186" s="1444"/>
      <c r="R186" s="1920"/>
      <c r="S186" s="1444"/>
      <c r="T186" s="1444"/>
      <c r="U186" s="828"/>
      <c r="V186" s="1444"/>
      <c r="W186" s="1444"/>
      <c r="X186" s="1444"/>
      <c r="Y186" s="1444"/>
      <c r="Z186" s="1444"/>
      <c r="AA186" s="1916"/>
      <c r="AB186" s="850"/>
      <c r="AC186" s="850"/>
      <c r="AD186" s="850"/>
      <c r="AE186" s="850"/>
      <c r="AF186" s="1925">
        <v>11</v>
      </c>
    </row>
    <row s="14730" customFormat="1" customHeight="1" ht="11.549999999999999">
      <c r="A187" s="1271"/>
      <c r="B187" s="1920"/>
      <c r="C187" s="1920"/>
      <c r="D187" s="635"/>
      <c r="K187" s="1444"/>
      <c r="L187" s="1920"/>
      <c r="M187" s="1920"/>
      <c r="N187" s="1444"/>
      <c r="O187" s="1444"/>
      <c r="P187" s="1444"/>
      <c r="Q187" s="1444"/>
      <c r="R187" s="1920"/>
      <c r="S187" s="1444"/>
      <c r="T187" s="1444"/>
      <c r="U187" s="828"/>
      <c r="V187" s="1444"/>
      <c r="W187" s="1444"/>
      <c r="X187" s="1444"/>
      <c r="Y187" s="1444"/>
      <c r="Z187" s="1444"/>
      <c r="AA187" s="1916"/>
      <c r="AB187" s="850"/>
      <c r="AC187" s="850"/>
      <c r="AD187" s="850"/>
      <c r="AE187" s="850"/>
      <c r="AF187" s="1925">
        <v>11</v>
      </c>
    </row>
    <row s="14730" customFormat="1" customHeight="1" ht="11.549999999999999">
      <c r="A188" s="1271"/>
      <c r="B188" s="1920"/>
      <c r="C188" s="1920"/>
      <c r="D188" s="635"/>
      <c r="K188" s="1444"/>
      <c r="L188" s="1920"/>
      <c r="M188" s="1920"/>
      <c r="N188" s="1444"/>
      <c r="O188" s="1444"/>
      <c r="P188" s="1444"/>
      <c r="Q188" s="1444"/>
      <c r="R188" s="1920"/>
      <c r="S188" s="1444"/>
      <c r="T188" s="1444"/>
      <c r="U188" s="828"/>
      <c r="V188" s="1444"/>
      <c r="W188" s="1444"/>
      <c r="X188" s="1444"/>
      <c r="Y188" s="1444"/>
      <c r="Z188" s="1444"/>
      <c r="AA188" s="1916"/>
      <c r="AB188" s="850"/>
      <c r="AC188" s="850"/>
      <c r="AD188" s="850"/>
      <c r="AE188" s="850"/>
      <c r="AF188" s="1925">
        <v>11</v>
      </c>
    </row>
    <row s="14730" customFormat="1" customHeight="1" ht="11.549999999999999">
      <c r="A189" s="1271"/>
      <c r="B189" s="1920"/>
      <c r="C189" s="1920"/>
      <c r="D189" s="635"/>
      <c r="K189" s="1444"/>
      <c r="L189" s="1920"/>
      <c r="M189" s="1920"/>
      <c r="N189" s="1444"/>
      <c r="O189" s="1444"/>
      <c r="P189" s="1444"/>
      <c r="Q189" s="1444"/>
      <c r="R189" s="1920"/>
      <c r="S189" s="1444"/>
      <c r="T189" s="1444"/>
      <c r="U189" s="828"/>
      <c r="V189" s="1444"/>
      <c r="W189" s="1444"/>
      <c r="X189" s="1444"/>
      <c r="Y189" s="1444"/>
      <c r="Z189" s="1444"/>
      <c r="AA189" s="1916"/>
      <c r="AB189" s="850"/>
      <c r="AC189" s="850"/>
      <c r="AD189" s="850"/>
      <c r="AE189" s="850"/>
      <c r="AF189" s="1925">
        <v>11</v>
      </c>
    </row>
    <row s="14730" customFormat="1" customHeight="1" ht="11.549999999999999">
      <c r="A190" s="1271"/>
      <c r="B190" s="1920"/>
      <c r="C190" s="1920"/>
      <c r="D190" s="635"/>
      <c r="K190" s="1444"/>
      <c r="L190" s="1920"/>
      <c r="M190" s="1920"/>
      <c r="N190" s="1444"/>
      <c r="O190" s="1444"/>
      <c r="P190" s="1444"/>
      <c r="Q190" s="1444"/>
      <c r="R190" s="1920"/>
      <c r="S190" s="1444"/>
      <c r="T190" s="1444"/>
      <c r="U190" s="828"/>
      <c r="V190" s="1444"/>
      <c r="W190" s="1444"/>
      <c r="X190" s="1444"/>
      <c r="Y190" s="1444"/>
      <c r="Z190" s="1444"/>
      <c r="AA190" s="1916"/>
      <c r="AB190" s="850"/>
      <c r="AC190" s="850"/>
      <c r="AD190" s="850"/>
      <c r="AE190" s="850"/>
      <c r="AF190" s="1925">
        <v>11</v>
      </c>
    </row>
    <row s="14730" customFormat="1" customHeight="1" ht="11.549999999999999">
      <c r="A191" s="1271"/>
      <c r="B191" s="1920"/>
      <c r="C191" s="1920"/>
      <c r="D191" s="635"/>
      <c r="K191" s="1444"/>
      <c r="L191" s="1920"/>
      <c r="M191" s="1920"/>
      <c r="N191" s="1444"/>
      <c r="O191" s="1444"/>
      <c r="P191" s="1444"/>
      <c r="Q191" s="1444"/>
      <c r="R191" s="1920"/>
      <c r="S191" s="1444"/>
      <c r="T191" s="1444"/>
      <c r="U191" s="828"/>
      <c r="V191" s="1444"/>
      <c r="W191" s="1444"/>
      <c r="X191" s="1444"/>
      <c r="Y191" s="1444"/>
      <c r="Z191" s="1444"/>
      <c r="AA191" s="1916"/>
      <c r="AB191" s="850"/>
      <c r="AC191" s="850"/>
      <c r="AD191" s="850"/>
      <c r="AE191" s="850"/>
      <c r="AF191" s="1925">
        <v>11</v>
      </c>
    </row>
    <row s="14730" customFormat="1" customHeight="1" ht="11.549999999999999">
      <c r="A192" s="1271"/>
      <c r="B192" s="1920"/>
      <c r="C192" s="1920"/>
      <c r="D192" s="635"/>
      <c r="K192" s="1444"/>
      <c r="L192" s="1920"/>
      <c r="M192" s="1920"/>
      <c r="N192" s="1444"/>
      <c r="O192" s="1444"/>
      <c r="P192" s="1444"/>
      <c r="Q192" s="1444"/>
      <c r="R192" s="1920"/>
      <c r="S192" s="1444"/>
      <c r="T192" s="1444"/>
      <c r="U192" s="828"/>
      <c r="V192" s="1444"/>
      <c r="W192" s="1444"/>
      <c r="X192" s="1444"/>
      <c r="Y192" s="1444"/>
      <c r="Z192" s="1444"/>
      <c r="AA192" s="1916"/>
      <c r="AB192" s="850"/>
      <c r="AC192" s="850"/>
      <c r="AD192" s="850"/>
      <c r="AE192" s="850"/>
      <c r="AF192" s="1925">
        <v>11</v>
      </c>
    </row>
    <row s="14730" customFormat="1" customHeight="1" ht="11.549999999999999">
      <c r="A193" s="1271"/>
      <c r="B193" s="1920"/>
      <c r="C193" s="1920"/>
      <c r="D193" s="635"/>
      <c r="K193" s="1444"/>
      <c r="L193" s="1920"/>
      <c r="M193" s="1920"/>
      <c r="N193" s="1444"/>
      <c r="O193" s="1444"/>
      <c r="P193" s="1444"/>
      <c r="Q193" s="1444"/>
      <c r="R193" s="1920"/>
      <c r="S193" s="1444"/>
      <c r="T193" s="1444"/>
      <c r="U193" s="828"/>
      <c r="V193" s="1444"/>
      <c r="W193" s="1444"/>
      <c r="X193" s="1444"/>
      <c r="Y193" s="1444"/>
      <c r="Z193" s="1444"/>
      <c r="AA193" s="1916"/>
      <c r="AB193" s="850"/>
      <c r="AC193" s="850"/>
      <c r="AD193" s="850"/>
      <c r="AE193" s="850"/>
      <c r="AF193" s="1925">
        <v>11</v>
      </c>
    </row>
    <row s="14730" customFormat="1" customHeight="1" ht="11.549999999999999">
      <c r="A194" s="1271"/>
      <c r="B194" s="1920"/>
      <c r="C194" s="1920"/>
      <c r="D194" s="635"/>
      <c r="K194" s="1444"/>
      <c r="L194" s="1920"/>
      <c r="M194" s="1920"/>
      <c r="N194" s="1444"/>
      <c r="O194" s="1444"/>
      <c r="P194" s="1444"/>
      <c r="Q194" s="1444"/>
      <c r="R194" s="1920"/>
      <c r="S194" s="1444"/>
      <c r="T194" s="1444"/>
      <c r="U194" s="828"/>
      <c r="V194" s="1444"/>
      <c r="W194" s="1444"/>
      <c r="X194" s="1444"/>
      <c r="Y194" s="1444"/>
      <c r="Z194" s="1444"/>
      <c r="AA194" s="1916"/>
      <c r="AB194" s="850"/>
      <c r="AC194" s="850"/>
      <c r="AD194" s="850"/>
      <c r="AE194" s="850"/>
      <c r="AF194" s="1925">
        <v>11</v>
      </c>
    </row>
    <row s="14730" customFormat="1" customHeight="1" ht="11.549999999999999">
      <c r="A195" s="1271"/>
      <c r="B195" s="1920"/>
      <c r="C195" s="1920"/>
      <c r="D195" s="635"/>
      <c r="K195" s="1444"/>
      <c r="L195" s="1920"/>
      <c r="M195" s="1920"/>
      <c r="N195" s="1444"/>
      <c r="O195" s="1444"/>
      <c r="P195" s="1444"/>
      <c r="Q195" s="1444"/>
      <c r="R195" s="1920"/>
      <c r="S195" s="1444"/>
      <c r="T195" s="1444"/>
      <c r="U195" s="828"/>
      <c r="V195" s="1444"/>
      <c r="W195" s="1444"/>
      <c r="X195" s="1444"/>
      <c r="Y195" s="1444"/>
      <c r="Z195" s="1444"/>
      <c r="AA195" s="1916"/>
      <c r="AB195" s="850"/>
      <c r="AC195" s="850"/>
      <c r="AD195" s="850"/>
      <c r="AE195" s="850"/>
      <c r="AF195" s="1925">
        <v>11</v>
      </c>
    </row>
    <row s="14730" customFormat="1" customHeight="1" ht="11.549999999999999">
      <c r="A196" s="1271"/>
      <c r="B196" s="1920"/>
      <c r="C196" s="1920"/>
      <c r="D196" s="635"/>
      <c r="K196" s="1444"/>
      <c r="L196" s="1920"/>
      <c r="M196" s="1920"/>
      <c r="N196" s="1444"/>
      <c r="O196" s="1444"/>
      <c r="P196" s="1444"/>
      <c r="Q196" s="1444"/>
      <c r="R196" s="1920"/>
      <c r="S196" s="1444"/>
      <c r="T196" s="1444"/>
      <c r="U196" s="828"/>
      <c r="V196" s="1444"/>
      <c r="W196" s="1444"/>
      <c r="X196" s="1444"/>
      <c r="Y196" s="1444"/>
      <c r="Z196" s="1444"/>
      <c r="AA196" s="1916"/>
      <c r="AB196" s="850"/>
      <c r="AC196" s="850"/>
      <c r="AD196" s="850"/>
      <c r="AE196" s="850"/>
      <c r="AF196" s="1925">
        <v>11</v>
      </c>
    </row>
    <row s="14730" customFormat="1" customHeight="1" ht="11.549999999999999">
      <c r="A197" s="1271"/>
      <c r="B197" s="1920"/>
      <c r="C197" s="1920"/>
      <c r="D197" s="635"/>
      <c r="K197" s="1444"/>
      <c r="L197" s="1920"/>
      <c r="M197" s="1920"/>
      <c r="N197" s="1444"/>
      <c r="O197" s="1444"/>
      <c r="P197" s="1444"/>
      <c r="Q197" s="1444"/>
      <c r="R197" s="1920"/>
      <c r="S197" s="1444"/>
      <c r="T197" s="1444"/>
      <c r="U197" s="828"/>
      <c r="V197" s="1444"/>
      <c r="W197" s="1444"/>
      <c r="X197" s="1444"/>
      <c r="Y197" s="1444"/>
      <c r="Z197" s="1444"/>
      <c r="AA197" s="1916"/>
      <c r="AB197" s="850"/>
      <c r="AC197" s="850"/>
      <c r="AD197" s="850"/>
      <c r="AE197" s="850"/>
      <c r="AF197" s="1925">
        <v>11</v>
      </c>
    </row>
    <row s="14730" customFormat="1" customHeight="1" ht="11.549999999999999">
      <c r="A198" s="1271"/>
      <c r="B198" s="1920"/>
      <c r="C198" s="1920"/>
      <c r="D198" s="635"/>
      <c r="K198" s="1444"/>
      <c r="L198" s="1920"/>
      <c r="M198" s="1920"/>
      <c r="N198" s="1444"/>
      <c r="O198" s="1444"/>
      <c r="P198" s="1444"/>
      <c r="Q198" s="1444"/>
      <c r="R198" s="1920"/>
      <c r="S198" s="1444"/>
      <c r="T198" s="1444"/>
      <c r="U198" s="828"/>
      <c r="V198" s="1444"/>
      <c r="W198" s="1444"/>
      <c r="X198" s="1444"/>
      <c r="Y198" s="1444"/>
      <c r="Z198" s="1444"/>
      <c r="AA198" s="1916"/>
      <c r="AB198" s="850"/>
      <c r="AC198" s="850"/>
      <c r="AD198" s="850"/>
      <c r="AE198" s="850"/>
      <c r="AF198" s="1925">
        <v>11</v>
      </c>
    </row>
    <row s="14730" customFormat="1" customHeight="1" ht="11.549999999999999">
      <c r="A199" s="1271"/>
      <c r="B199" s="1920"/>
      <c r="C199" s="1920"/>
      <c r="D199" s="635"/>
      <c r="K199" s="1444"/>
      <c r="L199" s="1920"/>
      <c r="M199" s="1920"/>
      <c r="N199" s="1444"/>
      <c r="O199" s="1444"/>
      <c r="P199" s="1444"/>
      <c r="Q199" s="1444"/>
      <c r="R199" s="1920"/>
      <c r="S199" s="1444"/>
      <c r="T199" s="1444"/>
      <c r="U199" s="828"/>
      <c r="V199" s="1444"/>
      <c r="W199" s="1444"/>
      <c r="X199" s="1444"/>
      <c r="Y199" s="1444"/>
      <c r="Z199" s="1444"/>
      <c r="AA199" s="1916"/>
      <c r="AB199" s="850"/>
      <c r="AC199" s="850"/>
      <c r="AD199" s="850"/>
      <c r="AE199" s="850"/>
      <c r="AF199" s="1925">
        <v>11</v>
      </c>
    </row>
    <row s="14730" customFormat="1" customHeight="1" ht="11.549999999999999">
      <c r="A200" s="1271"/>
      <c r="B200" s="1920"/>
      <c r="C200" s="1920"/>
      <c r="D200" s="635"/>
      <c r="K200" s="1444"/>
      <c r="L200" s="1920"/>
      <c r="M200" s="1920"/>
      <c r="N200" s="1444"/>
      <c r="O200" s="1444"/>
      <c r="P200" s="1444"/>
      <c r="Q200" s="1444"/>
      <c r="R200" s="1920"/>
      <c r="S200" s="1444"/>
      <c r="T200" s="1444"/>
      <c r="U200" s="828"/>
      <c r="V200" s="1444"/>
      <c r="W200" s="1444"/>
      <c r="X200" s="1444"/>
      <c r="Y200" s="1444"/>
      <c r="Z200" s="1444"/>
      <c r="AA200" s="1916"/>
      <c r="AB200" s="850"/>
      <c r="AC200" s="850"/>
      <c r="AD200" s="850"/>
      <c r="AE200" s="850"/>
      <c r="AF200" s="1925">
        <v>11</v>
      </c>
    </row>
    <row s="14730" customFormat="1" customHeight="1" ht="11.549999999999999">
      <c r="A201" s="1271"/>
      <c r="B201" s="1920"/>
      <c r="C201" s="1920"/>
      <c r="D201" s="635"/>
      <c r="K201" s="1444"/>
      <c r="L201" s="1920"/>
      <c r="M201" s="1920"/>
      <c r="N201" s="1444"/>
      <c r="O201" s="1444"/>
      <c r="P201" s="1444"/>
      <c r="Q201" s="1444"/>
      <c r="R201" s="1920"/>
      <c r="S201" s="1444"/>
      <c r="T201" s="1444"/>
      <c r="U201" s="828"/>
      <c r="V201" s="1444"/>
      <c r="W201" s="1444"/>
      <c r="X201" s="1444"/>
      <c r="Y201" s="1444"/>
      <c r="Z201" s="1444"/>
      <c r="AA201" s="1916"/>
      <c r="AB201" s="850"/>
      <c r="AC201" s="850"/>
      <c r="AD201" s="850"/>
      <c r="AE201" s="850"/>
      <c r="AF201" s="1925">
        <v>11</v>
      </c>
    </row>
    <row s="14730" customFormat="1" customHeight="1" ht="11.549999999999999">
      <c r="A202" s="1271"/>
      <c r="B202" s="1920"/>
      <c r="C202" s="1920"/>
      <c r="D202" s="635"/>
      <c r="K202" s="1444"/>
      <c r="L202" s="1920"/>
      <c r="M202" s="1920"/>
      <c r="N202" s="1444"/>
      <c r="O202" s="1444"/>
      <c r="P202" s="1444"/>
      <c r="Q202" s="1444"/>
      <c r="R202" s="1920"/>
      <c r="S202" s="1444"/>
      <c r="T202" s="1444"/>
      <c r="U202" s="828"/>
      <c r="V202" s="1444"/>
      <c r="W202" s="1444"/>
      <c r="X202" s="1444"/>
      <c r="Y202" s="1444"/>
      <c r="Z202" s="1444"/>
      <c r="AA202" s="1916"/>
      <c r="AB202" s="850"/>
      <c r="AC202" s="850"/>
      <c r="AD202" s="850"/>
      <c r="AE202" s="850"/>
      <c r="AF202" s="1925">
        <v>11</v>
      </c>
    </row>
    <row s="14730" customFormat="1" customHeight="1" ht="11.549999999999999">
      <c r="A203" s="1271"/>
      <c r="B203" s="1920"/>
      <c r="C203" s="1920"/>
      <c r="D203" s="635"/>
      <c r="K203" s="1444"/>
      <c r="L203" s="1920"/>
      <c r="M203" s="1920"/>
      <c r="N203" s="1444"/>
      <c r="O203" s="1444"/>
      <c r="P203" s="1444"/>
      <c r="Q203" s="1444"/>
      <c r="R203" s="1920"/>
      <c r="S203" s="1444"/>
      <c r="T203" s="1444"/>
      <c r="U203" s="828"/>
      <c r="V203" s="1444"/>
      <c r="W203" s="1444"/>
      <c r="X203" s="1444"/>
      <c r="Y203" s="1444"/>
      <c r="Z203" s="1444"/>
      <c r="AA203" s="1916"/>
      <c r="AB203" s="850"/>
      <c r="AC203" s="850"/>
      <c r="AD203" s="850"/>
      <c r="AE203" s="850"/>
      <c r="AF203" s="1925">
        <v>11</v>
      </c>
    </row>
    <row s="14730" customFormat="1" customHeight="1" ht="11.549999999999999">
      <c r="A204" s="1271"/>
      <c r="B204" s="1920"/>
      <c r="C204" s="1920"/>
      <c r="D204" s="635"/>
      <c r="K204" s="1444"/>
      <c r="L204" s="1920"/>
      <c r="M204" s="1920"/>
      <c r="N204" s="1444"/>
      <c r="O204" s="1444"/>
      <c r="P204" s="1444"/>
      <c r="Q204" s="1444"/>
      <c r="R204" s="1920"/>
      <c r="S204" s="1444"/>
      <c r="T204" s="1444"/>
      <c r="U204" s="828"/>
      <c r="V204" s="1444"/>
      <c r="W204" s="1444"/>
      <c r="X204" s="1444"/>
      <c r="Y204" s="1444"/>
      <c r="Z204" s="1444"/>
      <c r="AA204" s="1916"/>
      <c r="AB204" s="850"/>
      <c r="AC204" s="850"/>
      <c r="AD204" s="850"/>
      <c r="AE204" s="850"/>
      <c r="AF204" s="1925">
        <v>11</v>
      </c>
    </row>
    <row s="14730" customFormat="1" customHeight="1" ht="11.549999999999999">
      <c r="A205" s="1271"/>
      <c r="B205" s="1920"/>
      <c r="C205" s="1920"/>
      <c r="D205" s="635"/>
      <c r="K205" s="1444"/>
      <c r="L205" s="1920"/>
      <c r="M205" s="1920"/>
      <c r="N205" s="1444"/>
      <c r="O205" s="1444"/>
      <c r="P205" s="1444"/>
      <c r="Q205" s="1444"/>
      <c r="R205" s="1920"/>
      <c r="S205" s="1444"/>
      <c r="T205" s="1444"/>
      <c r="U205" s="828"/>
      <c r="V205" s="1444"/>
      <c r="W205" s="1444"/>
      <c r="X205" s="1444"/>
      <c r="Y205" s="1444"/>
      <c r="Z205" s="1444"/>
      <c r="AA205" s="1916"/>
      <c r="AB205" s="850"/>
      <c r="AC205" s="850"/>
      <c r="AD205" s="850"/>
      <c r="AE205" s="850"/>
      <c r="AF205" s="1925">
        <v>11</v>
      </c>
    </row>
    <row s="14730" customFormat="1" customHeight="1" ht="11.549999999999999">
      <c r="A206" s="1271"/>
      <c r="B206" s="1920"/>
      <c r="C206" s="1920"/>
      <c r="D206" s="635"/>
      <c r="K206" s="1444"/>
      <c r="L206" s="1920"/>
      <c r="M206" s="1920"/>
      <c r="N206" s="1444"/>
      <c r="O206" s="1444"/>
      <c r="P206" s="1444"/>
      <c r="Q206" s="1444"/>
      <c r="R206" s="1920"/>
      <c r="S206" s="1444"/>
      <c r="T206" s="1444"/>
      <c r="U206" s="828"/>
      <c r="V206" s="1444"/>
      <c r="W206" s="1444"/>
      <c r="X206" s="1444"/>
      <c r="Y206" s="1444"/>
      <c r="Z206" s="1444"/>
      <c r="AA206" s="1916"/>
      <c r="AB206" s="850"/>
      <c r="AC206" s="850"/>
      <c r="AD206" s="850"/>
      <c r="AE206" s="850"/>
      <c r="AF206" s="1925">
        <v>11</v>
      </c>
    </row>
    <row s="14730" customFormat="1" customHeight="1" ht="11.549999999999999">
      <c r="A207" s="1271"/>
      <c r="B207" s="1920"/>
      <c r="C207" s="1920"/>
      <c r="D207" s="635"/>
      <c r="K207" s="1444"/>
      <c r="L207" s="1920"/>
      <c r="M207" s="1920"/>
      <c r="N207" s="1444"/>
      <c r="O207" s="1444"/>
      <c r="P207" s="1444"/>
      <c r="Q207" s="1444"/>
      <c r="R207" s="1920"/>
      <c r="S207" s="1444"/>
      <c r="T207" s="1444"/>
      <c r="U207" s="828"/>
      <c r="V207" s="1444"/>
      <c r="W207" s="1444"/>
      <c r="X207" s="1444"/>
      <c r="Y207" s="1444"/>
      <c r="Z207" s="1444"/>
      <c r="AA207" s="1916"/>
      <c r="AB207" s="850"/>
      <c r="AC207" s="850"/>
      <c r="AD207" s="850"/>
      <c r="AE207" s="850"/>
      <c r="AF207" s="1925">
        <v>11</v>
      </c>
    </row>
    <row s="14730" customFormat="1" customHeight="1" ht="11.549999999999999">
      <c r="A208" s="1271"/>
      <c r="B208" s="1920"/>
      <c r="C208" s="1920"/>
      <c r="D208" s="635"/>
      <c r="K208" s="1444"/>
      <c r="L208" s="1920"/>
      <c r="M208" s="1920"/>
      <c r="N208" s="1444"/>
      <c r="O208" s="1444"/>
      <c r="P208" s="1444"/>
      <c r="Q208" s="1444"/>
      <c r="R208" s="1920"/>
      <c r="S208" s="1444"/>
      <c r="T208" s="1444"/>
      <c r="U208" s="828"/>
      <c r="V208" s="1444"/>
      <c r="W208" s="1444"/>
      <c r="X208" s="1444"/>
      <c r="Y208" s="1444"/>
      <c r="Z208" s="1444"/>
      <c r="AA208" s="1916"/>
      <c r="AB208" s="850"/>
      <c r="AC208" s="850"/>
      <c r="AD208" s="850"/>
      <c r="AE208" s="850"/>
      <c r="AF208" s="1925">
        <v>11</v>
      </c>
    </row>
    <row s="14730" customFormat="1" customHeight="1" ht="11.549999999999999">
      <c r="A209" s="1271"/>
      <c r="B209" s="1920"/>
      <c r="C209" s="1920"/>
      <c r="D209" s="635"/>
      <c r="K209" s="1444"/>
      <c r="L209" s="1920"/>
      <c r="M209" s="1920"/>
      <c r="N209" s="1444"/>
      <c r="O209" s="1444"/>
      <c r="P209" s="1444"/>
      <c r="Q209" s="1444"/>
      <c r="R209" s="1920"/>
      <c r="S209" s="1444"/>
      <c r="T209" s="1444"/>
      <c r="U209" s="828"/>
      <c r="V209" s="1444"/>
      <c r="W209" s="1444"/>
      <c r="X209" s="1444"/>
      <c r="Y209" s="1444"/>
      <c r="Z209" s="1444"/>
      <c r="AA209" s="1916"/>
      <c r="AB209" s="850"/>
      <c r="AC209" s="850"/>
      <c r="AD209" s="850"/>
      <c r="AE209" s="850"/>
      <c r="AF209" s="1925">
        <v>11</v>
      </c>
    </row>
    <row s="14730" customFormat="1" customHeight="1" ht="11.549999999999999">
      <c r="A210" s="1271"/>
      <c r="B210" s="1920"/>
      <c r="C210" s="1920"/>
      <c r="D210" s="635"/>
      <c r="K210" s="1444"/>
      <c r="L210" s="1920"/>
      <c r="M210" s="1920"/>
      <c r="N210" s="1444"/>
      <c r="O210" s="1444"/>
      <c r="P210" s="1444"/>
      <c r="Q210" s="1444"/>
      <c r="R210" s="1920"/>
      <c r="S210" s="1444"/>
      <c r="T210" s="1444"/>
      <c r="U210" s="828"/>
      <c r="V210" s="1444"/>
      <c r="W210" s="1444"/>
      <c r="X210" s="1444"/>
      <c r="Y210" s="1444"/>
      <c r="Z210" s="1444"/>
      <c r="AA210" s="1916"/>
      <c r="AB210" s="850"/>
      <c r="AC210" s="850"/>
      <c r="AD210" s="850"/>
      <c r="AE210" s="850"/>
      <c r="AF210" s="1925">
        <v>11</v>
      </c>
    </row>
    <row s="14730" customFormat="1" customHeight="1" ht="11.549999999999999">
      <c r="A211" s="1271"/>
      <c r="B211" s="1920"/>
      <c r="C211" s="1920"/>
      <c r="D211" s="635"/>
      <c r="K211" s="1444"/>
      <c r="L211" s="1920"/>
      <c r="M211" s="1920"/>
      <c r="N211" s="1444"/>
      <c r="O211" s="1444"/>
      <c r="P211" s="1444"/>
      <c r="Q211" s="1444"/>
      <c r="R211" s="1920"/>
      <c r="S211" s="1444"/>
      <c r="T211" s="1444"/>
      <c r="U211" s="828"/>
      <c r="V211" s="1444"/>
      <c r="W211" s="1444"/>
      <c r="X211" s="1444"/>
      <c r="Y211" s="1444"/>
      <c r="Z211" s="1444"/>
      <c r="AA211" s="1916"/>
      <c r="AB211" s="850"/>
      <c r="AC211" s="850"/>
      <c r="AD211" s="850"/>
      <c r="AE211" s="850"/>
      <c r="AF211" s="1925">
        <v>11</v>
      </c>
    </row>
    <row s="14730" customFormat="1" customHeight="1" ht="11.549999999999999">
      <c r="A212" s="1271"/>
      <c r="B212" s="1920"/>
      <c r="C212" s="1920"/>
      <c r="D212" s="635"/>
      <c r="K212" s="1444"/>
      <c r="L212" s="1920"/>
      <c r="M212" s="1920"/>
      <c r="N212" s="1444"/>
      <c r="O212" s="1444"/>
      <c r="P212" s="1444"/>
      <c r="Q212" s="1444"/>
      <c r="R212" s="1920"/>
      <c r="S212" s="1444"/>
      <c r="T212" s="1444"/>
      <c r="U212" s="828"/>
      <c r="V212" s="1444"/>
      <c r="W212" s="1444"/>
      <c r="X212" s="1444"/>
      <c r="Y212" s="1444"/>
      <c r="Z212" s="1444"/>
      <c r="AA212" s="1916"/>
      <c r="AB212" s="850"/>
      <c r="AC212" s="850"/>
      <c r="AD212" s="850"/>
      <c r="AE212" s="850"/>
      <c r="AF212" s="1925">
        <v>11</v>
      </c>
    </row>
    <row s="14730" customFormat="1" customHeight="1" ht="11.549999999999999">
      <c r="A213" s="1271"/>
      <c r="B213" s="1920"/>
      <c r="C213" s="1920"/>
      <c r="D213" s="635"/>
      <c r="K213" s="1444"/>
      <c r="L213" s="1920"/>
      <c r="M213" s="1920"/>
      <c r="N213" s="1444"/>
      <c r="O213" s="1444"/>
      <c r="P213" s="1444"/>
      <c r="Q213" s="1444"/>
      <c r="R213" s="1920"/>
      <c r="S213" s="1444"/>
      <c r="T213" s="1444"/>
      <c r="U213" s="828"/>
      <c r="V213" s="1444"/>
      <c r="W213" s="1444"/>
      <c r="X213" s="1444"/>
      <c r="Y213" s="1444"/>
      <c r="Z213" s="1444"/>
      <c r="AA213" s="1916"/>
      <c r="AB213" s="850"/>
      <c r="AC213" s="850"/>
      <c r="AD213" s="850"/>
      <c r="AE213" s="850"/>
      <c r="AF213" s="1925">
        <v>11</v>
      </c>
    </row>
    <row s="14730" customFormat="1" customHeight="1" ht="11.549999999999999">
      <c r="A214" s="1271"/>
      <c r="B214" s="1920"/>
      <c r="C214" s="1920"/>
      <c r="D214" s="635"/>
      <c r="K214" s="1444"/>
      <c r="L214" s="1920"/>
      <c r="M214" s="1920"/>
      <c r="N214" s="1444"/>
      <c r="O214" s="1444"/>
      <c r="P214" s="1444"/>
      <c r="Q214" s="1444"/>
      <c r="R214" s="1920"/>
      <c r="S214" s="1444"/>
      <c r="T214" s="1444"/>
      <c r="U214" s="828"/>
      <c r="V214" s="1444"/>
      <c r="W214" s="1444"/>
      <c r="X214" s="1444"/>
      <c r="Y214" s="1444"/>
      <c r="Z214" s="1444"/>
      <c r="AA214" s="1916"/>
      <c r="AB214" s="850"/>
      <c r="AC214" s="850"/>
      <c r="AD214" s="850"/>
      <c r="AE214" s="850"/>
      <c r="AF214" s="1925">
        <v>11</v>
      </c>
    </row>
    <row s="14730" customFormat="1" customHeight="1" ht="11.549999999999999">
      <c r="A215" s="1271"/>
      <c r="B215" s="1920"/>
      <c r="C215" s="1920"/>
      <c r="D215" s="635"/>
      <c r="K215" s="1444"/>
      <c r="L215" s="1920"/>
      <c r="M215" s="1920"/>
      <c r="N215" s="1444"/>
      <c r="O215" s="1444"/>
      <c r="P215" s="1444"/>
      <c r="Q215" s="1444"/>
      <c r="R215" s="1920"/>
      <c r="S215" s="1444"/>
      <c r="T215" s="1444"/>
      <c r="U215" s="828"/>
      <c r="V215" s="1444"/>
      <c r="W215" s="1444"/>
      <c r="X215" s="1444"/>
      <c r="Y215" s="1444"/>
      <c r="Z215" s="1444"/>
      <c r="AA215" s="1916"/>
      <c r="AB215" s="850"/>
      <c r="AC215" s="850"/>
      <c r="AD215" s="850"/>
      <c r="AE215" s="850"/>
      <c r="AF215" s="1925">
        <v>11</v>
      </c>
    </row>
    <row s="14730" customFormat="1" customHeight="1" ht="11.549999999999999">
      <c r="A216" s="1271"/>
      <c r="B216" s="1920"/>
      <c r="C216" s="1920"/>
      <c r="D216" s="635"/>
      <c r="K216" s="1444"/>
      <c r="L216" s="1920"/>
      <c r="M216" s="1920"/>
      <c r="N216" s="1444"/>
      <c r="O216" s="1444"/>
      <c r="P216" s="1444"/>
      <c r="Q216" s="1444"/>
      <c r="R216" s="1920"/>
      <c r="S216" s="1444"/>
      <c r="T216" s="1444"/>
      <c r="U216" s="828"/>
      <c r="V216" s="1444"/>
      <c r="W216" s="1444"/>
      <c r="X216" s="1444"/>
      <c r="Y216" s="1444"/>
      <c r="Z216" s="1444"/>
      <c r="AA216" s="1916"/>
      <c r="AB216" s="850"/>
      <c r="AC216" s="850"/>
      <c r="AD216" s="850"/>
      <c r="AE216" s="850"/>
      <c r="AF216" s="1925">
        <v>11</v>
      </c>
    </row>
    <row s="14730" customFormat="1" customHeight="1" ht="11.549999999999999">
      <c r="A217" s="1271"/>
      <c r="B217" s="1920"/>
      <c r="C217" s="1920"/>
      <c r="D217" s="635"/>
      <c r="K217" s="1444"/>
      <c r="L217" s="1920"/>
      <c r="M217" s="1920"/>
      <c r="N217" s="1444"/>
      <c r="O217" s="1444"/>
      <c r="P217" s="1444"/>
      <c r="Q217" s="1444"/>
      <c r="R217" s="1920"/>
      <c r="S217" s="1444"/>
      <c r="T217" s="1444"/>
      <c r="U217" s="828"/>
      <c r="V217" s="1444"/>
      <c r="W217" s="1444"/>
      <c r="X217" s="1444"/>
      <c r="Y217" s="1444"/>
      <c r="Z217" s="1444"/>
      <c r="AA217" s="1916"/>
      <c r="AB217" s="850"/>
      <c r="AC217" s="850"/>
      <c r="AD217" s="850"/>
      <c r="AE217" s="850"/>
      <c r="AF217" s="1925">
        <v>11</v>
      </c>
    </row>
    <row s="14730" customFormat="1" customHeight="1" ht="11.549999999999999">
      <c r="A218" s="1271"/>
      <c r="B218" s="1920"/>
      <c r="C218" s="1920"/>
      <c r="D218" s="635"/>
      <c r="K218" s="1444"/>
      <c r="L218" s="1920"/>
      <c r="M218" s="1920"/>
      <c r="N218" s="1444"/>
      <c r="O218" s="1444"/>
      <c r="P218" s="1444"/>
      <c r="Q218" s="1444"/>
      <c r="R218" s="1920"/>
      <c r="S218" s="1444"/>
      <c r="T218" s="1444"/>
      <c r="U218" s="828"/>
      <c r="V218" s="1444"/>
      <c r="W218" s="1444"/>
      <c r="X218" s="1444"/>
      <c r="Y218" s="1444"/>
      <c r="Z218" s="1444"/>
      <c r="AA218" s="1916"/>
      <c r="AB218" s="850"/>
      <c r="AC218" s="850"/>
      <c r="AD218" s="850"/>
      <c r="AE218" s="850"/>
      <c r="AF218" s="1925">
        <v>11</v>
      </c>
    </row>
    <row s="14730" customFormat="1" customHeight="1" ht="11.549999999999999">
      <c r="A219" s="1271"/>
      <c r="B219" s="1920"/>
      <c r="C219" s="1920"/>
      <c r="D219" s="635"/>
      <c r="K219" s="1444"/>
      <c r="L219" s="1920"/>
      <c r="M219" s="1920"/>
      <c r="N219" s="1444"/>
      <c r="O219" s="1444"/>
      <c r="P219" s="1444"/>
      <c r="Q219" s="1444"/>
      <c r="R219" s="1920"/>
      <c r="S219" s="1444"/>
      <c r="T219" s="1444"/>
      <c r="U219" s="828"/>
      <c r="V219" s="1444"/>
      <c r="W219" s="1444"/>
      <c r="X219" s="1444"/>
      <c r="Y219" s="1444"/>
      <c r="Z219" s="1444"/>
      <c r="AA219" s="1916"/>
      <c r="AB219" s="850"/>
      <c r="AC219" s="850"/>
      <c r="AD219" s="850"/>
      <c r="AE219" s="850"/>
      <c r="AF219" s="1925">
        <v>11</v>
      </c>
    </row>
    <row s="14730" customFormat="1" customHeight="1" ht="11.549999999999999">
      <c r="A220" s="1271"/>
      <c r="B220" s="1920"/>
      <c r="C220" s="1920"/>
      <c r="D220" s="635"/>
      <c r="K220" s="1444"/>
      <c r="L220" s="1920"/>
      <c r="M220" s="1920"/>
      <c r="N220" s="1444"/>
      <c r="O220" s="1444"/>
      <c r="P220" s="1444"/>
      <c r="Q220" s="1444"/>
      <c r="R220" s="1920"/>
      <c r="S220" s="1444"/>
      <c r="T220" s="1444"/>
      <c r="U220" s="828"/>
      <c r="V220" s="1444"/>
      <c r="W220" s="1444"/>
      <c r="X220" s="1444"/>
      <c r="Y220" s="1444"/>
      <c r="Z220" s="1444"/>
      <c r="AA220" s="1916"/>
      <c r="AB220" s="850"/>
      <c r="AC220" s="850"/>
      <c r="AD220" s="850"/>
      <c r="AE220" s="850"/>
      <c r="AF220" s="1925">
        <v>11</v>
      </c>
    </row>
    <row s="14730" customFormat="1" customHeight="1" ht="11.549999999999999">
      <c r="A221" s="1271"/>
      <c r="B221" s="1920"/>
      <c r="C221" s="1920"/>
      <c r="D221" s="635"/>
      <c r="K221" s="1444"/>
      <c r="L221" s="1920"/>
      <c r="M221" s="1920"/>
      <c r="N221" s="1444"/>
      <c r="O221" s="1444"/>
      <c r="P221" s="1444"/>
      <c r="Q221" s="1444"/>
      <c r="R221" s="1920"/>
      <c r="S221" s="1444"/>
      <c r="T221" s="1444"/>
      <c r="U221" s="828"/>
      <c r="V221" s="1444"/>
      <c r="W221" s="1444"/>
      <c r="X221" s="1444"/>
      <c r="Y221" s="1444"/>
      <c r="Z221" s="1444"/>
      <c r="AA221" s="1916"/>
      <c r="AB221" s="850"/>
      <c r="AC221" s="850"/>
      <c r="AD221" s="850"/>
      <c r="AE221" s="850"/>
      <c r="AF221" s="1925">
        <v>11</v>
      </c>
    </row>
    <row s="14730" customFormat="1" customHeight="1" ht="11.549999999999999">
      <c r="A222" s="1271"/>
      <c r="B222" s="1920"/>
      <c r="C222" s="1920"/>
      <c r="D222" s="635"/>
      <c r="K222" s="1444"/>
      <c r="L222" s="1920"/>
      <c r="M222" s="1920"/>
      <c r="N222" s="1444"/>
      <c r="O222" s="1444"/>
      <c r="P222" s="1444"/>
      <c r="Q222" s="1444"/>
      <c r="R222" s="1920"/>
      <c r="S222" s="1444"/>
      <c r="T222" s="1444"/>
      <c r="U222" s="828"/>
      <c r="V222" s="1444"/>
      <c r="W222" s="1444"/>
      <c r="X222" s="1444"/>
      <c r="Y222" s="1444"/>
      <c r="Z222" s="1444"/>
      <c r="AA222" s="1916"/>
      <c r="AB222" s="850"/>
      <c r="AC222" s="850"/>
      <c r="AD222" s="850"/>
      <c r="AE222" s="850"/>
      <c r="AF222" s="1925">
        <v>11</v>
      </c>
    </row>
    <row s="14730" customFormat="1" customHeight="1" ht="11.549999999999999">
      <c r="A223" s="1271"/>
      <c r="B223" s="1920"/>
      <c r="C223" s="1920"/>
      <c r="D223" s="635"/>
      <c r="K223" s="1444"/>
      <c r="L223" s="1920"/>
      <c r="M223" s="1920"/>
      <c r="N223" s="1444"/>
      <c r="O223" s="1444"/>
      <c r="P223" s="1444"/>
      <c r="Q223" s="1444"/>
      <c r="R223" s="1920"/>
      <c r="S223" s="1444"/>
      <c r="T223" s="1444"/>
      <c r="U223" s="828"/>
      <c r="V223" s="1444"/>
      <c r="W223" s="1444"/>
      <c r="X223" s="1444"/>
      <c r="Y223" s="1444"/>
      <c r="Z223" s="1444"/>
      <c r="AA223" s="1916"/>
      <c r="AB223" s="850"/>
      <c r="AC223" s="850"/>
      <c r="AD223" s="850"/>
      <c r="AE223" s="850"/>
      <c r="AF223" s="1925">
        <v>11</v>
      </c>
    </row>
    <row s="14730" customFormat="1" customHeight="1" ht="11.549999999999999">
      <c r="A224" s="1271"/>
      <c r="B224" s="1920"/>
      <c r="C224" s="1920"/>
      <c r="D224" s="635"/>
      <c r="K224" s="1444"/>
      <c r="L224" s="1920"/>
      <c r="M224" s="1920"/>
      <c r="N224" s="1444"/>
      <c r="O224" s="1444"/>
      <c r="P224" s="1444"/>
      <c r="Q224" s="1444"/>
      <c r="R224" s="1920"/>
      <c r="S224" s="1444"/>
      <c r="T224" s="1444"/>
      <c r="U224" s="828"/>
      <c r="V224" s="1444"/>
      <c r="W224" s="1444"/>
      <c r="X224" s="1444"/>
      <c r="Y224" s="1444"/>
      <c r="Z224" s="1444"/>
      <c r="AA224" s="1916"/>
      <c r="AB224" s="850"/>
      <c r="AC224" s="850"/>
      <c r="AD224" s="850"/>
      <c r="AE224" s="850"/>
      <c r="AF224" s="1925">
        <v>11</v>
      </c>
    </row>
    <row s="14730" customFormat="1" customHeight="1" ht="11.549999999999999">
      <c r="A225" s="1271"/>
      <c r="B225" s="1920"/>
      <c r="C225" s="1920"/>
      <c r="D225" s="635"/>
      <c r="K225" s="1444"/>
      <c r="L225" s="1920"/>
      <c r="M225" s="1920"/>
      <c r="N225" s="1444"/>
      <c r="O225" s="1444"/>
      <c r="P225" s="1444"/>
      <c r="Q225" s="1444"/>
      <c r="R225" s="1920"/>
      <c r="S225" s="1444"/>
      <c r="T225" s="1444"/>
      <c r="U225" s="828"/>
      <c r="V225" s="1444"/>
      <c r="W225" s="1444"/>
      <c r="X225" s="1444"/>
      <c r="Y225" s="1444"/>
      <c r="Z225" s="1444"/>
      <c r="AA225" s="1916"/>
      <c r="AB225" s="850"/>
      <c r="AC225" s="850"/>
      <c r="AD225" s="850"/>
      <c r="AE225" s="850"/>
      <c r="AF225" s="1925">
        <v>11</v>
      </c>
    </row>
    <row s="14730" customFormat="1" customHeight="1" ht="11.549999999999999">
      <c r="A226" s="1271"/>
      <c r="B226" s="1920"/>
      <c r="C226" s="1920"/>
      <c r="D226" s="635"/>
      <c r="K226" s="1444"/>
      <c r="L226" s="1920"/>
      <c r="M226" s="1920"/>
      <c r="N226" s="1444"/>
      <c r="O226" s="1444"/>
      <c r="P226" s="1444"/>
      <c r="Q226" s="1444"/>
      <c r="R226" s="1920"/>
      <c r="S226" s="1444"/>
      <c r="T226" s="1444"/>
      <c r="U226" s="828"/>
      <c r="V226" s="1444"/>
      <c r="W226" s="1444"/>
      <c r="X226" s="1444"/>
      <c r="Y226" s="1444"/>
      <c r="Z226" s="1444"/>
      <c r="AA226" s="1916"/>
      <c r="AB226" s="850"/>
      <c r="AC226" s="850"/>
      <c r="AD226" s="850"/>
      <c r="AE226" s="850"/>
      <c r="AF226" s="1925">
        <v>11</v>
      </c>
    </row>
    <row s="14730" customFormat="1" customHeight="1" ht="11.549999999999999">
      <c r="A227" s="1271"/>
      <c r="B227" s="1920"/>
      <c r="C227" s="1920"/>
      <c r="D227" s="635"/>
      <c r="K227" s="1444"/>
      <c r="L227" s="1920"/>
      <c r="M227" s="1920"/>
      <c r="N227" s="1444"/>
      <c r="O227" s="1444"/>
      <c r="P227" s="1444"/>
      <c r="Q227" s="1444"/>
      <c r="R227" s="1920"/>
      <c r="S227" s="1444"/>
      <c r="T227" s="1444"/>
      <c r="U227" s="828"/>
      <c r="V227" s="1444"/>
      <c r="W227" s="1444"/>
      <c r="X227" s="1444"/>
      <c r="Y227" s="1444"/>
      <c r="Z227" s="1444"/>
      <c r="AA227" s="1916"/>
      <c r="AB227" s="850"/>
      <c r="AC227" s="850"/>
      <c r="AD227" s="850"/>
      <c r="AE227" s="850"/>
      <c r="AF227" s="1925">
        <v>11</v>
      </c>
    </row>
    <row s="14730" customFormat="1" customHeight="1" ht="11.549999999999999">
      <c r="A228" s="1271"/>
      <c r="B228" s="1920"/>
      <c r="C228" s="1920"/>
      <c r="D228" s="635"/>
      <c r="K228" s="1444"/>
      <c r="L228" s="1920"/>
      <c r="M228" s="1920"/>
      <c r="N228" s="1444"/>
      <c r="O228" s="1444"/>
      <c r="P228" s="1444"/>
      <c r="Q228" s="1444"/>
      <c r="R228" s="1920"/>
      <c r="S228" s="1444"/>
      <c r="T228" s="1444"/>
      <c r="U228" s="828"/>
      <c r="V228" s="1444"/>
      <c r="W228" s="1444"/>
      <c r="X228" s="1444"/>
      <c r="Y228" s="1444"/>
      <c r="Z228" s="1444"/>
      <c r="AA228" s="1916"/>
      <c r="AB228" s="850"/>
      <c r="AC228" s="850"/>
      <c r="AD228" s="850"/>
      <c r="AE228" s="850"/>
      <c r="AF228" s="1925">
        <v>11</v>
      </c>
    </row>
    <row s="14730" customFormat="1" customHeight="1" ht="11.549999999999999">
      <c r="A229" s="1271"/>
      <c r="B229" s="1920"/>
      <c r="C229" s="1920"/>
      <c r="D229" s="635"/>
      <c r="K229" s="1444"/>
      <c r="L229" s="1920"/>
      <c r="M229" s="1920"/>
      <c r="N229" s="1444"/>
      <c r="O229" s="1444"/>
      <c r="P229" s="1444"/>
      <c r="Q229" s="1444"/>
      <c r="R229" s="1920"/>
      <c r="S229" s="1444"/>
      <c r="T229" s="1444"/>
      <c r="U229" s="828"/>
      <c r="V229" s="1444"/>
      <c r="W229" s="1444"/>
      <c r="X229" s="1444"/>
      <c r="Y229" s="1444"/>
      <c r="Z229" s="1444"/>
      <c r="AA229" s="1916"/>
      <c r="AB229" s="850"/>
      <c r="AC229" s="850"/>
      <c r="AD229" s="850"/>
      <c r="AE229" s="850"/>
      <c r="AF229" s="1925">
        <v>11</v>
      </c>
    </row>
    <row s="14730" customFormat="1" customHeight="1" ht="11.549999999999999">
      <c r="A230" s="1271"/>
      <c r="B230" s="1920"/>
      <c r="C230" s="1920"/>
      <c r="D230" s="635"/>
      <c r="K230" s="1444"/>
      <c r="L230" s="1920"/>
      <c r="M230" s="1920"/>
      <c r="N230" s="1444"/>
      <c r="O230" s="1444"/>
      <c r="P230" s="1444"/>
      <c r="Q230" s="1444"/>
      <c r="R230" s="1920"/>
      <c r="S230" s="1444"/>
      <c r="T230" s="1444"/>
      <c r="U230" s="828"/>
      <c r="V230" s="1444"/>
      <c r="W230" s="1444"/>
      <c r="X230" s="1444"/>
      <c r="Y230" s="1444"/>
      <c r="Z230" s="1444"/>
      <c r="AA230" s="1916"/>
      <c r="AB230" s="850"/>
      <c r="AC230" s="850"/>
      <c r="AD230" s="850"/>
      <c r="AE230" s="850"/>
      <c r="AF230" s="1925">
        <v>11</v>
      </c>
    </row>
    <row s="14730" customFormat="1" customHeight="1" ht="11.549999999999999">
      <c r="A231" s="1271"/>
      <c r="B231" s="1920"/>
      <c r="C231" s="1920"/>
      <c r="D231" s="635"/>
      <c r="K231" s="1444"/>
      <c r="L231" s="1920"/>
      <c r="M231" s="1920"/>
      <c r="N231" s="1444"/>
      <c r="O231" s="1444"/>
      <c r="P231" s="1444"/>
      <c r="Q231" s="1444"/>
      <c r="R231" s="1920"/>
      <c r="S231" s="1444"/>
      <c r="T231" s="1444"/>
      <c r="U231" s="828"/>
      <c r="V231" s="1444"/>
      <c r="W231" s="1444"/>
      <c r="X231" s="1444"/>
      <c r="Y231" s="1444"/>
      <c r="Z231" s="1444"/>
      <c r="AA231" s="1916"/>
      <c r="AB231" s="850"/>
      <c r="AC231" s="850"/>
      <c r="AD231" s="850"/>
      <c r="AE231" s="850"/>
      <c r="AF231" s="1925">
        <v>11</v>
      </c>
    </row>
    <row s="14730" customFormat="1" customHeight="1" ht="11.549999999999999">
      <c r="A232" s="1271"/>
      <c r="B232" s="1920"/>
      <c r="C232" s="1920"/>
      <c r="D232" s="635"/>
      <c r="K232" s="1444"/>
      <c r="L232" s="1920"/>
      <c r="M232" s="1920"/>
      <c r="N232" s="1444"/>
      <c r="O232" s="1444"/>
      <c r="P232" s="1444"/>
      <c r="Q232" s="1444"/>
      <c r="R232" s="1920"/>
      <c r="S232" s="1444"/>
      <c r="T232" s="1444"/>
      <c r="U232" s="828"/>
      <c r="V232" s="1444"/>
      <c r="W232" s="1444"/>
      <c r="X232" s="1444"/>
      <c r="Y232" s="1444"/>
      <c r="Z232" s="1444"/>
      <c r="AA232" s="1916"/>
      <c r="AB232" s="850"/>
      <c r="AC232" s="850"/>
      <c r="AD232" s="850"/>
      <c r="AE232" s="850"/>
      <c r="AF232" s="1925">
        <v>11</v>
      </c>
    </row>
    <row s="14730" customFormat="1" customHeight="1" ht="11.549999999999999">
      <c r="A233" s="1271"/>
      <c r="B233" s="1920"/>
      <c r="C233" s="1920"/>
      <c r="D233" s="635"/>
      <c r="K233" s="1444"/>
      <c r="L233" s="1920"/>
      <c r="M233" s="1920"/>
      <c r="N233" s="1444"/>
      <c r="O233" s="1444"/>
      <c r="P233" s="1444"/>
      <c r="Q233" s="1444"/>
      <c r="R233" s="1920"/>
      <c r="S233" s="1444"/>
      <c r="T233" s="1444"/>
      <c r="U233" s="828"/>
      <c r="V233" s="1444"/>
      <c r="W233" s="1444"/>
      <c r="X233" s="1444"/>
      <c r="Y233" s="1444"/>
      <c r="Z233" s="1444"/>
      <c r="AA233" s="1916"/>
      <c r="AB233" s="850"/>
      <c r="AC233" s="850"/>
      <c r="AD233" s="850"/>
      <c r="AE233" s="850"/>
      <c r="AF233" s="1925">
        <v>11</v>
      </c>
    </row>
    <row s="14730" customFormat="1" customHeight="1" ht="11.549999999999999">
      <c r="A234" s="1271"/>
      <c r="B234" s="1920"/>
      <c r="C234" s="1920"/>
      <c r="D234" s="635"/>
      <c r="K234" s="1444"/>
      <c r="L234" s="1920"/>
      <c r="M234" s="1920"/>
      <c r="N234" s="1444"/>
      <c r="O234" s="1444"/>
      <c r="P234" s="1444"/>
      <c r="Q234" s="1444"/>
      <c r="R234" s="1920"/>
      <c r="S234" s="1444"/>
      <c r="T234" s="1444"/>
      <c r="U234" s="828"/>
      <c r="V234" s="1444"/>
      <c r="W234" s="1444"/>
      <c r="X234" s="1444"/>
      <c r="Y234" s="1444"/>
      <c r="Z234" s="1444"/>
      <c r="AA234" s="1916"/>
      <c r="AB234" s="850"/>
      <c r="AC234" s="850"/>
      <c r="AD234" s="850"/>
      <c r="AE234" s="850"/>
      <c r="AF234" s="1925">
        <v>11</v>
      </c>
    </row>
    <row s="14730" customFormat="1" customHeight="1" ht="11.549999999999999">
      <c r="A235" s="1271"/>
      <c r="B235" s="1920"/>
      <c r="C235" s="1920"/>
      <c r="D235" s="635"/>
      <c r="K235" s="1444"/>
      <c r="L235" s="1920"/>
      <c r="M235" s="1920"/>
      <c r="N235" s="1444"/>
      <c r="O235" s="1444"/>
      <c r="P235" s="1444"/>
      <c r="Q235" s="1444"/>
      <c r="R235" s="1920"/>
      <c r="S235" s="1444"/>
      <c r="T235" s="1444"/>
      <c r="U235" s="828"/>
      <c r="V235" s="1444"/>
      <c r="W235" s="1444"/>
      <c r="X235" s="1444"/>
      <c r="Y235" s="1444"/>
      <c r="Z235" s="1444"/>
      <c r="AA235" s="1916"/>
      <c r="AB235" s="850"/>
      <c r="AC235" s="850"/>
      <c r="AD235" s="850"/>
      <c r="AE235" s="850"/>
      <c r="AF235" s="1925">
        <v>11</v>
      </c>
    </row>
    <row s="14730" customFormat="1" customHeight="1" ht="11.549999999999999">
      <c r="A236" s="1271"/>
      <c r="B236" s="1920"/>
      <c r="C236" s="1920"/>
      <c r="D236" s="635"/>
      <c r="K236" s="1444"/>
      <c r="L236" s="1920"/>
      <c r="M236" s="1920"/>
      <c r="N236" s="1444"/>
      <c r="O236" s="1444"/>
      <c r="P236" s="1444"/>
      <c r="Q236" s="1444"/>
      <c r="R236" s="1920"/>
      <c r="S236" s="1444"/>
      <c r="T236" s="1444"/>
      <c r="U236" s="828"/>
      <c r="V236" s="1444"/>
      <c r="W236" s="1444"/>
      <c r="X236" s="1444"/>
      <c r="Y236" s="1444"/>
      <c r="Z236" s="1444"/>
      <c r="AA236" s="1916"/>
      <c r="AB236" s="850"/>
      <c r="AC236" s="850"/>
      <c r="AD236" s="850"/>
      <c r="AE236" s="850"/>
      <c r="AF236" s="1925">
        <v>11</v>
      </c>
    </row>
    <row s="14730" customFormat="1" customHeight="1" ht="11.549999999999999">
      <c r="A237" s="1271"/>
      <c r="B237" s="1920"/>
      <c r="C237" s="1920"/>
      <c r="D237" s="635"/>
      <c r="K237" s="1444"/>
      <c r="L237" s="1920"/>
      <c r="M237" s="1920"/>
      <c r="N237" s="1444"/>
      <c r="O237" s="1444"/>
      <c r="P237" s="1444"/>
      <c r="Q237" s="1444"/>
      <c r="R237" s="1920"/>
      <c r="S237" s="1444"/>
      <c r="T237" s="1444"/>
      <c r="U237" s="828"/>
      <c r="V237" s="1444"/>
      <c r="W237" s="1444"/>
      <c r="X237" s="1444"/>
      <c r="Y237" s="1444"/>
      <c r="Z237" s="1444"/>
      <c r="AA237" s="1916"/>
      <c r="AB237" s="850"/>
      <c r="AC237" s="850"/>
      <c r="AD237" s="850"/>
      <c r="AE237" s="850"/>
      <c r="AF237" s="1925">
        <v>11</v>
      </c>
    </row>
    <row s="14730" customFormat="1" customHeight="1" ht="11.549999999999999">
      <c r="A238" s="1271"/>
      <c r="B238" s="1920"/>
      <c r="C238" s="1920"/>
      <c r="D238" s="635"/>
      <c r="K238" s="1444"/>
      <c r="L238" s="1920"/>
      <c r="M238" s="1920"/>
      <c r="N238" s="1444"/>
      <c r="O238" s="1444"/>
      <c r="P238" s="1444"/>
      <c r="Q238" s="1444"/>
      <c r="R238" s="1920"/>
      <c r="S238" s="1444"/>
      <c r="T238" s="1444"/>
      <c r="U238" s="828"/>
      <c r="V238" s="1444"/>
      <c r="W238" s="1444"/>
      <c r="X238" s="1444"/>
      <c r="Y238" s="1444"/>
      <c r="Z238" s="1444"/>
      <c r="AA238" s="1916"/>
      <c r="AB238" s="850"/>
      <c r="AC238" s="850"/>
      <c r="AD238" s="850"/>
      <c r="AE238" s="850"/>
      <c r="AF238" s="1925">
        <v>11</v>
      </c>
    </row>
    <row s="14730" customFormat="1" customHeight="1" ht="11.549999999999999">
      <c r="A239" s="1271"/>
      <c r="B239" s="1920"/>
      <c r="C239" s="1920"/>
      <c r="D239" s="635"/>
      <c r="K239" s="1444"/>
      <c r="L239" s="1920"/>
      <c r="M239" s="1920"/>
      <c r="N239" s="1444"/>
      <c r="O239" s="1444"/>
      <c r="P239" s="1444"/>
      <c r="Q239" s="1444"/>
      <c r="R239" s="1920"/>
      <c r="S239" s="1444"/>
      <c r="T239" s="1444"/>
      <c r="U239" s="828"/>
      <c r="V239" s="1444"/>
      <c r="W239" s="1444"/>
      <c r="X239" s="1444"/>
      <c r="Y239" s="1444"/>
      <c r="Z239" s="1444"/>
      <c r="AA239" s="1916"/>
      <c r="AB239" s="850"/>
      <c r="AC239" s="850"/>
      <c r="AD239" s="850"/>
      <c r="AE239" s="850"/>
      <c r="AF239" s="1925">
        <v>11</v>
      </c>
    </row>
    <row s="14730" customFormat="1" customHeight="1" ht="11.549999999999999">
      <c r="A240" s="1271"/>
      <c r="B240" s="1920"/>
      <c r="C240" s="1920"/>
      <c r="D240" s="635"/>
      <c r="K240" s="1444"/>
      <c r="L240" s="1920"/>
      <c r="M240" s="1920"/>
      <c r="N240" s="1444"/>
      <c r="O240" s="1444"/>
      <c r="P240" s="1444"/>
      <c r="Q240" s="1444"/>
      <c r="R240" s="1920"/>
      <c r="S240" s="1444"/>
      <c r="T240" s="1444"/>
      <c r="U240" s="828"/>
      <c r="V240" s="1444"/>
      <c r="W240" s="1444"/>
      <c r="X240" s="1444"/>
      <c r="Y240" s="1444"/>
      <c r="Z240" s="1444"/>
      <c r="AA240" s="1916"/>
      <c r="AB240" s="850"/>
      <c r="AC240" s="850"/>
      <c r="AD240" s="850"/>
      <c r="AE240" s="850"/>
      <c r="AF240" s="1925">
        <v>11</v>
      </c>
    </row>
    <row s="14730" customFormat="1" customHeight="1" ht="11.549999999999999">
      <c r="A241" s="1271"/>
      <c r="B241" s="1920"/>
      <c r="C241" s="1920"/>
      <c r="D241" s="635"/>
      <c r="K241" s="1444"/>
      <c r="L241" s="1920"/>
      <c r="M241" s="1920"/>
      <c r="N241" s="1444"/>
      <c r="O241" s="1444"/>
      <c r="P241" s="1444"/>
      <c r="Q241" s="1444"/>
      <c r="R241" s="1920"/>
      <c r="S241" s="1444"/>
      <c r="T241" s="1444"/>
      <c r="U241" s="828"/>
      <c r="V241" s="1444"/>
      <c r="W241" s="1444"/>
      <c r="X241" s="1444"/>
      <c r="Y241" s="1444"/>
      <c r="Z241" s="1444"/>
      <c r="AA241" s="1916"/>
      <c r="AB241" s="850"/>
      <c r="AC241" s="850"/>
      <c r="AD241" s="850"/>
      <c r="AE241" s="850"/>
      <c r="AF241" s="1925">
        <v>11</v>
      </c>
    </row>
    <row s="14730" customFormat="1" customHeight="1" ht="11.549999999999999">
      <c r="A242" s="1271"/>
      <c r="B242" s="1920"/>
      <c r="C242" s="1920"/>
      <c r="D242" s="635"/>
      <c r="K242" s="1444"/>
      <c r="L242" s="1920"/>
      <c r="M242" s="1920"/>
      <c r="N242" s="1444"/>
      <c r="O242" s="1444"/>
      <c r="P242" s="1444"/>
      <c r="Q242" s="1444"/>
      <c r="R242" s="1920"/>
      <c r="S242" s="1444"/>
      <c r="T242" s="1444"/>
      <c r="U242" s="828"/>
      <c r="V242" s="1444"/>
      <c r="W242" s="1444"/>
      <c r="X242" s="1444"/>
      <c r="Y242" s="1444"/>
      <c r="Z242" s="1444"/>
      <c r="AA242" s="1916"/>
      <c r="AB242" s="850"/>
      <c r="AC242" s="850"/>
      <c r="AD242" s="850"/>
      <c r="AE242" s="850"/>
      <c r="AF242" s="1925">
        <v>11</v>
      </c>
    </row>
    <row s="14730" customFormat="1" customHeight="1" ht="11.549999999999999">
      <c r="A243" s="1271"/>
      <c r="B243" s="1920"/>
      <c r="C243" s="1920"/>
      <c r="D243" s="635"/>
      <c r="K243" s="1444"/>
      <c r="L243" s="1920"/>
      <c r="M243" s="1920"/>
      <c r="N243" s="1444"/>
      <c r="O243" s="1444"/>
      <c r="P243" s="1444"/>
      <c r="Q243" s="1444"/>
      <c r="R243" s="1920"/>
      <c r="S243" s="1444"/>
      <c r="T243" s="1444"/>
      <c r="U243" s="828"/>
      <c r="V243" s="1444"/>
      <c r="W243" s="1444"/>
      <c r="X243" s="1444"/>
      <c r="Y243" s="1444"/>
      <c r="Z243" s="1444"/>
      <c r="AA243" s="1916"/>
      <c r="AB243" s="850"/>
      <c r="AC243" s="850"/>
      <c r="AD243" s="850"/>
      <c r="AE243" s="850"/>
      <c r="AF243" s="1925">
        <v>11</v>
      </c>
    </row>
    <row s="14730" customFormat="1" customHeight="1" ht="11.549999999999999">
      <c r="A244" s="1271"/>
      <c r="B244" s="1920"/>
      <c r="C244" s="1920"/>
      <c r="D244" s="635"/>
      <c r="K244" s="1444"/>
      <c r="L244" s="1920"/>
      <c r="M244" s="1920"/>
      <c r="N244" s="1444"/>
      <c r="O244" s="1444"/>
      <c r="P244" s="1444"/>
      <c r="Q244" s="1444"/>
      <c r="R244" s="1920"/>
      <c r="S244" s="1444"/>
      <c r="T244" s="1444"/>
      <c r="U244" s="828"/>
      <c r="V244" s="1444"/>
      <c r="W244" s="1444"/>
      <c r="X244" s="1444"/>
      <c r="Y244" s="1444"/>
      <c r="Z244" s="1444"/>
      <c r="AA244" s="1916"/>
      <c r="AB244" s="850"/>
      <c r="AC244" s="850"/>
      <c r="AD244" s="850"/>
      <c r="AE244" s="850"/>
      <c r="AF244" s="1925">
        <v>11</v>
      </c>
    </row>
    <row s="14730" customFormat="1" customHeight="1" ht="11.549999999999999">
      <c r="A245" s="1271"/>
      <c r="B245" s="1920"/>
      <c r="C245" s="1920"/>
      <c r="D245" s="635"/>
      <c r="K245" s="1444"/>
      <c r="L245" s="1920"/>
      <c r="M245" s="1920"/>
      <c r="N245" s="1444"/>
      <c r="O245" s="1444"/>
      <c r="P245" s="1444"/>
      <c r="Q245" s="1444"/>
      <c r="R245" s="1920"/>
      <c r="S245" s="1444"/>
      <c r="T245" s="1444"/>
      <c r="U245" s="828"/>
      <c r="V245" s="1444"/>
      <c r="W245" s="1444"/>
      <c r="X245" s="1444"/>
      <c r="Y245" s="1444"/>
      <c r="Z245" s="1444"/>
      <c r="AA245" s="1916"/>
      <c r="AB245" s="850"/>
      <c r="AC245" s="850"/>
      <c r="AD245" s="850"/>
      <c r="AE245" s="850"/>
      <c r="AF245" s="1925">
        <v>11</v>
      </c>
    </row>
    <row s="14730" customFormat="1" customHeight="1" ht="11.549999999999999">
      <c r="A246" s="1271"/>
      <c r="B246" s="1920"/>
      <c r="C246" s="1920"/>
      <c r="D246" s="635"/>
      <c r="K246" s="1444"/>
      <c r="L246" s="1920"/>
      <c r="M246" s="1920"/>
      <c r="N246" s="1444"/>
      <c r="O246" s="1444"/>
      <c r="P246" s="1444"/>
      <c r="Q246" s="1444"/>
      <c r="R246" s="1920"/>
      <c r="S246" s="1444"/>
      <c r="T246" s="1444"/>
      <c r="U246" s="828"/>
      <c r="V246" s="1444"/>
      <c r="W246" s="1444"/>
      <c r="X246" s="1444"/>
      <c r="Y246" s="1444"/>
      <c r="Z246" s="1444"/>
      <c r="AA246" s="1916"/>
      <c r="AB246" s="850"/>
      <c r="AC246" s="850"/>
      <c r="AD246" s="850"/>
      <c r="AE246" s="850"/>
      <c r="AF246" s="1925">
        <v>11</v>
      </c>
    </row>
    <row s="14730" customFormat="1" customHeight="1" ht="11.549999999999999">
      <c r="A247" s="1271"/>
      <c r="B247" s="1920"/>
      <c r="C247" s="1920"/>
      <c r="D247" s="635"/>
      <c r="K247" s="1444"/>
      <c r="L247" s="1920"/>
      <c r="M247" s="1920"/>
      <c r="N247" s="1444"/>
      <c r="O247" s="1444"/>
      <c r="P247" s="1444"/>
      <c r="Q247" s="1444"/>
      <c r="R247" s="1920"/>
      <c r="S247" s="1444"/>
      <c r="T247" s="1444"/>
      <c r="U247" s="828"/>
      <c r="V247" s="1444"/>
      <c r="W247" s="1444"/>
      <c r="X247" s="1444"/>
      <c r="Y247" s="1444"/>
      <c r="Z247" s="1444"/>
      <c r="AA247" s="1916"/>
      <c r="AB247" s="850"/>
      <c r="AC247" s="850"/>
      <c r="AD247" s="850"/>
      <c r="AE247" s="850"/>
      <c r="AF247" s="1925">
        <v>11</v>
      </c>
    </row>
    <row s="14730" customFormat="1" customHeight="1" ht="11.549999999999999">
      <c r="A248" s="1271"/>
      <c r="B248" s="1920"/>
      <c r="C248" s="1920"/>
      <c r="D248" s="635"/>
      <c r="K248" s="1444"/>
      <c r="L248" s="1920"/>
      <c r="M248" s="1920"/>
      <c r="N248" s="1444"/>
      <c r="O248" s="1444"/>
      <c r="P248" s="1444"/>
      <c r="Q248" s="1444"/>
      <c r="R248" s="1920"/>
      <c r="S248" s="1444"/>
      <c r="T248" s="1444"/>
      <c r="U248" s="828"/>
      <c r="V248" s="1444"/>
      <c r="W248" s="1444"/>
      <c r="X248" s="1444"/>
      <c r="Y248" s="1444"/>
      <c r="Z248" s="1444"/>
      <c r="AA248" s="1916"/>
      <c r="AB248" s="850"/>
      <c r="AC248" s="850"/>
      <c r="AD248" s="850"/>
      <c r="AE248" s="850"/>
      <c r="AF248" s="1925">
        <v>11</v>
      </c>
    </row>
    <row s="14730" customFormat="1" customHeight="1" ht="11.549999999999999">
      <c r="A249" s="1271"/>
      <c r="B249" s="1920"/>
      <c r="C249" s="1920"/>
      <c r="D249" s="635"/>
      <c r="K249" s="1444"/>
      <c r="L249" s="1920"/>
      <c r="M249" s="1920"/>
      <c r="N249" s="1444"/>
      <c r="O249" s="1444"/>
      <c r="P249" s="1444"/>
      <c r="Q249" s="1444"/>
      <c r="R249" s="1920"/>
      <c r="S249" s="1444"/>
      <c r="T249" s="1444"/>
      <c r="U249" s="828"/>
      <c r="V249" s="1444"/>
      <c r="W249" s="1444"/>
      <c r="X249" s="1444"/>
      <c r="Y249" s="1444"/>
      <c r="Z249" s="1444"/>
      <c r="AA249" s="1916"/>
      <c r="AB249" s="850"/>
      <c r="AC249" s="850"/>
      <c r="AD249" s="850"/>
      <c r="AE249" s="850"/>
      <c r="AF249" s="1925">
        <v>11</v>
      </c>
    </row>
    <row s="14730" customFormat="1" customHeight="1" ht="11.549999999999999">
      <c r="A250" s="1271"/>
      <c r="B250" s="1920"/>
      <c r="C250" s="1920"/>
      <c r="D250" s="635"/>
      <c r="K250" s="1444"/>
      <c r="L250" s="1920"/>
      <c r="M250" s="1920"/>
      <c r="N250" s="1444"/>
      <c r="O250" s="1444"/>
      <c r="P250" s="1444"/>
      <c r="Q250" s="1444"/>
      <c r="R250" s="1920"/>
      <c r="S250" s="1444"/>
      <c r="T250" s="1444"/>
      <c r="U250" s="828"/>
      <c r="V250" s="1444"/>
      <c r="W250" s="1444"/>
      <c r="X250" s="1444"/>
      <c r="Y250" s="1444"/>
      <c r="Z250" s="1444"/>
      <c r="AA250" s="1916"/>
      <c r="AB250" s="850"/>
      <c r="AC250" s="850"/>
      <c r="AD250" s="850"/>
      <c r="AE250" s="850"/>
      <c r="AF250" s="1925">
        <v>11</v>
      </c>
    </row>
    <row s="14730" customFormat="1" customHeight="1" ht="11.549999999999999">
      <c r="A251" s="1271"/>
      <c r="B251" s="1920"/>
      <c r="C251" s="1920"/>
      <c r="D251" s="635"/>
      <c r="K251" s="1444"/>
      <c r="L251" s="1920"/>
      <c r="M251" s="1920"/>
      <c r="N251" s="1444"/>
      <c r="O251" s="1444"/>
      <c r="P251" s="1444"/>
      <c r="Q251" s="1444"/>
      <c r="R251" s="1920"/>
      <c r="S251" s="1444"/>
      <c r="T251" s="1444"/>
      <c r="U251" s="828"/>
      <c r="V251" s="1444"/>
      <c r="W251" s="1444"/>
      <c r="X251" s="1444"/>
      <c r="Y251" s="1444"/>
      <c r="Z251" s="1444"/>
      <c r="AA251" s="1916"/>
      <c r="AB251" s="850"/>
      <c r="AC251" s="850"/>
      <c r="AD251" s="850"/>
      <c r="AE251" s="850"/>
      <c r="AF251" s="1925">
        <v>11</v>
      </c>
    </row>
    <row s="14730" customFormat="1" customHeight="1" ht="11.549999999999999">
      <c r="A252" s="1271"/>
      <c r="B252" s="1920"/>
      <c r="C252" s="1920"/>
      <c r="D252" s="635"/>
      <c r="K252" s="1444"/>
      <c r="L252" s="1920"/>
      <c r="M252" s="1920"/>
      <c r="N252" s="1444"/>
      <c r="O252" s="1444"/>
      <c r="P252" s="1444"/>
      <c r="Q252" s="1444"/>
      <c r="R252" s="1920"/>
      <c r="S252" s="1444"/>
      <c r="T252" s="1444"/>
      <c r="U252" s="828"/>
      <c r="V252" s="1444"/>
      <c r="W252" s="1444"/>
      <c r="X252" s="1444"/>
      <c r="Y252" s="1444"/>
      <c r="Z252" s="1444"/>
      <c r="AA252" s="1916"/>
      <c r="AB252" s="850"/>
      <c r="AC252" s="850"/>
      <c r="AD252" s="850"/>
      <c r="AE252" s="850"/>
      <c r="AF252" s="1925">
        <v>11</v>
      </c>
    </row>
    <row s="14730" customFormat="1" customHeight="1" ht="11.549999999999999">
      <c r="A253" s="1271"/>
      <c r="B253" s="1920"/>
      <c r="C253" s="1920"/>
      <c r="D253" s="635"/>
      <c r="K253" s="1444"/>
      <c r="L253" s="1920"/>
      <c r="M253" s="1920"/>
      <c r="N253" s="1444"/>
      <c r="O253" s="1444"/>
      <c r="P253" s="1444"/>
      <c r="Q253" s="1444"/>
      <c r="R253" s="1920"/>
      <c r="S253" s="1444"/>
      <c r="T253" s="1444"/>
      <c r="U253" s="828"/>
      <c r="V253" s="1444"/>
      <c r="W253" s="1444"/>
      <c r="X253" s="1444"/>
      <c r="Y253" s="1444"/>
      <c r="Z253" s="1444"/>
      <c r="AA253" s="1916"/>
      <c r="AB253" s="850"/>
      <c r="AC253" s="850"/>
      <c r="AD253" s="850"/>
      <c r="AE253" s="850"/>
      <c r="AF253" s="1925">
        <v>11</v>
      </c>
    </row>
    <row s="14730" customFormat="1" customHeight="1" ht="11.549999999999999">
      <c r="A254" s="1271"/>
      <c r="B254" s="1920"/>
      <c r="C254" s="1920"/>
      <c r="D254" s="635"/>
      <c r="K254" s="1444"/>
      <c r="L254" s="1920"/>
      <c r="M254" s="1920"/>
      <c r="N254" s="1444"/>
      <c r="O254" s="1444"/>
      <c r="P254" s="1444"/>
      <c r="Q254" s="1444"/>
      <c r="R254" s="1920"/>
      <c r="S254" s="1444"/>
      <c r="T254" s="1444"/>
      <c r="U254" s="828"/>
      <c r="V254" s="1444"/>
      <c r="W254" s="1444"/>
      <c r="X254" s="1444"/>
      <c r="Y254" s="1444"/>
      <c r="Z254" s="1444"/>
      <c r="AA254" s="1916"/>
      <c r="AB254" s="850"/>
      <c r="AC254" s="850"/>
      <c r="AD254" s="850"/>
      <c r="AE254" s="850"/>
      <c r="AF254" s="1925">
        <v>11</v>
      </c>
    </row>
    <row s="14730" customFormat="1" customHeight="1" ht="11.549999999999999">
      <c r="A255" s="1271"/>
      <c r="B255" s="1920"/>
      <c r="C255" s="1920"/>
      <c r="D255" s="635"/>
      <c r="K255" s="1444"/>
      <c r="L255" s="1920"/>
      <c r="M255" s="1920"/>
      <c r="N255" s="1444"/>
      <c r="O255" s="1444"/>
      <c r="P255" s="1444"/>
      <c r="Q255" s="1444"/>
      <c r="R255" s="1920"/>
      <c r="S255" s="1444"/>
      <c r="T255" s="1444"/>
      <c r="U255" s="828"/>
      <c r="V255" s="1444"/>
      <c r="W255" s="1444"/>
      <c r="X255" s="1444"/>
      <c r="Y255" s="1444"/>
      <c r="Z255" s="1444"/>
      <c r="AA255" s="1916"/>
      <c r="AB255" s="850"/>
      <c r="AC255" s="850"/>
      <c r="AD255" s="850"/>
      <c r="AE255" s="850"/>
      <c r="AF255" s="1925">
        <v>11</v>
      </c>
    </row>
    <row s="14730" customFormat="1" customHeight="1" ht="11.549999999999999">
      <c r="A256" s="1271"/>
      <c r="B256" s="1920"/>
      <c r="C256" s="1920"/>
      <c r="D256" s="635"/>
      <c r="K256" s="1444"/>
      <c r="L256" s="1920"/>
      <c r="M256" s="1920"/>
      <c r="N256" s="1444"/>
      <c r="O256" s="1444"/>
      <c r="P256" s="1444"/>
      <c r="Q256" s="1444"/>
      <c r="R256" s="1920"/>
      <c r="S256" s="1444"/>
      <c r="T256" s="1444"/>
      <c r="U256" s="828"/>
      <c r="V256" s="1444"/>
      <c r="W256" s="1444"/>
      <c r="X256" s="1444"/>
      <c r="Y256" s="1444"/>
      <c r="Z256" s="1444"/>
      <c r="AA256" s="1916"/>
      <c r="AB256" s="850"/>
      <c r="AC256" s="850"/>
      <c r="AD256" s="850"/>
      <c r="AE256" s="850"/>
      <c r="AF256" s="1925">
        <v>11</v>
      </c>
    </row>
    <row s="14730" customFormat="1" customHeight="1" ht="11.549999999999999">
      <c r="A257" s="1271"/>
      <c r="B257" s="1920"/>
      <c r="C257" s="1920"/>
      <c r="D257" s="635"/>
      <c r="K257" s="1444"/>
      <c r="L257" s="1920"/>
      <c r="M257" s="1920"/>
      <c r="N257" s="1444"/>
      <c r="O257" s="1444"/>
      <c r="P257" s="1444"/>
      <c r="Q257" s="1444"/>
      <c r="R257" s="1920"/>
      <c r="S257" s="1444"/>
      <c r="T257" s="1444"/>
      <c r="U257" s="828"/>
      <c r="V257" s="1444"/>
      <c r="W257" s="1444"/>
      <c r="X257" s="1444"/>
      <c r="Y257" s="1444"/>
      <c r="Z257" s="1444"/>
      <c r="AA257" s="1916"/>
      <c r="AB257" s="850"/>
      <c r="AC257" s="850"/>
      <c r="AD257" s="850"/>
      <c r="AE257" s="850"/>
      <c r="AF257" s="1925">
        <v>11</v>
      </c>
    </row>
    <row s="14730" customFormat="1" customHeight="1" ht="11.549999999999999">
      <c r="A258" s="1271"/>
      <c r="B258" s="1920"/>
      <c r="C258" s="1920"/>
      <c r="D258" s="635"/>
      <c r="K258" s="1444"/>
      <c r="L258" s="1920"/>
      <c r="M258" s="1920"/>
      <c r="N258" s="1444"/>
      <c r="O258" s="1444"/>
      <c r="P258" s="1444"/>
      <c r="Q258" s="1444"/>
      <c r="R258" s="1920"/>
      <c r="S258" s="1444"/>
      <c r="T258" s="1444"/>
      <c r="U258" s="828"/>
      <c r="V258" s="1444"/>
      <c r="W258" s="1444"/>
      <c r="X258" s="1444"/>
      <c r="Y258" s="1444"/>
      <c r="Z258" s="1444"/>
      <c r="AA258" s="1916"/>
      <c r="AB258" s="850"/>
      <c r="AC258" s="850"/>
      <c r="AD258" s="850"/>
      <c r="AE258" s="850"/>
      <c r="AF258" s="1925">
        <v>11</v>
      </c>
    </row>
    <row s="14730" customFormat="1" customHeight="1" ht="11.549999999999999">
      <c r="A259" s="1271"/>
      <c r="B259" s="1920"/>
      <c r="C259" s="1920"/>
      <c r="D259" s="635"/>
      <c r="K259" s="1444"/>
      <c r="L259" s="1920"/>
      <c r="M259" s="1920"/>
      <c r="N259" s="1444"/>
      <c r="O259" s="1444"/>
      <c r="P259" s="1444"/>
      <c r="Q259" s="1444"/>
      <c r="R259" s="1920"/>
      <c r="S259" s="1444"/>
      <c r="T259" s="1444"/>
      <c r="U259" s="828"/>
      <c r="V259" s="1444"/>
      <c r="W259" s="1444"/>
      <c r="X259" s="1444"/>
      <c r="Y259" s="1444"/>
      <c r="Z259" s="1444"/>
      <c r="AA259" s="1916"/>
      <c r="AB259" s="850"/>
      <c r="AC259" s="850"/>
      <c r="AD259" s="850"/>
      <c r="AE259" s="850"/>
      <c r="AF259" s="1925">
        <v>11</v>
      </c>
    </row>
    <row s="14730" customFormat="1" customHeight="1" ht="11.549999999999999">
      <c r="A260" s="1271"/>
      <c r="B260" s="1920"/>
      <c r="C260" s="1920"/>
      <c r="D260" s="635"/>
      <c r="K260" s="1444"/>
      <c r="L260" s="1920"/>
      <c r="M260" s="1920"/>
      <c r="N260" s="1444"/>
      <c r="O260" s="1444"/>
      <c r="P260" s="1444"/>
      <c r="Q260" s="1444"/>
      <c r="R260" s="1920"/>
      <c r="S260" s="1444"/>
      <c r="T260" s="1444"/>
      <c r="U260" s="828"/>
      <c r="V260" s="1444"/>
      <c r="W260" s="1444"/>
      <c r="X260" s="1444"/>
      <c r="Y260" s="1444"/>
      <c r="Z260" s="1444"/>
      <c r="AA260" s="1916"/>
      <c r="AB260" s="850"/>
      <c r="AC260" s="850"/>
      <c r="AD260" s="850"/>
      <c r="AE260" s="850"/>
      <c r="AF260" s="1925">
        <v>11</v>
      </c>
    </row>
    <row s="14730" customFormat="1" customHeight="1" ht="11.549999999999999">
      <c r="A261" s="1271"/>
      <c r="B261" s="1920"/>
      <c r="C261" s="1920"/>
      <c r="D261" s="635"/>
      <c r="K261" s="1444"/>
      <c r="L261" s="1920"/>
      <c r="M261" s="1920"/>
      <c r="N261" s="1444"/>
      <c r="O261" s="1444"/>
      <c r="P261" s="1444"/>
      <c r="Q261" s="1444"/>
      <c r="R261" s="1920"/>
      <c r="S261" s="1444"/>
      <c r="T261" s="1444"/>
      <c r="U261" s="828"/>
      <c r="V261" s="1444"/>
      <c r="W261" s="1444"/>
      <c r="X261" s="1444"/>
      <c r="Y261" s="1444"/>
      <c r="Z261" s="1444"/>
      <c r="AA261" s="1916"/>
      <c r="AB261" s="850"/>
      <c r="AC261" s="850"/>
      <c r="AD261" s="850"/>
      <c r="AE261" s="850"/>
      <c r="AF261" s="1925">
        <v>11</v>
      </c>
    </row>
    <row s="14730" customFormat="1" customHeight="1" ht="11.549999999999999">
      <c r="A262" s="1271"/>
      <c r="B262" s="1920"/>
      <c r="C262" s="1920"/>
      <c r="D262" s="635"/>
      <c r="K262" s="1444"/>
      <c r="L262" s="1920"/>
      <c r="M262" s="1920"/>
      <c r="N262" s="1444"/>
      <c r="O262" s="1444"/>
      <c r="P262" s="1444"/>
      <c r="Q262" s="1444"/>
      <c r="R262" s="1920"/>
      <c r="S262" s="1444"/>
      <c r="T262" s="1444"/>
      <c r="U262" s="828"/>
      <c r="V262" s="1444"/>
      <c r="W262" s="1444"/>
      <c r="X262" s="1444"/>
      <c r="Y262" s="1444"/>
      <c r="Z262" s="1444"/>
      <c r="AA262" s="1916"/>
      <c r="AB262" s="850"/>
      <c r="AC262" s="850"/>
      <c r="AD262" s="850"/>
      <c r="AE262" s="850"/>
      <c r="AF262" s="1925">
        <v>11</v>
      </c>
    </row>
    <row s="14730" customFormat="1" customHeight="1" ht="11.549999999999999">
      <c r="A263" s="1271"/>
      <c r="B263" s="1920"/>
      <c r="C263" s="1920"/>
      <c r="D263" s="635"/>
      <c r="K263" s="1444"/>
      <c r="L263" s="1920"/>
      <c r="M263" s="1920"/>
      <c r="N263" s="1444"/>
      <c r="O263" s="1444"/>
      <c r="P263" s="1444"/>
      <c r="Q263" s="1444"/>
      <c r="R263" s="1920"/>
      <c r="S263" s="1444"/>
      <c r="T263" s="1444"/>
      <c r="U263" s="828"/>
      <c r="V263" s="1444"/>
      <c r="W263" s="1444"/>
      <c r="X263" s="1444"/>
      <c r="Y263" s="1444"/>
      <c r="Z263" s="1444"/>
      <c r="AA263" s="1916"/>
      <c r="AB263" s="850"/>
      <c r="AC263" s="850"/>
      <c r="AD263" s="850"/>
      <c r="AE263" s="850"/>
      <c r="AF263" s="1925">
        <v>11</v>
      </c>
    </row>
    <row s="14730" customFormat="1" customHeight="1" ht="11.549999999999999">
      <c r="A264" s="1271"/>
      <c r="B264" s="1920"/>
      <c r="C264" s="1920"/>
      <c r="D264" s="635"/>
      <c r="K264" s="1444"/>
      <c r="L264" s="1920"/>
      <c r="M264" s="1920"/>
      <c r="N264" s="1444"/>
      <c r="O264" s="1444"/>
      <c r="P264" s="1444"/>
      <c r="Q264" s="1444"/>
      <c r="R264" s="1920"/>
      <c r="S264" s="1444"/>
      <c r="T264" s="1444"/>
      <c r="U264" s="828"/>
      <c r="V264" s="1444"/>
      <c r="W264" s="1444"/>
      <c r="X264" s="1444"/>
      <c r="Y264" s="1444"/>
      <c r="Z264" s="1444"/>
      <c r="AA264" s="1916"/>
      <c r="AB264" s="850"/>
      <c r="AC264" s="850"/>
      <c r="AD264" s="850"/>
      <c r="AE264" s="850"/>
      <c r="AF264" s="1925">
        <v>11</v>
      </c>
    </row>
    <row s="14730" customFormat="1" customHeight="1" ht="11.549999999999999">
      <c r="A265" s="1271"/>
      <c r="B265" s="1920"/>
      <c r="C265" s="1920"/>
      <c r="D265" s="635"/>
      <c r="K265" s="1444"/>
      <c r="L265" s="1920"/>
      <c r="M265" s="1920"/>
      <c r="N265" s="1444"/>
      <c r="O265" s="1444"/>
      <c r="P265" s="1444"/>
      <c r="Q265" s="1444"/>
      <c r="R265" s="1920"/>
      <c r="S265" s="1444"/>
      <c r="T265" s="1444"/>
      <c r="U265" s="828"/>
      <c r="V265" s="1444"/>
      <c r="W265" s="1444"/>
      <c r="X265" s="1444"/>
      <c r="Y265" s="1444"/>
      <c r="Z265" s="1444"/>
      <c r="AA265" s="1916"/>
      <c r="AB265" s="850"/>
      <c r="AC265" s="850"/>
      <c r="AD265" s="850"/>
      <c r="AE265" s="850"/>
      <c r="AF265" s="1925">
        <v>11</v>
      </c>
    </row>
    <row s="14730" customFormat="1" customHeight="1" ht="11.549999999999999">
      <c r="A266" s="1271"/>
      <c r="B266" s="1920"/>
      <c r="C266" s="1920"/>
      <c r="D266" s="635"/>
      <c r="K266" s="1444"/>
      <c r="L266" s="1920"/>
      <c r="M266" s="1920"/>
      <c r="N266" s="1444"/>
      <c r="O266" s="1444"/>
      <c r="P266" s="1444"/>
      <c r="Q266" s="1444"/>
      <c r="R266" s="1920"/>
      <c r="S266" s="1444"/>
      <c r="T266" s="1444"/>
      <c r="U266" s="828"/>
      <c r="V266" s="1444"/>
      <c r="W266" s="1444"/>
      <c r="X266" s="1444"/>
      <c r="Y266" s="1444"/>
      <c r="Z266" s="1444"/>
      <c r="AA266" s="1916"/>
      <c r="AB266" s="850"/>
      <c r="AC266" s="850"/>
      <c r="AD266" s="850"/>
      <c r="AE266" s="850"/>
      <c r="AF266" s="1925">
        <v>11</v>
      </c>
    </row>
    <row s="14730" customFormat="1" customHeight="1" ht="11.549999999999999">
      <c r="A267" s="1271"/>
      <c r="B267" s="1920"/>
      <c r="C267" s="1920"/>
      <c r="D267" s="635"/>
      <c r="K267" s="1444"/>
      <c r="L267" s="1920"/>
      <c r="M267" s="1920"/>
      <c r="N267" s="1444"/>
      <c r="O267" s="1444"/>
      <c r="P267" s="1444"/>
      <c r="Q267" s="1444"/>
      <c r="R267" s="1920"/>
      <c r="S267" s="1444"/>
      <c r="T267" s="1444"/>
      <c r="U267" s="828"/>
      <c r="V267" s="1444"/>
      <c r="W267" s="1444"/>
      <c r="X267" s="1444"/>
      <c r="Y267" s="1444"/>
      <c r="Z267" s="1444"/>
      <c r="AA267" s="1916"/>
      <c r="AB267" s="850"/>
      <c r="AC267" s="850"/>
      <c r="AD267" s="850"/>
      <c r="AE267" s="850"/>
      <c r="AF267" s="1925">
        <v>11</v>
      </c>
    </row>
    <row s="14730" customFormat="1" customHeight="1" ht="11.549999999999999">
      <c r="A268" s="1271"/>
      <c r="B268" s="1920"/>
      <c r="C268" s="1920"/>
      <c r="D268" s="635"/>
      <c r="K268" s="1444"/>
      <c r="L268" s="1920"/>
      <c r="M268" s="1920"/>
      <c r="N268" s="1444"/>
      <c r="O268" s="1444"/>
      <c r="P268" s="1444"/>
      <c r="Q268" s="1444"/>
      <c r="R268" s="1920"/>
      <c r="S268" s="1444"/>
      <c r="T268" s="1444"/>
      <c r="U268" s="828"/>
      <c r="V268" s="1444"/>
      <c r="W268" s="1444"/>
      <c r="X268" s="1444"/>
      <c r="Y268" s="1444"/>
      <c r="Z268" s="1444"/>
      <c r="AA268" s="1916"/>
      <c r="AB268" s="850"/>
      <c r="AC268" s="850"/>
      <c r="AD268" s="850"/>
      <c r="AE268" s="850"/>
      <c r="AF268" s="1925">
        <v>11</v>
      </c>
    </row>
    <row s="14730" customFormat="1" customHeight="1" ht="11.549999999999999">
      <c r="A269" s="1271"/>
      <c r="B269" s="1920"/>
      <c r="C269" s="1920"/>
      <c r="D269" s="635"/>
      <c r="K269" s="1444"/>
      <c r="L269" s="1920"/>
      <c r="M269" s="1920"/>
      <c r="N269" s="1444"/>
      <c r="O269" s="1444"/>
      <c r="P269" s="1444"/>
      <c r="Q269" s="1444"/>
      <c r="R269" s="1920"/>
      <c r="S269" s="1444"/>
      <c r="T269" s="1444"/>
      <c r="U269" s="828"/>
      <c r="V269" s="1444"/>
      <c r="W269" s="1444"/>
      <c r="X269" s="1444"/>
      <c r="Y269" s="1444"/>
      <c r="Z269" s="1444"/>
      <c r="AA269" s="1916"/>
      <c r="AB269" s="850"/>
      <c r="AC269" s="850"/>
      <c r="AD269" s="850"/>
      <c r="AE269" s="850"/>
      <c r="AF269" s="1925">
        <v>11</v>
      </c>
    </row>
    <row s="14730" customFormat="1" customHeight="1" ht="11.549999999999999">
      <c r="A270" s="1271"/>
      <c r="B270" s="1920"/>
      <c r="C270" s="1920"/>
      <c r="D270" s="635"/>
      <c r="K270" s="1444"/>
      <c r="L270" s="1920"/>
      <c r="M270" s="1920"/>
      <c r="N270" s="1444"/>
      <c r="O270" s="1444"/>
      <c r="P270" s="1444"/>
      <c r="Q270" s="1444"/>
      <c r="R270" s="1920"/>
      <c r="S270" s="1444"/>
      <c r="T270" s="1444"/>
      <c r="U270" s="828"/>
      <c r="V270" s="1444"/>
      <c r="W270" s="1444"/>
      <c r="X270" s="1444"/>
      <c r="Y270" s="1444"/>
      <c r="Z270" s="1444"/>
      <c r="AA270" s="1916"/>
      <c r="AB270" s="850"/>
      <c r="AC270" s="850"/>
      <c r="AD270" s="850"/>
      <c r="AE270" s="850"/>
      <c r="AF270" s="1925">
        <v>11</v>
      </c>
    </row>
    <row s="14730" customFormat="1" customHeight="1" ht="11.549999999999999">
      <c r="A271" s="1271"/>
      <c r="B271" s="1920"/>
      <c r="C271" s="1920"/>
      <c r="D271" s="635"/>
      <c r="K271" s="1444"/>
      <c r="L271" s="1920"/>
      <c r="M271" s="1920"/>
      <c r="N271" s="1444"/>
      <c r="O271" s="1444"/>
      <c r="P271" s="1444"/>
      <c r="Q271" s="1444"/>
      <c r="R271" s="1920"/>
      <c r="S271" s="1444"/>
      <c r="T271" s="1444"/>
      <c r="U271" s="828"/>
      <c r="V271" s="1444"/>
      <c r="W271" s="1444"/>
      <c r="X271" s="1444"/>
      <c r="Y271" s="1444"/>
      <c r="Z271" s="1444"/>
      <c r="AA271" s="1916"/>
      <c r="AB271" s="850"/>
      <c r="AC271" s="850"/>
      <c r="AD271" s="850"/>
      <c r="AE271" s="850"/>
      <c r="AF271" s="1925">
        <v>11</v>
      </c>
    </row>
    <row s="14730" customFormat="1" customHeight="1" ht="11.549999999999999">
      <c r="A272" s="1271"/>
      <c r="B272" s="1920"/>
      <c r="C272" s="1920"/>
      <c r="D272" s="635"/>
      <c r="K272" s="1444"/>
      <c r="L272" s="1920"/>
      <c r="M272" s="1920"/>
      <c r="N272" s="1444"/>
      <c r="O272" s="1444"/>
      <c r="P272" s="1444"/>
      <c r="Q272" s="1444"/>
      <c r="R272" s="1920"/>
      <c r="S272" s="1444"/>
      <c r="T272" s="1444"/>
      <c r="U272" s="828"/>
      <c r="V272" s="1444"/>
      <c r="W272" s="1444"/>
      <c r="X272" s="1444"/>
      <c r="Y272" s="1444"/>
      <c r="Z272" s="1444"/>
      <c r="AA272" s="1916"/>
      <c r="AB272" s="850"/>
      <c r="AC272" s="850"/>
      <c r="AD272" s="850"/>
      <c r="AE272" s="850"/>
      <c r="AF272" s="1925">
        <v>11</v>
      </c>
    </row>
    <row s="14730" customFormat="1" customHeight="1" ht="11.549999999999999">
      <c r="A273" s="1271"/>
      <c r="B273" s="1920"/>
      <c r="C273" s="1920"/>
      <c r="D273" s="635"/>
      <c r="K273" s="1444"/>
      <c r="L273" s="1920"/>
      <c r="M273" s="1920"/>
      <c r="N273" s="1444"/>
      <c r="O273" s="1444"/>
      <c r="P273" s="1444"/>
      <c r="Q273" s="1444"/>
      <c r="R273" s="1920"/>
      <c r="S273" s="1444"/>
      <c r="T273" s="1444"/>
      <c r="U273" s="828"/>
      <c r="V273" s="1444"/>
      <c r="W273" s="1444"/>
      <c r="X273" s="1444"/>
      <c r="Y273" s="1444"/>
      <c r="Z273" s="1444"/>
      <c r="AA273" s="1916"/>
      <c r="AB273" s="850"/>
      <c r="AC273" s="850"/>
      <c r="AD273" s="850"/>
      <c r="AE273" s="850"/>
      <c r="AF273" s="1925">
        <v>11</v>
      </c>
    </row>
    <row s="14730" customFormat="1" customHeight="1" ht="11.549999999999999">
      <c r="A274" s="1271"/>
      <c r="B274" s="1920"/>
      <c r="C274" s="1920"/>
      <c r="D274" s="635"/>
      <c r="K274" s="1444"/>
      <c r="L274" s="1920"/>
      <c r="M274" s="1920"/>
      <c r="N274" s="1444"/>
      <c r="O274" s="1444"/>
      <c r="P274" s="1444"/>
      <c r="Q274" s="1444"/>
      <c r="R274" s="1920"/>
      <c r="S274" s="1444"/>
      <c r="T274" s="1444"/>
      <c r="U274" s="828"/>
      <c r="V274" s="1444"/>
      <c r="W274" s="1444"/>
      <c r="X274" s="1444"/>
      <c r="Y274" s="1444"/>
      <c r="Z274" s="1444"/>
      <c r="AA274" s="1916"/>
      <c r="AB274" s="850"/>
      <c r="AC274" s="850"/>
      <c r="AD274" s="850"/>
      <c r="AE274" s="850"/>
      <c r="AF274" s="1925">
        <v>11</v>
      </c>
    </row>
    <row s="14730" customFormat="1" customHeight="1" ht="11.549999999999999">
      <c r="A275" s="1271"/>
      <c r="B275" s="1920"/>
      <c r="C275" s="1920"/>
      <c r="D275" s="635"/>
      <c r="K275" s="1444"/>
      <c r="L275" s="1920"/>
      <c r="M275" s="1920"/>
      <c r="N275" s="1444"/>
      <c r="O275" s="1444"/>
      <c r="P275" s="1444"/>
      <c r="Q275" s="1444"/>
      <c r="R275" s="1920"/>
      <c r="S275" s="1444"/>
      <c r="T275" s="1444"/>
      <c r="U275" s="828"/>
      <c r="V275" s="1444"/>
      <c r="W275" s="1444"/>
      <c r="X275" s="1444"/>
      <c r="Y275" s="1444"/>
      <c r="Z275" s="1444"/>
      <c r="AA275" s="1916"/>
      <c r="AB275" s="850"/>
      <c r="AC275" s="850"/>
      <c r="AD275" s="850"/>
      <c r="AE275" s="850"/>
      <c r="AF275" s="1925">
        <v>11</v>
      </c>
    </row>
    <row s="14730" customFormat="1" customHeight="1" ht="11.549999999999999">
      <c r="A276" s="1271"/>
      <c r="B276" s="1920"/>
      <c r="C276" s="1920"/>
      <c r="D276" s="635"/>
      <c r="K276" s="1444"/>
      <c r="L276" s="1920"/>
      <c r="M276" s="1920"/>
      <c r="N276" s="1444"/>
      <c r="O276" s="1444"/>
      <c r="P276" s="1444"/>
      <c r="Q276" s="1444"/>
      <c r="R276" s="1920"/>
      <c r="S276" s="1444"/>
      <c r="T276" s="1444"/>
      <c r="U276" s="828"/>
      <c r="V276" s="1444"/>
      <c r="W276" s="1444"/>
      <c r="X276" s="1444"/>
      <c r="Y276" s="1444"/>
      <c r="Z276" s="1444"/>
      <c r="AA276" s="1916"/>
      <c r="AB276" s="850"/>
      <c r="AC276" s="850"/>
      <c r="AD276" s="850"/>
      <c r="AE276" s="850"/>
      <c r="AF276" s="1925">
        <v>11</v>
      </c>
    </row>
    <row s="14730" customFormat="1" customHeight="1" ht="11.549999999999999">
      <c r="A277" s="1271"/>
      <c r="B277" s="1920"/>
      <c r="C277" s="1920"/>
      <c r="D277" s="635"/>
      <c r="K277" s="1444"/>
      <c r="L277" s="1920"/>
      <c r="M277" s="1920"/>
      <c r="N277" s="1444"/>
      <c r="O277" s="1444"/>
      <c r="P277" s="1444"/>
      <c r="Q277" s="1444"/>
      <c r="R277" s="1920"/>
      <c r="S277" s="1444"/>
      <c r="T277" s="1444"/>
      <c r="U277" s="828"/>
      <c r="V277" s="1444"/>
      <c r="W277" s="1444"/>
      <c r="X277" s="1444"/>
      <c r="Y277" s="1444"/>
      <c r="Z277" s="1444"/>
      <c r="AA277" s="1916"/>
      <c r="AB277" s="850"/>
      <c r="AC277" s="850"/>
      <c r="AD277" s="850"/>
      <c r="AE277" s="850"/>
      <c r="AF277" s="1925">
        <v>11</v>
      </c>
    </row>
    <row s="14730" customFormat="1" customHeight="1" ht="11.549999999999999">
      <c r="A278" s="1271"/>
      <c r="B278" s="1920"/>
      <c r="C278" s="1920"/>
      <c r="D278" s="635"/>
      <c r="K278" s="1444"/>
      <c r="L278" s="1920"/>
      <c r="M278" s="1920"/>
      <c r="N278" s="1444"/>
      <c r="O278" s="1444"/>
      <c r="P278" s="1444"/>
      <c r="Q278" s="1444"/>
      <c r="R278" s="1920"/>
      <c r="S278" s="1444"/>
      <c r="T278" s="1444"/>
      <c r="U278" s="828"/>
      <c r="V278" s="1444"/>
      <c r="W278" s="1444"/>
      <c r="X278" s="1444"/>
      <c r="Y278" s="1444"/>
      <c r="Z278" s="1444"/>
      <c r="AA278" s="1916"/>
      <c r="AB278" s="850"/>
      <c r="AC278" s="850"/>
      <c r="AD278" s="850"/>
      <c r="AE278" s="850"/>
      <c r="AF278" s="1925">
        <v>11</v>
      </c>
    </row>
    <row s="14730" customFormat="1" customHeight="1" ht="11.549999999999999">
      <c r="A279" s="1271"/>
      <c r="B279" s="1920"/>
      <c r="C279" s="1920"/>
      <c r="D279" s="635"/>
      <c r="K279" s="1444"/>
      <c r="L279" s="1920"/>
      <c r="M279" s="1920"/>
      <c r="N279" s="1444"/>
      <c r="O279" s="1444"/>
      <c r="P279" s="1444"/>
      <c r="Q279" s="1444"/>
      <c r="R279" s="1920"/>
      <c r="S279" s="1444"/>
      <c r="T279" s="1444"/>
      <c r="U279" s="828"/>
      <c r="V279" s="1444"/>
      <c r="W279" s="1444"/>
      <c r="X279" s="1444"/>
      <c r="Y279" s="1444"/>
      <c r="Z279" s="1444"/>
      <c r="AA279" s="1916"/>
      <c r="AB279" s="850"/>
      <c r="AC279" s="850"/>
      <c r="AD279" s="850"/>
      <c r="AE279" s="850"/>
      <c r="AF279" s="1925">
        <v>11</v>
      </c>
    </row>
    <row s="14730" customFormat="1" customHeight="1" ht="11.549999999999999">
      <c r="A280" s="1271"/>
      <c r="B280" s="1920"/>
      <c r="C280" s="1920"/>
      <c r="D280" s="635"/>
      <c r="K280" s="1444"/>
      <c r="L280" s="1920"/>
      <c r="M280" s="1920"/>
      <c r="N280" s="1444"/>
      <c r="O280" s="1444"/>
      <c r="P280" s="1444"/>
      <c r="Q280" s="1444"/>
      <c r="R280" s="1920"/>
      <c r="S280" s="1444"/>
      <c r="T280" s="1444"/>
      <c r="U280" s="828"/>
      <c r="V280" s="1444"/>
      <c r="W280" s="1444"/>
      <c r="X280" s="1444"/>
      <c r="Y280" s="1444"/>
      <c r="Z280" s="1444"/>
      <c r="AA280" s="1916"/>
      <c r="AB280" s="850"/>
      <c r="AC280" s="850"/>
      <c r="AD280" s="850"/>
      <c r="AE280" s="850"/>
      <c r="AF280" s="1925">
        <v>11</v>
      </c>
    </row>
    <row s="14730" customFormat="1" customHeight="1" ht="11.549999999999999">
      <c r="A281" s="1271"/>
      <c r="B281" s="1920"/>
      <c r="C281" s="1920"/>
      <c r="D281" s="635"/>
      <c r="K281" s="1444"/>
      <c r="L281" s="1920"/>
      <c r="M281" s="1920"/>
      <c r="N281" s="1444"/>
      <c r="O281" s="1444"/>
      <c r="P281" s="1444"/>
      <c r="Q281" s="1444"/>
      <c r="R281" s="1920"/>
      <c r="S281" s="1444"/>
      <c r="T281" s="1444"/>
      <c r="U281" s="828"/>
      <c r="V281" s="1444"/>
      <c r="W281" s="1444"/>
      <c r="X281" s="1444"/>
      <c r="Y281" s="1444"/>
      <c r="Z281" s="1444"/>
      <c r="AA281" s="1916"/>
      <c r="AB281" s="850"/>
      <c r="AC281" s="850"/>
      <c r="AD281" s="850"/>
      <c r="AE281" s="850"/>
      <c r="AF281" s="1925">
        <v>11</v>
      </c>
    </row>
    <row s="14730" customFormat="1" customHeight="1" ht="11.549999999999999">
      <c r="A282" s="1271"/>
      <c r="B282" s="1920"/>
      <c r="C282" s="1920"/>
      <c r="D282" s="635"/>
      <c r="K282" s="1444"/>
      <c r="L282" s="1920"/>
      <c r="M282" s="1920"/>
      <c r="N282" s="1444"/>
      <c r="O282" s="1444"/>
      <c r="P282" s="1444"/>
      <c r="Q282" s="1444"/>
      <c r="R282" s="1920"/>
      <c r="S282" s="1444"/>
      <c r="T282" s="1444"/>
      <c r="U282" s="828"/>
      <c r="V282" s="1444"/>
      <c r="W282" s="1444"/>
      <c r="X282" s="1444"/>
      <c r="Y282" s="1444"/>
      <c r="Z282" s="1444"/>
      <c r="AA282" s="1916"/>
      <c r="AB282" s="850"/>
      <c r="AC282" s="850"/>
      <c r="AD282" s="850"/>
      <c r="AE282" s="850"/>
      <c r="AF282" s="1925">
        <v>11</v>
      </c>
    </row>
    <row s="14730" customFormat="1" customHeight="1" ht="11.549999999999999">
      <c r="A283" s="1271"/>
      <c r="B283" s="1920"/>
      <c r="C283" s="1920"/>
      <c r="D283" s="635"/>
      <c r="K283" s="1444"/>
      <c r="L283" s="1920"/>
      <c r="M283" s="1920"/>
      <c r="N283" s="1444"/>
      <c r="O283" s="1444"/>
      <c r="P283" s="1444"/>
      <c r="Q283" s="1444"/>
      <c r="R283" s="1920"/>
      <c r="S283" s="1444"/>
      <c r="T283" s="1444"/>
      <c r="U283" s="828"/>
      <c r="V283" s="1444"/>
      <c r="W283" s="1444"/>
      <c r="X283" s="1444"/>
      <c r="Y283" s="1444"/>
      <c r="Z283" s="1444"/>
      <c r="AA283" s="1916"/>
      <c r="AB283" s="850"/>
      <c r="AC283" s="850"/>
      <c r="AD283" s="850"/>
      <c r="AE283" s="850"/>
      <c r="AF283" s="1925">
        <v>11</v>
      </c>
    </row>
    <row s="14730" customFormat="1" customHeight="1" ht="11.549999999999999">
      <c r="A284" s="1271"/>
      <c r="B284" s="1920"/>
      <c r="C284" s="1920"/>
      <c r="D284" s="635"/>
      <c r="K284" s="1444"/>
      <c r="L284" s="1920"/>
      <c r="M284" s="1920"/>
      <c r="N284" s="1444"/>
      <c r="O284" s="1444"/>
      <c r="P284" s="1444"/>
      <c r="Q284" s="1444"/>
      <c r="R284" s="1920"/>
      <c r="S284" s="1444"/>
      <c r="T284" s="1444"/>
      <c r="U284" s="828"/>
      <c r="V284" s="1444"/>
      <c r="W284" s="1444"/>
      <c r="X284" s="1444"/>
      <c r="Y284" s="1444"/>
      <c r="Z284" s="1444"/>
      <c r="AA284" s="1916"/>
      <c r="AB284" s="850"/>
      <c r="AC284" s="850"/>
      <c r="AD284" s="850"/>
      <c r="AE284" s="850"/>
      <c r="AF284" s="1925">
        <v>11</v>
      </c>
    </row>
    <row s="14730" customFormat="1" customHeight="1" ht="11.549999999999999">
      <c r="A285" s="1271"/>
      <c r="B285" s="1920"/>
      <c r="C285" s="1920"/>
      <c r="D285" s="635"/>
      <c r="K285" s="1444"/>
      <c r="L285" s="1920"/>
      <c r="M285" s="1920"/>
      <c r="N285" s="1444"/>
      <c r="O285" s="1444"/>
      <c r="P285" s="1444"/>
      <c r="Q285" s="1444"/>
      <c r="R285" s="1920"/>
      <c r="S285" s="1444"/>
      <c r="T285" s="1444"/>
      <c r="U285" s="828"/>
      <c r="V285" s="1444"/>
      <c r="W285" s="1444"/>
      <c r="X285" s="1444"/>
      <c r="Y285" s="1444"/>
      <c r="Z285" s="1444"/>
      <c r="AA285" s="1916"/>
      <c r="AB285" s="850"/>
      <c r="AC285" s="850"/>
      <c r="AD285" s="850"/>
      <c r="AE285" s="850"/>
      <c r="AF285" s="1925">
        <v>11</v>
      </c>
    </row>
    <row s="14730" customFormat="1" customHeight="1" ht="11.549999999999999">
      <c r="A286" s="1271"/>
      <c r="B286" s="1920"/>
      <c r="C286" s="1920"/>
      <c r="D286" s="635"/>
      <c r="K286" s="1444"/>
      <c r="L286" s="1920"/>
      <c r="M286" s="1920"/>
      <c r="N286" s="1444"/>
      <c r="O286" s="1444"/>
      <c r="P286" s="1444"/>
      <c r="Q286" s="1444"/>
      <c r="R286" s="1920"/>
      <c r="S286" s="1444"/>
      <c r="T286" s="1444"/>
      <c r="U286" s="828"/>
      <c r="V286" s="1444"/>
      <c r="W286" s="1444"/>
      <c r="X286" s="1444"/>
      <c r="Y286" s="1444"/>
      <c r="Z286" s="1444"/>
      <c r="AA286" s="1916"/>
      <c r="AB286" s="850"/>
      <c r="AC286" s="850"/>
      <c r="AD286" s="850"/>
      <c r="AE286" s="850"/>
      <c r="AF286" s="1925">
        <v>11</v>
      </c>
    </row>
    <row s="14730" customFormat="1" customHeight="1" ht="11.549999999999999">
      <c r="A287" s="1271"/>
      <c r="B287" s="1920"/>
      <c r="C287" s="1920"/>
      <c r="D287" s="635"/>
      <c r="K287" s="1444"/>
      <c r="L287" s="1920"/>
      <c r="M287" s="1920"/>
      <c r="N287" s="1444"/>
      <c r="O287" s="1444"/>
      <c r="P287" s="1444"/>
      <c r="Q287" s="1444"/>
      <c r="R287" s="1920"/>
      <c r="S287" s="1444"/>
      <c r="T287" s="1444"/>
      <c r="U287" s="828"/>
      <c r="V287" s="1444"/>
      <c r="W287" s="1444"/>
      <c r="X287" s="1444"/>
      <c r="Y287" s="1444"/>
      <c r="Z287" s="1444"/>
      <c r="AA287" s="1916"/>
      <c r="AB287" s="850"/>
      <c r="AC287" s="850"/>
      <c r="AD287" s="850"/>
      <c r="AE287" s="850"/>
      <c r="AF287" s="1925">
        <v>11</v>
      </c>
    </row>
    <row s="14730" customFormat="1" customHeight="1" ht="11.549999999999999">
      <c r="A288" s="1271"/>
      <c r="B288" s="1920"/>
      <c r="C288" s="1920"/>
      <c r="D288" s="635"/>
      <c r="K288" s="1444"/>
      <c r="L288" s="1920"/>
      <c r="M288" s="1920"/>
      <c r="N288" s="1444"/>
      <c r="O288" s="1444"/>
      <c r="P288" s="1444"/>
      <c r="Q288" s="1444"/>
      <c r="R288" s="1920"/>
      <c r="S288" s="1444"/>
      <c r="T288" s="1444"/>
      <c r="U288" s="828"/>
      <c r="V288" s="1444"/>
      <c r="W288" s="1444"/>
      <c r="X288" s="1444"/>
      <c r="Y288" s="1444"/>
      <c r="Z288" s="1444"/>
      <c r="AA288" s="1916"/>
      <c r="AB288" s="850"/>
      <c r="AC288" s="850"/>
      <c r="AD288" s="850"/>
      <c r="AE288" s="850"/>
      <c r="AF288" s="1925">
        <v>11</v>
      </c>
    </row>
    <row customHeight="1" ht="11.549999999999999">
      <c r="AF289" s="1915">
        <v>11</v>
      </c>
    </row>
    <row customHeight="1" ht="11.549999999999999">
      <c r="AF290" s="1915">
        <v>11</v>
      </c>
    </row>
    <row customHeight="1" ht="11.549999999999999">
      <c r="AF291" s="1915">
        <v>11</v>
      </c>
    </row>
    <row customHeight="1" ht="11.549999999999999">
      <c r="A292" s="1274"/>
      <c r="B292" s="1915"/>
      <c r="D292" s="1915"/>
      <c r="K292" s="1915"/>
      <c r="N292" s="1915"/>
      <c r="O292" s="1915"/>
      <c r="P292" s="1915"/>
      <c r="Q292" s="1915"/>
      <c r="S292" s="1915"/>
      <c r="T292" s="1915"/>
      <c r="U292" s="1915"/>
      <c r="V292" s="1915"/>
      <c r="W292" s="1915"/>
      <c r="X292" s="1915"/>
      <c r="Y292" s="1915"/>
      <c r="Z292" s="1915"/>
      <c r="AA292" s="1915"/>
      <c r="AB292" s="1915"/>
      <c r="AC292" s="1915"/>
      <c r="AD292" s="1915"/>
      <c r="AE292" s="1915"/>
      <c r="AF292" s="1915">
        <v>11</v>
      </c>
    </row>
    <row customHeight="1" ht="11.549999999999999">
      <c r="A293" s="1274"/>
      <c r="B293" s="1915"/>
      <c r="D293" s="1915"/>
      <c r="K293" s="1915"/>
      <c r="N293" s="1915"/>
      <c r="O293" s="1915"/>
      <c r="P293" s="1915"/>
      <c r="Q293" s="1915"/>
      <c r="S293" s="1915"/>
      <c r="T293" s="1915"/>
      <c r="U293" s="1915"/>
      <c r="V293" s="1915"/>
      <c r="W293" s="1915"/>
      <c r="X293" s="1915"/>
      <c r="Y293" s="1915"/>
      <c r="Z293" s="1915"/>
      <c r="AA293" s="1915"/>
      <c r="AB293" s="1915"/>
      <c r="AC293" s="1915"/>
      <c r="AD293" s="1915"/>
      <c r="AE293" s="1915"/>
      <c r="AF293" s="1915">
        <v>11</v>
      </c>
    </row>
    <row customHeight="1" ht="11.549999999999999">
      <c r="A294" s="1274"/>
      <c r="B294" s="1915"/>
      <c r="D294" s="1915"/>
      <c r="K294" s="1915"/>
      <c r="N294" s="1915"/>
      <c r="O294" s="1915"/>
      <c r="P294" s="1915"/>
      <c r="Q294" s="1915"/>
      <c r="S294" s="1915"/>
      <c r="T294" s="1915"/>
      <c r="U294" s="1915"/>
      <c r="V294" s="1915"/>
      <c r="W294" s="1915"/>
      <c r="X294" s="1915"/>
      <c r="Y294" s="1915"/>
      <c r="Z294" s="1915"/>
      <c r="AA294" s="1915"/>
      <c r="AB294" s="1915"/>
      <c r="AC294" s="1915"/>
      <c r="AD294" s="1915"/>
      <c r="AE294" s="1915"/>
      <c r="AF294" s="1915">
        <v>11</v>
      </c>
    </row>
    <row customHeight="1" ht="11.549999999999999">
      <c r="A295" s="1274"/>
      <c r="B295" s="1915"/>
      <c r="D295" s="1915"/>
      <c r="K295" s="1915"/>
      <c r="N295" s="1915"/>
      <c r="O295" s="1915"/>
      <c r="P295" s="1915"/>
      <c r="Q295" s="1915"/>
      <c r="S295" s="1915"/>
      <c r="T295" s="1915"/>
      <c r="U295" s="1915"/>
      <c r="V295" s="1915"/>
      <c r="W295" s="1915"/>
      <c r="X295" s="1915"/>
      <c r="Y295" s="1915"/>
      <c r="Z295" s="1915"/>
      <c r="AA295" s="1915"/>
      <c r="AB295" s="1915"/>
      <c r="AC295" s="1915"/>
      <c r="AD295" s="1915"/>
      <c r="AE295" s="1915"/>
      <c r="AF295" s="1915">
        <v>11</v>
      </c>
    </row>
    <row customHeight="1" ht="11.549999999999999">
      <c r="A296" s="1274"/>
      <c r="B296" s="1915"/>
      <c r="D296" s="1915"/>
      <c r="K296" s="1915"/>
      <c r="N296" s="1915"/>
      <c r="O296" s="1915"/>
      <c r="P296" s="1915"/>
      <c r="Q296" s="1915"/>
      <c r="S296" s="1915"/>
      <c r="T296" s="1915"/>
      <c r="U296" s="1915"/>
      <c r="V296" s="1915"/>
      <c r="W296" s="1915"/>
      <c r="X296" s="1915"/>
      <c r="Y296" s="1915"/>
      <c r="Z296" s="1915"/>
      <c r="AA296" s="1915"/>
      <c r="AB296" s="1915"/>
      <c r="AC296" s="1915"/>
      <c r="AD296" s="1915"/>
      <c r="AE296" s="1915"/>
      <c r="AF296" s="1915">
        <v>11</v>
      </c>
    </row>
    <row customHeight="1" ht="11.549999999999999">
      <c r="A297" s="1274"/>
      <c r="B297" s="1915"/>
      <c r="D297" s="1915"/>
      <c r="K297" s="1915"/>
      <c r="N297" s="1915"/>
      <c r="O297" s="1915"/>
      <c r="P297" s="1915"/>
      <c r="Q297" s="1915"/>
      <c r="S297" s="1915"/>
      <c r="T297" s="1915"/>
      <c r="U297" s="1915"/>
      <c r="V297" s="1915"/>
      <c r="W297" s="1915"/>
      <c r="X297" s="1915"/>
      <c r="Y297" s="1915"/>
      <c r="Z297" s="1915"/>
      <c r="AA297" s="1915"/>
      <c r="AB297" s="1915"/>
      <c r="AC297" s="1915"/>
      <c r="AD297" s="1915"/>
      <c r="AE297" s="1915"/>
      <c r="AF297" s="1915">
        <v>11</v>
      </c>
    </row>
    <row customHeight="1" ht="11.549999999999999">
      <c r="A298" s="1274"/>
      <c r="B298" s="1915"/>
      <c r="D298" s="1915"/>
      <c r="K298" s="1915"/>
      <c r="N298" s="1915"/>
      <c r="O298" s="1915"/>
      <c r="P298" s="1915"/>
      <c r="Q298" s="1915"/>
      <c r="S298" s="1915"/>
      <c r="T298" s="1915"/>
      <c r="U298" s="1915"/>
      <c r="V298" s="1915"/>
      <c r="W298" s="1915"/>
      <c r="X298" s="1915"/>
      <c r="Y298" s="1915"/>
      <c r="Z298" s="1915"/>
      <c r="AA298" s="1915"/>
      <c r="AB298" s="1915"/>
      <c r="AC298" s="1915"/>
      <c r="AD298" s="1915"/>
      <c r="AE298" s="1915"/>
      <c r="AF298" s="1915">
        <v>11</v>
      </c>
    </row>
    <row customHeight="1" ht="11.549999999999999">
      <c r="A299" s="1274"/>
      <c r="B299" s="1915"/>
      <c r="D299" s="1915"/>
      <c r="K299" s="1915"/>
      <c r="N299" s="1915"/>
      <c r="O299" s="1915"/>
      <c r="P299" s="1915"/>
      <c r="Q299" s="1915"/>
      <c r="S299" s="1915"/>
      <c r="T299" s="1915"/>
      <c r="U299" s="1915"/>
      <c r="V299" s="1915"/>
      <c r="W299" s="1915"/>
      <c r="X299" s="1915"/>
      <c r="Y299" s="1915"/>
      <c r="Z299" s="1915"/>
      <c r="AA299" s="1915"/>
      <c r="AB299" s="1915"/>
      <c r="AC299" s="1915"/>
      <c r="AD299" s="1915"/>
      <c r="AE299" s="1915"/>
      <c r="AF299" s="1915">
        <v>11</v>
      </c>
    </row>
    <row customHeight="1" ht="11.549999999999999">
      <c r="A300" s="1274"/>
      <c r="B300" s="1915"/>
      <c r="D300" s="1915"/>
      <c r="K300" s="1915"/>
      <c r="N300" s="1915"/>
      <c r="O300" s="1915"/>
      <c r="P300" s="1915"/>
      <c r="Q300" s="1915"/>
      <c r="S300" s="1915"/>
      <c r="T300" s="1915"/>
      <c r="U300" s="1915"/>
      <c r="V300" s="1915"/>
      <c r="W300" s="1915"/>
      <c r="X300" s="1915"/>
      <c r="Y300" s="1915"/>
      <c r="Z300" s="1915"/>
      <c r="AA300" s="1915"/>
      <c r="AB300" s="1915"/>
      <c r="AC300" s="1915"/>
      <c r="AD300" s="1915"/>
      <c r="AE300" s="1915"/>
      <c r="AF300" s="1915">
        <v>11</v>
      </c>
    </row>
    <row customHeight="1" ht="11.549999999999999">
      <c r="A301" s="1274"/>
      <c r="B301" s="1915"/>
      <c r="D301" s="1915"/>
      <c r="K301" s="1915"/>
      <c r="N301" s="1915"/>
      <c r="O301" s="1915"/>
      <c r="P301" s="1915"/>
      <c r="Q301" s="1915"/>
      <c r="S301" s="1915"/>
      <c r="T301" s="1915"/>
      <c r="U301" s="1915"/>
      <c r="V301" s="1915"/>
      <c r="W301" s="1915"/>
      <c r="X301" s="1915"/>
      <c r="Y301" s="1915"/>
      <c r="Z301" s="1915"/>
      <c r="AA301" s="1915"/>
      <c r="AB301" s="1915"/>
      <c r="AC301" s="1915"/>
      <c r="AD301" s="1915"/>
      <c r="AE301" s="1915"/>
      <c r="AF301" s="1915">
        <v>11</v>
      </c>
    </row>
    <row customHeight="1" ht="11.549999999999999">
      <c r="A302" s="1274"/>
      <c r="B302" s="1915"/>
      <c r="D302" s="1915"/>
      <c r="K302" s="1915"/>
      <c r="N302" s="1915"/>
      <c r="O302" s="1915"/>
      <c r="P302" s="1915"/>
      <c r="Q302" s="1915"/>
      <c r="S302" s="1915"/>
      <c r="T302" s="1915"/>
      <c r="U302" s="1915"/>
      <c r="V302" s="1915"/>
      <c r="W302" s="1915"/>
      <c r="X302" s="1915"/>
      <c r="Y302" s="1915"/>
      <c r="Z302" s="1915"/>
      <c r="AA302" s="1915"/>
      <c r="AB302" s="1915"/>
      <c r="AC302" s="1915"/>
      <c r="AD302" s="1915"/>
      <c r="AE302" s="1915"/>
      <c r="AF302" s="1915">
        <v>11</v>
      </c>
    </row>
    <row customHeight="1" ht="11.25" hidden="1">
      <c r="A303" s="1271" t="s">
        <v>83</v>
      </c>
      <c r="B303" s="1444">
        <v>0</v>
      </c>
      <c r="C303" s="1920">
        <v>0</v>
      </c>
      <c r="D303" s="1919">
        <v>3</v>
      </c>
      <c r="E303" s="1915">
        <v>7</v>
      </c>
      <c r="F303" s="1915">
        <v>54</v>
      </c>
      <c r="G303" s="1915">
        <v>10</v>
      </c>
      <c r="H303" s="1915">
        <v>0</v>
      </c>
      <c r="I303" s="1915">
        <v>40</v>
      </c>
      <c r="J303" s="1915">
        <v>102</v>
      </c>
      <c r="K303" s="1444">
        <v>9</v>
      </c>
      <c r="L303" s="1920">
        <v>5</v>
      </c>
      <c r="M303" s="1920">
        <v>3</v>
      </c>
      <c r="N303" s="1444">
        <v>3</v>
      </c>
      <c r="O303" s="1444">
        <v>3</v>
      </c>
      <c r="P303" s="1444">
        <v>3</v>
      </c>
      <c r="Q303" s="1444">
        <v>3</v>
      </c>
      <c r="R303" s="1920">
        <v>10</v>
      </c>
      <c r="S303" s="1444">
        <v>34</v>
      </c>
      <c r="T303" s="1444">
        <v>9</v>
      </c>
      <c r="U303" s="828">
        <v>8</v>
      </c>
      <c r="V303" s="1444">
        <v>8</v>
      </c>
      <c r="W303" s="1444">
        <v>8</v>
      </c>
      <c r="X303" s="1444">
        <v>8</v>
      </c>
      <c r="Y303" s="1444">
        <v>8</v>
      </c>
      <c r="Z303" s="1444">
        <v>8</v>
      </c>
      <c r="AA303" s="1916">
        <v>8</v>
      </c>
      <c r="AB303" s="1916">
        <v>8</v>
      </c>
      <c r="AC303" s="1916">
        <v>8</v>
      </c>
      <c r="AD303" s="1916">
        <v>8</v>
      </c>
      <c r="AE303" s="1916">
        <v>8</v>
      </c>
      <c r="AF303" s="1915">
        <v>11</v>
      </c>
    </row>
  </sheetData>
  <sheetProtection formatColumns="0" formatRows="0" autoFilter="0" sort="0" insertRows="0" insertColumns="1" deleteRows="0" deleteColumns="0"/>
  <mergeCells count="18">
    <mergeCell ref="A120:A130"/>
    <mergeCell ref="E21:I21"/>
    <mergeCell ref="E22:I22"/>
    <mergeCell ref="A33:A40"/>
    <mergeCell ref="B34:B39"/>
    <mergeCell ref="A41:A43"/>
    <mergeCell ref="A67:A68"/>
    <mergeCell ref="A82:A90"/>
    <mergeCell ref="A91:A95"/>
    <mergeCell ref="A96:A98"/>
    <mergeCell ref="A99:A111"/>
    <mergeCell ref="A115:A119"/>
    <mergeCell ref="B2:B7"/>
    <mergeCell ref="J25:J29"/>
    <mergeCell ref="F25:G25"/>
    <mergeCell ref="F26:G26"/>
    <mergeCell ref="F27:G27"/>
    <mergeCell ref="E28:G28"/>
  </mergeCells>
  <dataValidations count="12">
    <dataValidation type="list" allowBlank="1" showInputMessage="1" showErrorMessage="1" errorTitle="Ошибка" error="Выберите значение из списка" prompt="Выберите значение из списка" sqref="H7:I7">
      <formula1>kind_of_purchase_method</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I70">
      <formula1>900</formula1>
    </dataValidation>
    <dataValidation type="textLength" operator="lessThanOrEqual" allowBlank="1" showInputMessage="1" showErrorMessage="1" errorTitle="Ошибка" error="Допускается ввод не более 900 символов!" sqref="G4 H34:I34 H39:I39">
      <formula1>900</formula1>
    </dataValidation>
    <dataValidation type="decimal" allowBlank="1" showErrorMessage="1" errorTitle="Ошибка" error="Допускается ввод только неотрицательных чисел!" sqref="H67:I67 H69:I69 H91:I94 H127:I127 H30:I30 H32:I33 H35:I38 H40:I65 H82:I86 H17:I17 H9:I13 H15:I15 H96:I119 H74:I74 H88:I89 H4:I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1:1">
      <formula1>900</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list" allowBlank="1" showInputMessage="1" showErrorMessage="1" errorTitle="Ошибка" error="Выберите значение из списка" prompt="Выберите значение из списка" sqref="G93">
      <formula1>kind_of_volume_te_unit</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8:I130 H81:I81">
      <formula1>900</formula1>
    </dataValidation>
    <dataValidation type="decimal" allowBlank="1" showErrorMessage="1" errorTitle="Ошибка" error="Допускается ввод только действительных чисел!" sqref="H72:I73">
      <formula1>-9.99999999999999E+23</formula1>
      <formula2>9.99999999999999E+23</formula2>
    </dataValidation>
    <dataValidation type="decimal" allowBlank="1" showErrorMessage="1" errorTitle="Ошибка" error="Допускается ввод только действительных чисел!" sqref="H123:I123 H120:I120 H126:I126 H75:I80">
      <formula1>-9.99999999999999E+37</formula1>
      <formula2>9.99999999999999E+37</formula2>
    </dataValidation>
    <dataValidation type="decimal" allowBlank="1" showErrorMessage="1" errorTitle="Ошибка" error="Введите значение от 0 до 100%" sqref="H90:I90 H95:I95">
      <formula1>0</formula1>
      <formula2>100</formula2>
    </dataValidation>
    <dataValidation allowBlank="1" showInputMessage="1" showErrorMessage="1" prompt="Для выбора выполните двойной щелчок левой клавиши мыши по соответствующей ячейке." sqref="H68:I68 H66:I6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80F1C48-F956-C448-2CA8-C6D44C37F6AA}" mc:Ignorable="x14ac xr xr2 xr3">
  <sheetPr>
    <tabColor theme="9" tint="-0.25"/>
  </sheetPr>
  <dimension ref="A1:CF29"/>
  <sheetViews>
    <sheetView topLeftCell="A1" showGridLines="0" zoomScale="90" workbookViewId="0">
      <selection activeCell="A1" sqref="A1"/>
    </sheetView>
  </sheetViews>
  <sheetFormatPr defaultColWidth="9.140625" customHeight="1" defaultRowHeight="11.25"/>
  <cols>
    <col min="1" max="1" style="15569" width="14.7109375" hidden="1" customWidth="1"/>
    <col min="2" max="2" style="14041" width="17.00390625" hidden="1" customWidth="1"/>
    <col min="3" max="3" style="14077" width="3.00390625" customWidth="1"/>
    <col min="4" max="4" style="14077" width="1.8515625" hidden="1" customWidth="1"/>
    <col min="5" max="6" style="14077" width="7.00390625" customWidth="1"/>
    <col min="7" max="7" style="14077" width="29.00390625" customWidth="1"/>
    <col min="8" max="8" style="14077" width="3.7109375" customWidth="1"/>
    <col min="9" max="9" style="14077" width="5.00390625" customWidth="1"/>
    <col min="10" max="11" style="14077" width="24.00390625" customWidth="1"/>
    <col min="12" max="12" style="14077" width="3.00390625" customWidth="1"/>
    <col min="13" max="13" style="14077" width="6.00390625" customWidth="1"/>
    <col min="14" max="14" style="14077" width="25.00390625" customWidth="1"/>
    <col min="15" max="18" style="14077" width="18.00390625" customWidth="1"/>
    <col min="19" max="19" style="14077" width="93.00390625" customWidth="1"/>
    <col min="20" max="20" style="14077" width="10.00390625" customWidth="1"/>
    <col min="21" max="21" style="14158" width="10.00390625" customWidth="1"/>
    <col min="22" max="22" style="14158" width="11.00390625" customWidth="1"/>
    <col min="23" max="27" style="14041" width="10.00390625" customWidth="1"/>
    <col min="28" max="83" style="14077" width="8.00390625" customWidth="1"/>
    <col min="84" max="84" style="14077" width="9.140625" hidden="1"/>
  </cols>
  <sheetData>
    <row customHeight="1" ht="22.5" hidden="1">
      <c r="CF1" s="789" t="s">
        <v>14</v>
      </c>
    </row>
    <row customHeight="1" ht="11.25" hidden="1">
      <c r="CF2" s="789">
        <v>0</v>
      </c>
    </row>
    <row customHeight="1" ht="11.25" hidden="1">
      <c r="CF3" s="789">
        <v>0</v>
      </c>
    </row>
    <row customHeight="1" ht="3">
      <c r="C4" s="793"/>
      <c r="D4" s="793"/>
      <c r="E4" s="793"/>
      <c r="F4" s="793"/>
      <c r="G4" s="793"/>
      <c r="H4" s="793"/>
      <c r="I4" s="793"/>
      <c r="J4" s="793"/>
      <c r="K4" s="450"/>
      <c r="L4" s="450"/>
      <c r="M4" s="450"/>
      <c r="CF4" s="789">
        <v>3</v>
      </c>
    </row>
    <row customHeight="1" ht="29.25">
      <c r="C5" s="793"/>
      <c r="D5" s="1341"/>
      <c r="E5" s="2521" t="str">
        <f>FHD20_NAME_FORM</f>
        <v>Форма 11. Информация о расходах на капитальный и текущий ремонт основных средств</v>
      </c>
      <c r="F5" s="2521"/>
      <c r="G5" s="2521"/>
      <c r="H5" s="2521"/>
      <c r="I5" s="2521"/>
      <c r="J5" s="2521"/>
      <c r="K5" s="2521"/>
      <c r="L5" s="897"/>
      <c r="M5" s="897"/>
      <c r="CF5" s="789">
        <v>28</v>
      </c>
    </row>
    <row s="14077" customFormat="1" customHeight="1" ht="16.8">
      <c r="A6" s="894"/>
      <c r="B6" s="1043"/>
      <c r="C6" s="793"/>
      <c r="D6" s="1342"/>
      <c r="E6" s="2460" t="str">
        <f>IF(org=0,"Не определено",org)</f>
        <v>МУП г. Азова "Теплоэнерго"</v>
      </c>
      <c r="F6" s="2460"/>
      <c r="G6" s="2460"/>
      <c r="H6" s="2460"/>
      <c r="I6" s="2460"/>
      <c r="J6" s="2460"/>
      <c r="K6" s="2460"/>
      <c r="L6" s="897"/>
      <c r="M6" s="897"/>
      <c r="U6" s="895"/>
      <c r="V6" s="895"/>
      <c r="W6" s="896"/>
      <c r="X6" s="1043"/>
      <c r="Y6" s="1043"/>
      <c r="Z6" s="1043"/>
      <c r="AA6" s="1043"/>
      <c r="CF6" s="1042">
        <v>16</v>
      </c>
    </row>
    <row customHeight="1" ht="11.549999999999999">
      <c r="C7" s="793"/>
      <c r="D7" s="793"/>
      <c r="E7" s="793"/>
      <c r="F7" s="793"/>
      <c r="G7" s="806"/>
      <c r="H7" s="806"/>
      <c r="I7" s="806"/>
      <c r="J7" s="806"/>
      <c r="K7" s="898"/>
      <c r="L7" s="898"/>
      <c r="M7" s="898"/>
      <c r="R7" s="1036"/>
      <c r="CF7" s="789">
        <v>11</v>
      </c>
    </row>
    <row s="14730" customFormat="1" customHeight="1" ht="4.2">
      <c r="A8" s="905"/>
      <c r="B8" s="850"/>
      <c r="C8" s="635"/>
      <c r="D8" s="635"/>
      <c r="E8" s="635"/>
      <c r="F8" s="635"/>
      <c r="G8" s="1259"/>
      <c r="H8" s="1259"/>
      <c r="I8" s="1259"/>
      <c r="J8" s="1259"/>
      <c r="K8" s="1302"/>
      <c r="L8" s="1302"/>
      <c r="M8" s="1302"/>
      <c r="R8" s="1303"/>
      <c r="U8" s="895"/>
      <c r="V8" s="895"/>
      <c r="W8" s="906"/>
      <c r="X8" s="850"/>
      <c r="Y8" s="850"/>
      <c r="Z8" s="850"/>
      <c r="AA8" s="850"/>
      <c r="CF8" s="780">
        <v>4</v>
      </c>
    </row>
    <row customHeight="1" ht="19.95">
      <c r="D9" s="573"/>
      <c r="E9" s="2385" t="s">
        <v>305</v>
      </c>
      <c r="F9" s="2386"/>
      <c r="G9" s="2386"/>
      <c r="H9" s="2386"/>
      <c r="I9" s="2386"/>
      <c r="J9" s="2386"/>
      <c r="K9" s="2386"/>
      <c r="L9" s="2386"/>
      <c r="M9" s="2386"/>
      <c r="N9" s="2386"/>
      <c r="O9" s="2386"/>
      <c r="P9" s="2386"/>
      <c r="Q9" s="2386"/>
      <c r="R9" s="2387"/>
      <c r="S9" s="2411" t="s">
        <v>306</v>
      </c>
      <c r="T9" s="618"/>
      <c r="CF9" s="789">
        <v>19</v>
      </c>
    </row>
    <row customHeight="1" ht="48.29999999999999">
      <c r="D10" s="835" t="s">
        <v>89</v>
      </c>
      <c r="E10" s="2411" t="s">
        <v>89</v>
      </c>
      <c r="F10" s="2411"/>
      <c r="G10" s="805" t="s">
        <v>307</v>
      </c>
      <c r="H10" s="2411" t="s">
        <v>89</v>
      </c>
      <c r="I10" s="2411"/>
      <c r="J10" s="805" t="s">
        <v>610</v>
      </c>
      <c r="K10" s="805" t="s">
        <v>611</v>
      </c>
      <c r="L10" s="2411" t="s">
        <v>89</v>
      </c>
      <c r="M10" s="2411"/>
      <c r="N10" s="805" t="s">
        <v>612</v>
      </c>
      <c r="O10" s="805" t="s">
        <v>613</v>
      </c>
      <c r="P10" s="805" t="s">
        <v>614</v>
      </c>
      <c r="Q10" s="805" t="s">
        <v>615</v>
      </c>
      <c r="R10" s="805" t="s">
        <v>616</v>
      </c>
      <c r="S10" s="2411"/>
      <c r="T10" s="618"/>
      <c r="CF10" s="789">
        <v>46</v>
      </c>
    </row>
    <row s="14158" customFormat="1" customHeight="1" ht="15" hidden="1">
      <c r="A11" s="1336"/>
      <c r="D11" s="1309" t="s">
        <v>110</v>
      </c>
      <c r="E11" s="1309"/>
      <c r="F11" s="1309" t="s">
        <v>111</v>
      </c>
      <c r="G11" s="1309" t="s">
        <v>91</v>
      </c>
      <c r="H11" s="1309"/>
      <c r="I11" s="1309" t="s">
        <v>92</v>
      </c>
      <c r="J11" s="1309" t="s">
        <v>112</v>
      </c>
      <c r="K11" s="1309" t="s">
        <v>93</v>
      </c>
      <c r="L11" s="1309"/>
      <c r="M11" s="1309" t="s">
        <v>94</v>
      </c>
      <c r="N11" s="1309" t="s">
        <v>113</v>
      </c>
      <c r="O11" s="1309" t="s">
        <v>149</v>
      </c>
      <c r="P11" s="1309" t="s">
        <v>150</v>
      </c>
      <c r="Q11" s="1309" t="s">
        <v>151</v>
      </c>
      <c r="R11" s="1309" t="s">
        <v>152</v>
      </c>
      <c r="S11" s="1309" t="s">
        <v>153</v>
      </c>
      <c r="U11" s="895"/>
      <c r="V11" s="895"/>
      <c r="W11" s="895"/>
      <c r="CF11" s="795">
        <v>0</v>
      </c>
    </row>
    <row s="14077" customFormat="1" customHeight="1" ht="1.05">
      <c r="A12" s="899"/>
      <c r="B12" s="646"/>
      <c r="D12" s="832"/>
      <c r="E12" s="630"/>
      <c r="F12" s="630"/>
      <c r="Q12" s="900"/>
      <c r="R12" s="901"/>
      <c r="T12" s="902"/>
      <c r="U12" s="903"/>
      <c r="V12" s="903"/>
      <c r="W12" s="904"/>
      <c r="X12" s="646"/>
      <c r="Y12" s="646"/>
      <c r="Z12" s="646"/>
      <c r="AA12" s="646"/>
      <c r="CF12" s="793">
        <v>1</v>
      </c>
    </row>
    <row s="14730" customFormat="1" customHeight="1" ht="1.05">
      <c r="A13" s="905"/>
      <c r="B13" s="850"/>
      <c r="D13" s="832" t="s">
        <v>381</v>
      </c>
      <c r="E13" s="844"/>
      <c r="F13" s="844"/>
      <c r="G13" s="844"/>
      <c r="H13" s="844"/>
      <c r="I13" s="844"/>
      <c r="J13" s="844"/>
      <c r="K13" s="844"/>
      <c r="L13" s="844"/>
      <c r="M13" s="844"/>
      <c r="N13" s="844"/>
      <c r="O13" s="844"/>
      <c r="P13" s="844"/>
      <c r="Q13" s="844"/>
      <c r="R13" s="844"/>
      <c r="T13" s="618"/>
      <c r="U13" s="895"/>
      <c r="V13" s="895"/>
      <c r="W13" s="906"/>
      <c r="X13" s="850"/>
      <c r="Y13" s="850"/>
      <c r="Z13" s="850"/>
      <c r="AA13" s="850"/>
      <c r="CF13" s="780">
        <v>1</v>
      </c>
    </row>
    <row s="14218" customFormat="1" customHeight="1" ht="15" hidden="1">
      <c r="A14" s="907" t="s">
        <v>118</v>
      </c>
      <c r="B14" s="908"/>
      <c r="C14" s="908"/>
      <c r="D14" s="2664" t="s">
        <v>110</v>
      </c>
      <c r="E14" s="2661" t="s">
        <v>106</v>
      </c>
      <c r="F14" s="2662"/>
      <c r="G14" s="2663"/>
      <c r="H14" s="2667">
        <f>IF(A14="","",INDEX(DIFFERENTIATION_UNMERGE_VD,MATCH(A14,DIFFERENTIATION_ID_DIFF,0)))</f>
        <v>0</v>
      </c>
      <c r="I14" s="2667"/>
      <c r="J14" s="2667"/>
      <c r="K14" s="2667"/>
      <c r="L14" s="2667"/>
      <c r="M14" s="2667"/>
      <c r="N14" s="2667"/>
      <c r="O14" s="2667"/>
      <c r="P14" s="2667"/>
      <c r="Q14" s="2667"/>
      <c r="R14" s="2667"/>
      <c r="S14" s="1003"/>
      <c r="T14" s="1000"/>
      <c r="U14" s="909"/>
      <c r="V14" s="909"/>
      <c r="W14" s="910"/>
      <c r="X14" s="910"/>
      <c r="Y14" s="910"/>
      <c r="Z14" s="910"/>
      <c r="AA14" s="911"/>
      <c r="AB14" s="912"/>
      <c r="AC14" s="2659"/>
      <c r="AD14" s="913"/>
      <c r="AE14" s="914" t="s">
        <v>28</v>
      </c>
      <c r="AF14" s="914"/>
      <c r="AG14" s="915" t="s">
        <v>617</v>
      </c>
      <c r="AH14" s="916">
        <v>3</v>
      </c>
      <c r="AI14" s="909"/>
      <c r="AJ14" s="909"/>
      <c r="AK14" s="909"/>
      <c r="AL14" s="909"/>
      <c r="AM14" s="909"/>
      <c r="AN14" s="909"/>
      <c r="AO14" s="909"/>
      <c r="AP14" s="909"/>
      <c r="AQ14" s="909"/>
      <c r="AR14" s="909"/>
      <c r="AS14" s="909"/>
      <c r="AT14" s="909"/>
      <c r="AU14" s="909"/>
      <c r="AV14" s="909"/>
      <c r="AW14" s="909"/>
      <c r="AX14" s="909"/>
      <c r="AY14" s="909"/>
      <c r="AZ14" s="909"/>
      <c r="BA14" s="909"/>
      <c r="BB14" s="909"/>
      <c r="BC14" s="909"/>
      <c r="BD14" s="909"/>
      <c r="BE14" s="909"/>
      <c r="BF14" s="909"/>
      <c r="BG14" s="909"/>
      <c r="BH14" s="909"/>
      <c r="BI14" s="909"/>
      <c r="BJ14" s="909"/>
      <c r="BK14" s="909"/>
      <c r="BL14" s="909"/>
      <c r="BM14" s="909"/>
      <c r="BN14" s="909"/>
      <c r="BO14" s="909"/>
      <c r="BP14" s="909"/>
      <c r="BQ14" s="909"/>
      <c r="BR14" s="909"/>
      <c r="BS14" s="909"/>
      <c r="BT14" s="909"/>
      <c r="BU14" s="909"/>
      <c r="BV14" s="910"/>
      <c r="BW14" s="910"/>
      <c r="BX14" s="910"/>
      <c r="BY14" s="910"/>
      <c r="BZ14" s="910"/>
      <c r="CA14" s="910"/>
      <c r="CB14" s="910"/>
      <c r="CC14" s="910"/>
      <c r="CD14" s="910"/>
      <c r="CE14" s="910"/>
      <c r="CF14" s="577">
        <v>0</v>
      </c>
    </row>
    <row s="14218" customFormat="1" customHeight="1" ht="15" hidden="1">
      <c r="A15" s="907"/>
      <c r="B15" s="908"/>
      <c r="C15" s="908"/>
      <c r="D15" s="2665"/>
      <c r="E15" s="2661" t="s">
        <v>572</v>
      </c>
      <c r="F15" s="2662"/>
      <c r="G15" s="2663"/>
      <c r="H15" s="2667" t="str">
        <f>IF(A14="","",INDEX(DIFFERENTIATION_UNMERGE_AREA,MATCH(A14,DIFFERENTIATION_ID_DIFF,0)))</f>
        <v/>
      </c>
      <c r="I15" s="2667"/>
      <c r="J15" s="2667"/>
      <c r="K15" s="2667"/>
      <c r="L15" s="2667"/>
      <c r="M15" s="2667"/>
      <c r="N15" s="2667"/>
      <c r="O15" s="2667"/>
      <c r="P15" s="2667"/>
      <c r="Q15" s="2667"/>
      <c r="R15" s="2667"/>
      <c r="S15" s="1003"/>
      <c r="T15" s="1000"/>
      <c r="U15" s="909"/>
      <c r="V15" s="909"/>
      <c r="W15" s="910"/>
      <c r="X15" s="910"/>
      <c r="Y15" s="910"/>
      <c r="Z15" s="910"/>
      <c r="AA15" s="911"/>
      <c r="AB15" s="912"/>
      <c r="AC15" s="2659"/>
      <c r="AD15" s="913"/>
      <c r="AE15" s="914"/>
      <c r="AF15" s="914"/>
      <c r="AG15" s="915"/>
      <c r="AH15" s="916"/>
      <c r="AI15" s="909"/>
      <c r="AJ15" s="909"/>
      <c r="AK15" s="909"/>
      <c r="AL15" s="909"/>
      <c r="AM15" s="909"/>
      <c r="AN15" s="909"/>
      <c r="AO15" s="909"/>
      <c r="AP15" s="909"/>
      <c r="AQ15" s="909"/>
      <c r="AR15" s="909"/>
      <c r="AS15" s="909"/>
      <c r="AT15" s="909"/>
      <c r="AU15" s="909"/>
      <c r="AV15" s="909"/>
      <c r="AW15" s="909"/>
      <c r="AX15" s="909"/>
      <c r="AY15" s="909"/>
      <c r="AZ15" s="909"/>
      <c r="BA15" s="909"/>
      <c r="BB15" s="909"/>
      <c r="BC15" s="909"/>
      <c r="BD15" s="909"/>
      <c r="BE15" s="909"/>
      <c r="BF15" s="909"/>
      <c r="BG15" s="909"/>
      <c r="BH15" s="909"/>
      <c r="BI15" s="909"/>
      <c r="BJ15" s="909"/>
      <c r="BK15" s="909"/>
      <c r="BL15" s="909"/>
      <c r="BM15" s="909"/>
      <c r="BN15" s="909"/>
      <c r="BO15" s="909"/>
      <c r="BP15" s="909"/>
      <c r="BQ15" s="909"/>
      <c r="BR15" s="909"/>
      <c r="BS15" s="909"/>
      <c r="BT15" s="909"/>
      <c r="BU15" s="909"/>
      <c r="BV15" s="910"/>
      <c r="BW15" s="910"/>
      <c r="BX15" s="910"/>
      <c r="BY15" s="910"/>
      <c r="BZ15" s="910"/>
      <c r="CA15" s="910"/>
      <c r="CB15" s="910"/>
      <c r="CC15" s="910"/>
      <c r="CD15" s="910"/>
      <c r="CE15" s="910"/>
      <c r="CF15" s="577">
        <v>0</v>
      </c>
    </row>
    <row s="14218" customFormat="1" customHeight="1" ht="15" hidden="1">
      <c r="A16" s="907"/>
      <c r="B16" s="908"/>
      <c r="C16" s="908"/>
      <c r="D16" s="2665"/>
      <c r="E16" s="2661" t="s">
        <v>573</v>
      </c>
      <c r="F16" s="2662"/>
      <c r="G16" s="2663"/>
      <c r="H16" s="2667" t="str">
        <f>IF(A14="","",INDEX(DIFFERENTIATION_UNMERGE_SYSTEM,MATCH(A14,DIFFERENTIATION_ID_DIFF,0)))</f>
        <v>без дифференциации</v>
      </c>
      <c r="I16" s="2667"/>
      <c r="J16" s="2667"/>
      <c r="K16" s="2667"/>
      <c r="L16" s="2667"/>
      <c r="M16" s="2667"/>
      <c r="N16" s="2667"/>
      <c r="O16" s="2667"/>
      <c r="P16" s="2667"/>
      <c r="Q16" s="2667"/>
      <c r="R16" s="2667"/>
      <c r="S16" s="1003"/>
      <c r="T16" s="1000"/>
      <c r="U16" s="909"/>
      <c r="V16" s="909"/>
      <c r="W16" s="910"/>
      <c r="X16" s="910"/>
      <c r="Y16" s="910"/>
      <c r="Z16" s="910"/>
      <c r="AA16" s="911"/>
      <c r="AB16" s="912"/>
      <c r="AC16" s="2659"/>
      <c r="AD16" s="913"/>
      <c r="AE16" s="914"/>
      <c r="AF16" s="914"/>
      <c r="AG16" s="915"/>
      <c r="AH16" s="916"/>
      <c r="AI16" s="909"/>
      <c r="AJ16" s="909"/>
      <c r="AK16" s="909"/>
      <c r="AL16" s="909"/>
      <c r="AM16" s="909"/>
      <c r="AN16" s="909"/>
      <c r="AO16" s="909"/>
      <c r="AP16" s="909"/>
      <c r="AQ16" s="909"/>
      <c r="AR16" s="909"/>
      <c r="AS16" s="909"/>
      <c r="AT16" s="909"/>
      <c r="AU16" s="909"/>
      <c r="AV16" s="909"/>
      <c r="AW16" s="909"/>
      <c r="AX16" s="909"/>
      <c r="AY16" s="909"/>
      <c r="AZ16" s="909"/>
      <c r="BA16" s="909"/>
      <c r="BB16" s="909"/>
      <c r="BC16" s="909"/>
      <c r="BD16" s="909"/>
      <c r="BE16" s="909"/>
      <c r="BF16" s="909"/>
      <c r="BG16" s="909"/>
      <c r="BH16" s="909"/>
      <c r="BI16" s="909"/>
      <c r="BJ16" s="909"/>
      <c r="BK16" s="909"/>
      <c r="BL16" s="909"/>
      <c r="BM16" s="909"/>
      <c r="BN16" s="909"/>
      <c r="BO16" s="909"/>
      <c r="BP16" s="909"/>
      <c r="BQ16" s="909"/>
      <c r="BR16" s="909"/>
      <c r="BS16" s="909"/>
      <c r="BT16" s="909"/>
      <c r="BU16" s="909"/>
      <c r="BV16" s="910"/>
      <c r="BW16" s="910"/>
      <c r="BX16" s="910"/>
      <c r="BY16" s="910"/>
      <c r="BZ16" s="910"/>
      <c r="CA16" s="910"/>
      <c r="CB16" s="910"/>
      <c r="CC16" s="910"/>
      <c r="CD16" s="910"/>
      <c r="CE16" s="910"/>
      <c r="CF16" s="577">
        <v>0</v>
      </c>
    </row>
    <row s="14218" customFormat="1" customHeight="1" ht="22.5" hidden="1">
      <c r="A17" s="917"/>
      <c r="B17" s="701"/>
      <c r="C17" s="696"/>
      <c r="D17" s="2665"/>
      <c r="E17" s="2660" t="s">
        <v>618</v>
      </c>
      <c r="F17" s="2660"/>
      <c r="G17" s="2660"/>
      <c r="H17" s="2660"/>
      <c r="I17" s="2660"/>
      <c r="J17" s="2660"/>
      <c r="K17" s="2660"/>
      <c r="L17" s="2660"/>
      <c r="M17" s="2660"/>
      <c r="N17" s="2660"/>
      <c r="O17" s="2660"/>
      <c r="P17" s="2660"/>
      <c r="Q17" s="842">
        <f>SUMIF(T18:T19,"i",Q18:Q19)</f>
        <v>0</v>
      </c>
      <c r="R17" s="1301"/>
      <c r="S17" s="1181" t="s">
        <v>619</v>
      </c>
      <c r="T17" s="1001" t="s">
        <v>620</v>
      </c>
      <c r="U17" s="2658">
        <v>1</v>
      </c>
      <c r="V17" s="2658" t="str">
        <f>INDEX(B_FHD_FLAG_INDEX_1,1,MATCH(A14,B_FHD_FLAG_DIFFERENTIATION,0))</f>
        <v>отсутствует</v>
      </c>
      <c r="W17" s="701"/>
      <c r="X17" s="701"/>
      <c r="Y17" s="701"/>
      <c r="Z17" s="701"/>
      <c r="AA17" s="795"/>
      <c r="AB17" s="701"/>
      <c r="AC17" s="2659"/>
      <c r="AD17" s="913"/>
      <c r="AE17" s="701"/>
      <c r="AF17" s="701"/>
      <c r="AG17" s="795"/>
      <c r="AH17" s="795"/>
      <c r="AI17" s="795"/>
      <c r="AJ17" s="795"/>
      <c r="AK17" s="795"/>
      <c r="AL17" s="795"/>
      <c r="AM17" s="795"/>
      <c r="AN17" s="795"/>
      <c r="AO17" s="795"/>
      <c r="AP17" s="795"/>
      <c r="AQ17" s="795"/>
      <c r="AR17" s="795"/>
      <c r="AS17" s="795"/>
      <c r="AT17" s="795"/>
      <c r="AU17" s="795"/>
      <c r="AV17" s="795"/>
      <c r="AW17" s="795"/>
      <c r="AX17" s="795"/>
      <c r="AY17" s="795"/>
      <c r="AZ17" s="795"/>
      <c r="BA17" s="795"/>
      <c r="BB17" s="795"/>
      <c r="BC17" s="795"/>
      <c r="BD17" s="795"/>
      <c r="BE17" s="795"/>
      <c r="BF17" s="795"/>
      <c r="BG17" s="795"/>
      <c r="BH17" s="795"/>
      <c r="BI17" s="795"/>
      <c r="BJ17" s="795"/>
      <c r="BK17" s="795"/>
      <c r="BL17" s="795"/>
      <c r="BM17" s="795"/>
      <c r="BN17" s="795"/>
      <c r="BO17" s="795"/>
      <c r="BP17" s="795"/>
      <c r="BQ17" s="795"/>
      <c r="BR17" s="795"/>
      <c r="BS17" s="795"/>
      <c r="BT17" s="795"/>
      <c r="BU17" s="795"/>
      <c r="BV17" s="701"/>
      <c r="BW17" s="701"/>
      <c r="BX17" s="701"/>
      <c r="BY17" s="701"/>
      <c r="BZ17" s="701"/>
      <c r="CA17" s="701"/>
      <c r="CB17" s="701"/>
      <c r="CC17" s="701"/>
      <c r="CD17" s="701"/>
      <c r="CE17" s="701"/>
      <c r="CF17" s="577">
        <v>0</v>
      </c>
    </row>
    <row s="14218" customFormat="1" customHeight="1" ht="11.25" hidden="1">
      <c r="A18" s="918"/>
      <c r="B18" s="795"/>
      <c r="C18" s="795"/>
      <c r="D18" s="2665"/>
      <c r="E18" s="919"/>
      <c r="F18" s="919">
        <v>0</v>
      </c>
      <c r="G18" s="919"/>
      <c r="H18" s="919"/>
      <c r="I18" s="919"/>
      <c r="J18" s="919"/>
      <c r="K18" s="919"/>
      <c r="L18" s="919"/>
      <c r="M18" s="919"/>
      <c r="N18" s="919"/>
      <c r="O18" s="919"/>
      <c r="P18" s="919"/>
      <c r="Q18" s="919"/>
      <c r="R18" s="919"/>
      <c r="S18" s="920"/>
      <c r="T18" s="1002"/>
      <c r="U18" s="2658"/>
      <c r="V18" s="2658"/>
      <c r="W18" s="795"/>
      <c r="X18" s="795"/>
      <c r="Y18" s="795"/>
      <c r="Z18" s="795"/>
      <c r="AA18" s="795"/>
      <c r="AB18" s="701"/>
      <c r="AC18" s="2659"/>
      <c r="AD18" s="913"/>
      <c r="AE18" s="701"/>
      <c r="AF18" s="701"/>
      <c r="AG18" s="795"/>
      <c r="AH18" s="795"/>
      <c r="AI18" s="795"/>
      <c r="AJ18" s="795"/>
      <c r="AK18" s="795"/>
      <c r="AL18" s="795"/>
      <c r="AM18" s="795"/>
      <c r="AN18" s="795"/>
      <c r="AO18" s="795"/>
      <c r="AP18" s="795"/>
      <c r="AQ18" s="795"/>
      <c r="AR18" s="795"/>
      <c r="AS18" s="795"/>
      <c r="AT18" s="795"/>
      <c r="AU18" s="795"/>
      <c r="AV18" s="795"/>
      <c r="AW18" s="795"/>
      <c r="AX18" s="795"/>
      <c r="AY18" s="795"/>
      <c r="AZ18" s="795"/>
      <c r="BA18" s="795"/>
      <c r="BB18" s="795"/>
      <c r="BC18" s="795"/>
      <c r="BD18" s="795"/>
      <c r="BE18" s="795"/>
      <c r="BF18" s="795"/>
      <c r="BG18" s="795"/>
      <c r="BH18" s="795"/>
      <c r="BI18" s="795"/>
      <c r="BJ18" s="795"/>
      <c r="BK18" s="795"/>
      <c r="BL18" s="795"/>
      <c r="BM18" s="795"/>
      <c r="BN18" s="795"/>
      <c r="BO18" s="795"/>
      <c r="BP18" s="795"/>
      <c r="BQ18" s="795"/>
      <c r="BR18" s="795"/>
      <c r="BS18" s="795"/>
      <c r="BT18" s="795"/>
      <c r="BU18" s="795"/>
      <c r="BV18" s="795"/>
      <c r="BW18" s="795"/>
      <c r="BX18" s="795"/>
      <c r="BY18" s="795"/>
      <c r="BZ18" s="795"/>
      <c r="CA18" s="795"/>
      <c r="CB18" s="795"/>
      <c r="CC18" s="795"/>
      <c r="CD18" s="795"/>
      <c r="CE18" s="795"/>
      <c r="CF18" s="577">
        <v>0</v>
      </c>
    </row>
    <row s="14218" customFormat="1" customHeight="1" ht="11.25" hidden="1">
      <c r="A19" s="917"/>
      <c r="B19" s="701"/>
      <c r="C19" s="696"/>
      <c r="D19" s="2665"/>
      <c r="E19" s="933" t="s">
        <v>28</v>
      </c>
      <c r="F19" s="934" t="s">
        <v>28</v>
      </c>
      <c r="G19" s="934" t="s">
        <v>28</v>
      </c>
      <c r="H19" s="935" t="s">
        <v>28</v>
      </c>
      <c r="I19" s="935"/>
      <c r="J19" s="935"/>
      <c r="K19" s="935"/>
      <c r="L19" s="935"/>
      <c r="M19" s="935"/>
      <c r="N19" s="935"/>
      <c r="O19" s="935"/>
      <c r="P19" s="935"/>
      <c r="Q19" s="935"/>
      <c r="R19" s="936"/>
      <c r="S19" s="1304"/>
      <c r="T19" s="1002"/>
      <c r="U19" s="2658"/>
      <c r="V19" s="2658"/>
      <c r="W19" s="701"/>
      <c r="X19" s="701"/>
      <c r="Y19" s="701"/>
      <c r="Z19" s="701"/>
      <c r="AA19" s="795"/>
      <c r="AB19" s="701"/>
      <c r="AC19" s="2659"/>
      <c r="AD19" s="913"/>
      <c r="AE19" s="701"/>
      <c r="AF19" s="701"/>
      <c r="AG19" s="795"/>
      <c r="AH19" s="795"/>
      <c r="AI19" s="795"/>
      <c r="AJ19" s="795"/>
      <c r="AK19" s="795"/>
      <c r="AL19" s="795"/>
      <c r="AM19" s="795"/>
      <c r="AN19" s="795"/>
      <c r="AO19" s="795"/>
      <c r="AP19" s="795"/>
      <c r="AQ19" s="795"/>
      <c r="AR19" s="795"/>
      <c r="AS19" s="795"/>
      <c r="AT19" s="795"/>
      <c r="AU19" s="795"/>
      <c r="AV19" s="795"/>
      <c r="AW19" s="795"/>
      <c r="AX19" s="795"/>
      <c r="AY19" s="795"/>
      <c r="AZ19" s="795"/>
      <c r="BA19" s="795"/>
      <c r="BB19" s="795"/>
      <c r="BC19" s="795"/>
      <c r="BD19" s="795"/>
      <c r="BE19" s="795"/>
      <c r="BF19" s="795"/>
      <c r="BG19" s="795"/>
      <c r="BH19" s="795"/>
      <c r="BI19" s="795"/>
      <c r="BJ19" s="795"/>
      <c r="BK19" s="795"/>
      <c r="BL19" s="795"/>
      <c r="BM19" s="795"/>
      <c r="BN19" s="795"/>
      <c r="BO19" s="795"/>
      <c r="BP19" s="795"/>
      <c r="BQ19" s="795"/>
      <c r="BR19" s="795"/>
      <c r="BS19" s="795"/>
      <c r="BT19" s="795"/>
      <c r="BU19" s="795"/>
      <c r="BV19" s="701"/>
      <c r="BW19" s="701"/>
      <c r="BX19" s="701"/>
      <c r="BY19" s="701"/>
      <c r="BZ19" s="701"/>
      <c r="CA19" s="701"/>
      <c r="CB19" s="701"/>
      <c r="CC19" s="701"/>
      <c r="CD19" s="701"/>
      <c r="CE19" s="701"/>
      <c r="CF19" s="577">
        <v>0</v>
      </c>
    </row>
    <row s="14218" customFormat="1" customHeight="1" ht="22.5" hidden="1">
      <c r="A20" s="917"/>
      <c r="B20" s="701"/>
      <c r="C20" s="696"/>
      <c r="D20" s="2665"/>
      <c r="E20" s="2660" t="s">
        <v>621</v>
      </c>
      <c r="F20" s="2660"/>
      <c r="G20" s="2660"/>
      <c r="H20" s="2660"/>
      <c r="I20" s="2660"/>
      <c r="J20" s="2660"/>
      <c r="K20" s="2660"/>
      <c r="L20" s="2660"/>
      <c r="M20" s="2660"/>
      <c r="N20" s="2660"/>
      <c r="O20" s="2660"/>
      <c r="P20" s="2660"/>
      <c r="Q20" s="842">
        <f>SUMIF(T21:T22,"i",Q21:Q22)</f>
        <v>0</v>
      </c>
      <c r="R20" s="1301"/>
      <c r="S20" s="993" t="s">
        <v>622</v>
      </c>
      <c r="T20" s="1001" t="s">
        <v>620</v>
      </c>
      <c r="U20" s="2658">
        <v>2</v>
      </c>
      <c r="V20" s="2658" t="str">
        <f>INDEX(B_FHD_FLAG_INDEX_2,1,MATCH(A14,B_FHD_FLAG_DIFFERENTIATION,0))</f>
        <v>отсутствует</v>
      </c>
      <c r="W20" s="701"/>
      <c r="X20" s="701"/>
      <c r="Y20" s="701"/>
      <c r="Z20" s="701"/>
      <c r="AA20" s="795"/>
      <c r="AB20" s="701"/>
      <c r="AC20" s="990"/>
      <c r="AD20" s="913"/>
      <c r="AE20" s="701"/>
      <c r="AF20" s="701"/>
      <c r="AG20" s="795"/>
      <c r="AH20" s="795"/>
      <c r="AI20" s="795"/>
      <c r="AJ20" s="795"/>
      <c r="AK20" s="795"/>
      <c r="AL20" s="795"/>
      <c r="AM20" s="795"/>
      <c r="AN20" s="795"/>
      <c r="AO20" s="795"/>
      <c r="AP20" s="795"/>
      <c r="AQ20" s="795"/>
      <c r="AR20" s="795"/>
      <c r="AS20" s="795"/>
      <c r="AT20" s="795"/>
      <c r="AU20" s="795"/>
      <c r="AV20" s="795"/>
      <c r="AW20" s="795"/>
      <c r="AX20" s="795"/>
      <c r="AY20" s="795"/>
      <c r="AZ20" s="795"/>
      <c r="BA20" s="795"/>
      <c r="BB20" s="795"/>
      <c r="BC20" s="795"/>
      <c r="BD20" s="795"/>
      <c r="BE20" s="795"/>
      <c r="BF20" s="795"/>
      <c r="BG20" s="795"/>
      <c r="BH20" s="795"/>
      <c r="BI20" s="795"/>
      <c r="BJ20" s="795"/>
      <c r="BK20" s="795"/>
      <c r="BL20" s="795"/>
      <c r="BM20" s="795"/>
      <c r="BN20" s="795"/>
      <c r="BO20" s="795"/>
      <c r="BP20" s="795"/>
      <c r="BQ20" s="795"/>
      <c r="BR20" s="795"/>
      <c r="BS20" s="795"/>
      <c r="BT20" s="795"/>
      <c r="BU20" s="795"/>
      <c r="BV20" s="701"/>
      <c r="BW20" s="701"/>
      <c r="BX20" s="701"/>
      <c r="BY20" s="701"/>
      <c r="BZ20" s="701"/>
      <c r="CA20" s="701"/>
      <c r="CB20" s="701"/>
      <c r="CC20" s="701"/>
      <c r="CD20" s="701"/>
      <c r="CE20" s="701"/>
      <c r="CF20" s="577">
        <v>0</v>
      </c>
    </row>
    <row s="14218" customFormat="1" customHeight="1" ht="11.25" hidden="1">
      <c r="A21" s="992"/>
      <c r="B21" s="795"/>
      <c r="C21" s="795"/>
      <c r="D21" s="2665"/>
      <c r="E21" s="919"/>
      <c r="F21" s="919">
        <v>0</v>
      </c>
      <c r="G21" s="919"/>
      <c r="H21" s="919"/>
      <c r="I21" s="919"/>
      <c r="J21" s="919"/>
      <c r="K21" s="919"/>
      <c r="L21" s="919"/>
      <c r="M21" s="919"/>
      <c r="N21" s="919"/>
      <c r="O21" s="919"/>
      <c r="P21" s="919"/>
      <c r="Q21" s="919"/>
      <c r="R21" s="919"/>
      <c r="S21" s="920"/>
      <c r="T21" s="1002"/>
      <c r="U21" s="2658"/>
      <c r="V21" s="2658"/>
      <c r="W21" s="795"/>
      <c r="X21" s="795"/>
      <c r="Y21" s="795"/>
      <c r="Z21" s="795"/>
      <c r="AA21" s="795"/>
      <c r="AB21" s="701"/>
      <c r="AC21" s="990"/>
      <c r="AD21" s="913"/>
      <c r="AE21" s="701"/>
      <c r="AF21" s="701"/>
      <c r="AG21" s="795"/>
      <c r="AH21" s="795"/>
      <c r="AI21" s="795"/>
      <c r="AJ21" s="795"/>
      <c r="AK21" s="795"/>
      <c r="AL21" s="795"/>
      <c r="AM21" s="795"/>
      <c r="AN21" s="795"/>
      <c r="AO21" s="795"/>
      <c r="AP21" s="795"/>
      <c r="AQ21" s="795"/>
      <c r="AR21" s="795"/>
      <c r="AS21" s="795"/>
      <c r="AT21" s="795"/>
      <c r="AU21" s="795"/>
      <c r="AV21" s="795"/>
      <c r="AW21" s="795"/>
      <c r="AX21" s="795"/>
      <c r="AY21" s="795"/>
      <c r="AZ21" s="795"/>
      <c r="BA21" s="795"/>
      <c r="BB21" s="795"/>
      <c r="BC21" s="795"/>
      <c r="BD21" s="795"/>
      <c r="BE21" s="795"/>
      <c r="BF21" s="795"/>
      <c r="BG21" s="795"/>
      <c r="BH21" s="795"/>
      <c r="BI21" s="795"/>
      <c r="BJ21" s="795"/>
      <c r="BK21" s="795"/>
      <c r="BL21" s="795"/>
      <c r="BM21" s="795"/>
      <c r="BN21" s="795"/>
      <c r="BO21" s="795"/>
      <c r="BP21" s="795"/>
      <c r="BQ21" s="795"/>
      <c r="BR21" s="795"/>
      <c r="BS21" s="795"/>
      <c r="BT21" s="795"/>
      <c r="BU21" s="795"/>
      <c r="BV21" s="795"/>
      <c r="BW21" s="795"/>
      <c r="BX21" s="795"/>
      <c r="BY21" s="795"/>
      <c r="BZ21" s="795"/>
      <c r="CA21" s="795"/>
      <c r="CB21" s="795"/>
      <c r="CC21" s="795"/>
      <c r="CD21" s="795"/>
      <c r="CE21" s="795"/>
      <c r="CF21" s="577">
        <v>0</v>
      </c>
    </row>
    <row s="14218" customFormat="1" customHeight="1" ht="11.25" hidden="1">
      <c r="A22" s="917"/>
      <c r="B22" s="701"/>
      <c r="C22" s="696"/>
      <c r="D22" s="2666"/>
      <c r="E22" s="933" t="s">
        <v>28</v>
      </c>
      <c r="F22" s="934" t="s">
        <v>28</v>
      </c>
      <c r="G22" s="934" t="s">
        <v>28</v>
      </c>
      <c r="H22" s="935" t="s">
        <v>28</v>
      </c>
      <c r="I22" s="935"/>
      <c r="J22" s="935"/>
      <c r="K22" s="935"/>
      <c r="L22" s="935"/>
      <c r="M22" s="935"/>
      <c r="N22" s="935"/>
      <c r="O22" s="935"/>
      <c r="P22" s="935"/>
      <c r="Q22" s="935"/>
      <c r="R22" s="936"/>
      <c r="S22" s="1304"/>
      <c r="T22" s="1002"/>
      <c r="U22" s="2658"/>
      <c r="V22" s="2658"/>
      <c r="W22" s="701"/>
      <c r="X22" s="701"/>
      <c r="Y22" s="701"/>
      <c r="Z22" s="701"/>
      <c r="AA22" s="795"/>
      <c r="AB22" s="701"/>
      <c r="AC22" s="990"/>
      <c r="AD22" s="913"/>
      <c r="AE22" s="701"/>
      <c r="AF22" s="701"/>
      <c r="AG22" s="795"/>
      <c r="AH22" s="795"/>
      <c r="AI22" s="795"/>
      <c r="AJ22" s="795"/>
      <c r="AK22" s="795"/>
      <c r="AL22" s="795"/>
      <c r="AM22" s="795"/>
      <c r="AN22" s="795"/>
      <c r="AO22" s="795"/>
      <c r="AP22" s="795"/>
      <c r="AQ22" s="795"/>
      <c r="AR22" s="795"/>
      <c r="AS22" s="795"/>
      <c r="AT22" s="795"/>
      <c r="AU22" s="795"/>
      <c r="AV22" s="795"/>
      <c r="AW22" s="795"/>
      <c r="AX22" s="795"/>
      <c r="AY22" s="795"/>
      <c r="AZ22" s="795"/>
      <c r="BA22" s="795"/>
      <c r="BB22" s="795"/>
      <c r="BC22" s="795"/>
      <c r="BD22" s="795"/>
      <c r="BE22" s="795"/>
      <c r="BF22" s="795"/>
      <c r="BG22" s="795"/>
      <c r="BH22" s="795"/>
      <c r="BI22" s="795"/>
      <c r="BJ22" s="795"/>
      <c r="BK22" s="795"/>
      <c r="BL22" s="795"/>
      <c r="BM22" s="795"/>
      <c r="BN22" s="795"/>
      <c r="BO22" s="795"/>
      <c r="BP22" s="795"/>
      <c r="BQ22" s="795"/>
      <c r="BR22" s="795"/>
      <c r="BS22" s="795"/>
      <c r="BT22" s="795"/>
      <c r="BU22" s="795"/>
      <c r="BV22" s="701"/>
      <c r="BW22" s="701"/>
      <c r="BX22" s="701"/>
      <c r="BY22" s="701"/>
      <c r="BZ22" s="701"/>
      <c r="CA22" s="701"/>
      <c r="CB22" s="701"/>
      <c r="CC22" s="701"/>
      <c r="CD22" s="701"/>
      <c r="CE22" s="701"/>
      <c r="CF22" s="577">
        <v>0</v>
      </c>
    </row>
    <row customHeight="1" ht="19.95">
      <c r="D23" s="1331"/>
      <c r="E23" s="1331"/>
      <c r="F23" s="1331"/>
      <c r="G23" s="1331"/>
      <c r="H23" s="1331"/>
      <c r="I23" s="1331"/>
      <c r="J23" s="1331"/>
      <c r="K23" s="1331"/>
      <c r="L23" s="1331"/>
      <c r="M23" s="1331"/>
      <c r="N23" s="1331"/>
      <c r="O23" s="1331"/>
      <c r="P23" s="1331"/>
      <c r="Q23" s="1331"/>
      <c r="R23" s="1331"/>
      <c r="S23" s="1331"/>
      <c r="T23" s="618"/>
      <c r="CF23" s="789">
        <v>19</v>
      </c>
    </row>
    <row customHeight="1" ht="11.549999999999999">
      <c r="D24" s="793"/>
      <c r="CF24" s="789">
        <v>11</v>
      </c>
    </row>
    <row customHeight="1" ht="11.549999999999999">
      <c r="D25" s="938"/>
      <c r="E25" s="938"/>
      <c r="F25" s="938"/>
      <c r="G25" s="939"/>
      <c r="CF25" s="789">
        <v>11</v>
      </c>
    </row>
    <row customHeight="1" ht="11.549999999999999">
      <c r="CF26" s="789">
        <v>11</v>
      </c>
    </row>
    <row customHeight="1" ht="11.549999999999999">
      <c r="D27" s="940"/>
      <c r="E27" s="2668"/>
      <c r="F27" s="2668"/>
      <c r="G27" s="2668"/>
      <c r="H27" s="2668"/>
      <c r="I27" s="2668"/>
      <c r="J27" s="2668"/>
      <c r="K27" s="2668"/>
      <c r="L27" s="2668"/>
      <c r="M27" s="2668"/>
      <c r="N27" s="2668"/>
      <c r="O27" s="2668"/>
      <c r="P27" s="2668"/>
      <c r="Q27" s="2668"/>
      <c r="R27" s="2668"/>
      <c r="CF27" s="789">
        <v>11</v>
      </c>
    </row>
    <row customHeight="1" ht="11.549999999999999">
      <c r="F28" s="1042"/>
      <c r="G28" s="1042"/>
      <c r="CF28" s="789">
        <v>11</v>
      </c>
    </row>
    <row customHeight="1" ht="11.25" hidden="1">
      <c r="A29" s="894" t="s">
        <v>83</v>
      </c>
      <c r="B29" s="733">
        <v>0</v>
      </c>
      <c r="C29" s="789">
        <v>3</v>
      </c>
      <c r="D29" s="789">
        <v>0</v>
      </c>
      <c r="E29" s="789">
        <v>7</v>
      </c>
      <c r="F29" s="789">
        <v>7</v>
      </c>
      <c r="G29" s="789">
        <v>29</v>
      </c>
      <c r="H29" s="789">
        <v>3</v>
      </c>
      <c r="I29" s="789">
        <v>5</v>
      </c>
      <c r="J29" s="789">
        <v>24</v>
      </c>
      <c r="K29" s="789">
        <v>24</v>
      </c>
      <c r="L29" s="789">
        <v>3</v>
      </c>
      <c r="M29" s="789">
        <v>6</v>
      </c>
      <c r="N29" s="789">
        <v>25</v>
      </c>
      <c r="O29" s="789">
        <v>18</v>
      </c>
      <c r="P29" s="789">
        <v>18</v>
      </c>
      <c r="Q29" s="789">
        <v>18</v>
      </c>
      <c r="R29" s="789">
        <v>18</v>
      </c>
      <c r="S29" s="789">
        <v>93</v>
      </c>
      <c r="T29" s="789">
        <v>10</v>
      </c>
      <c r="U29" s="895">
        <v>10</v>
      </c>
      <c r="V29" s="895">
        <v>11</v>
      </c>
      <c r="W29" s="896">
        <v>10</v>
      </c>
      <c r="X29" s="733">
        <v>10</v>
      </c>
      <c r="Y29" s="733">
        <v>10</v>
      </c>
      <c r="Z29" s="733">
        <v>10</v>
      </c>
      <c r="AA29" s="733">
        <v>10</v>
      </c>
      <c r="AB29" s="789">
        <v>8</v>
      </c>
      <c r="AC29" s="789">
        <v>8</v>
      </c>
      <c r="AD29" s="789">
        <v>8</v>
      </c>
      <c r="AE29" s="789">
        <v>8</v>
      </c>
      <c r="AF29" s="789">
        <v>8</v>
      </c>
      <c r="AG29" s="789">
        <v>8</v>
      </c>
      <c r="AH29" s="789">
        <v>8</v>
      </c>
      <c r="AI29" s="789">
        <v>8</v>
      </c>
      <c r="AJ29" s="789">
        <v>8</v>
      </c>
      <c r="AK29" s="789">
        <v>8</v>
      </c>
      <c r="AL29" s="789">
        <v>8</v>
      </c>
      <c r="AM29" s="789">
        <v>8</v>
      </c>
      <c r="AN29" s="789">
        <v>8</v>
      </c>
      <c r="AO29" s="789">
        <v>8</v>
      </c>
      <c r="AP29" s="789">
        <v>8</v>
      </c>
      <c r="AQ29" s="789">
        <v>8</v>
      </c>
      <c r="AR29" s="789">
        <v>8</v>
      </c>
      <c r="AS29" s="789">
        <v>8</v>
      </c>
      <c r="AT29" s="789">
        <v>8</v>
      </c>
      <c r="AU29" s="789">
        <v>8</v>
      </c>
      <c r="AV29" s="789">
        <v>8</v>
      </c>
      <c r="AW29" s="789">
        <v>8</v>
      </c>
      <c r="AX29" s="789">
        <v>8</v>
      </c>
      <c r="AY29" s="789">
        <v>8</v>
      </c>
      <c r="AZ29" s="789">
        <v>8</v>
      </c>
      <c r="BA29" s="789">
        <v>8</v>
      </c>
      <c r="BB29" s="789">
        <v>8</v>
      </c>
      <c r="BC29" s="789">
        <v>8</v>
      </c>
      <c r="BD29" s="789">
        <v>8</v>
      </c>
      <c r="BE29" s="789">
        <v>8</v>
      </c>
      <c r="BF29" s="789">
        <v>8</v>
      </c>
      <c r="BG29" s="789">
        <v>8</v>
      </c>
      <c r="BH29" s="789">
        <v>8</v>
      </c>
      <c r="BI29" s="789">
        <v>8</v>
      </c>
      <c r="BJ29" s="789">
        <v>8</v>
      </c>
      <c r="BK29" s="789">
        <v>8</v>
      </c>
      <c r="BL29" s="789">
        <v>8</v>
      </c>
      <c r="BM29" s="789">
        <v>8</v>
      </c>
      <c r="BN29" s="789">
        <v>8</v>
      </c>
      <c r="BO29" s="789">
        <v>8</v>
      </c>
      <c r="BP29" s="789">
        <v>8</v>
      </c>
      <c r="BQ29" s="789">
        <v>8</v>
      </c>
      <c r="BR29" s="789">
        <v>8</v>
      </c>
      <c r="BS29" s="789">
        <v>8</v>
      </c>
      <c r="BT29" s="789">
        <v>8</v>
      </c>
      <c r="BU29" s="789">
        <v>8</v>
      </c>
      <c r="BV29" s="789">
        <v>8</v>
      </c>
      <c r="BW29" s="789">
        <v>8</v>
      </c>
      <c r="BX29" s="789">
        <v>8</v>
      </c>
      <c r="BY29" s="789">
        <v>8</v>
      </c>
      <c r="BZ29" s="789">
        <v>8</v>
      </c>
      <c r="CA29" s="789">
        <v>8</v>
      </c>
      <c r="CB29" s="789">
        <v>8</v>
      </c>
      <c r="CC29" s="789">
        <v>8</v>
      </c>
      <c r="CD29" s="789">
        <v>8</v>
      </c>
      <c r="CE29" s="789">
        <v>8</v>
      </c>
      <c r="CF29" s="789">
        <v>11</v>
      </c>
    </row>
  </sheetData>
  <sheetProtection formatColumns="0" formatRows="0" autoFilter="0" sort="0" insertRows="0" insertColumns="1" deleteRows="0" deleteColumns="0"/>
  <mergeCells count="22">
    <mergeCell ref="E5:K5"/>
    <mergeCell ref="E6:K6"/>
    <mergeCell ref="E9:R9"/>
    <mergeCell ref="S9:S10"/>
    <mergeCell ref="E10:F10"/>
    <mergeCell ref="H10:I10"/>
    <mergeCell ref="L10:M10"/>
    <mergeCell ref="D14:D22"/>
    <mergeCell ref="H14:R14"/>
    <mergeCell ref="H15:R15"/>
    <mergeCell ref="H16:R16"/>
    <mergeCell ref="E27:R27"/>
    <mergeCell ref="E20:P20"/>
    <mergeCell ref="U20:U22"/>
    <mergeCell ref="V20:V22"/>
    <mergeCell ref="AC14:AC19"/>
    <mergeCell ref="E17:P17"/>
    <mergeCell ref="U17:U19"/>
    <mergeCell ref="V17:V19"/>
    <mergeCell ref="E14:G14"/>
    <mergeCell ref="E15:G15"/>
    <mergeCell ref="E16:G16"/>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B5BDC08-57B8-29BA-0E08-B514993EC257}" mc:Ignorable="x14ac xr xr2 xr3">
  <sheetPr>
    <tabColor theme="9" tint="-0.25"/>
  </sheetPr>
  <dimension ref="A1:AK204"/>
  <sheetViews>
    <sheetView topLeftCell="A1" showGridLines="0" zoomScale="90" workbookViewId="0">
      <selection activeCell="A1" sqref="A1"/>
    </sheetView>
  </sheetViews>
  <sheetFormatPr defaultColWidth="9.140625" customHeight="1" defaultRowHeight="11.25"/>
  <cols>
    <col min="1" max="5" style="15501" width="10.7109375" hidden="1" customWidth="1"/>
    <col min="6" max="6" style="14157" width="16.8515625" hidden="1" customWidth="1"/>
    <col min="7" max="7" style="14158" width="5.57421875" hidden="1" customWidth="1"/>
    <col min="8" max="8" style="14077" width="3.00390625" customWidth="1"/>
    <col min="9" max="9" style="14077" width="7.00390625" customWidth="1"/>
    <col min="10" max="10" style="14077" width="56.00390625" customWidth="1"/>
    <col min="11" max="11" style="14077" width="10.00390625" customWidth="1"/>
    <col min="12" max="12" style="14077" width="40.57421875" hidden="1" customWidth="1"/>
    <col min="13" max="13" style="14077" width="40.7109375" customWidth="1"/>
    <col min="14" max="14" style="14157" width="9.7109375" hidden="1" customWidth="1"/>
    <col min="15" max="15" style="14077" width="102.00390625" customWidth="1"/>
    <col min="16" max="16" style="14157" width="9.00390625" customWidth="1"/>
    <col min="17" max="17" style="14158" width="5.00390625" customWidth="1"/>
    <col min="18" max="18" style="14158" width="3.00390625" customWidth="1"/>
    <col min="19" max="22" style="14157" width="3.00390625" customWidth="1"/>
    <col min="23" max="23" style="14158" width="10.00390625" customWidth="1"/>
    <col min="24" max="24" style="14157" width="34.00390625" customWidth="1"/>
    <col min="25" max="25" style="14157" width="9.00390625" customWidth="1"/>
    <col min="26" max="26" style="15502" width="8.00390625" customWidth="1"/>
    <col min="27" max="31" style="14157" width="8.00390625" customWidth="1"/>
    <col min="32" max="36" style="14041" width="8.00390625" customWidth="1"/>
    <col min="37" max="37" style="14077" width="5.421875" hidden="1" customWidth="1"/>
  </cols>
  <sheetData>
    <row s="14157" customFormat="1" customHeight="1" ht="33.75" hidden="1">
      <c r="A1" s="1271"/>
      <c r="B1" s="1271"/>
      <c r="C1" s="1271"/>
      <c r="D1" s="1271"/>
      <c r="E1" s="1271"/>
      <c r="G1" s="1920"/>
      <c r="H1" s="1162"/>
      <c r="L1" s="1650">
        <v>4</v>
      </c>
      <c r="M1" s="1650">
        <v>4</v>
      </c>
      <c r="Q1" s="1920"/>
      <c r="R1" s="1920"/>
      <c r="W1" s="1920"/>
      <c r="AK1" s="1650" t="s">
        <v>14</v>
      </c>
    </row>
    <row s="14157" customFormat="1" customHeight="1" ht="78.75" hidden="1">
      <c r="A2" s="1271"/>
      <c r="B2" s="2337" t="s">
        <v>623</v>
      </c>
      <c r="C2" s="2337" t="s">
        <v>624</v>
      </c>
      <c r="D2" s="2336" t="s">
        <v>625</v>
      </c>
      <c r="E2" s="2340">
        <f>RIGHT(I2,LEN(I2)-SEARCH("#",SUBSTITUTE(I2,".","#",LEN(I2)-LEN(SUBSTITUTE(I2,".","")))))</f>
      </c>
      <c r="F2" s="2342">
        <f>J2</f>
        <v>0</v>
      </c>
      <c r="G2" s="1920"/>
      <c r="H2" s="2343"/>
      <c r="I2" s="2333"/>
      <c r="J2" s="824"/>
      <c r="K2" s="2303" t="s">
        <v>564</v>
      </c>
      <c r="L2" s="1035"/>
      <c r="M2" s="1035"/>
      <c r="N2" s="827"/>
      <c r="O2" s="1809" t="s">
        <v>565</v>
      </c>
      <c r="P2" s="827"/>
      <c r="Q2" s="1920"/>
      <c r="R2" s="1920"/>
      <c r="W2" s="1920"/>
      <c r="Z2" s="828"/>
      <c r="AF2" s="1916"/>
      <c r="AG2" s="1916"/>
      <c r="AH2" s="1916"/>
      <c r="AI2" s="1916"/>
      <c r="AJ2" s="1916"/>
      <c r="AK2" s="1650">
        <v>0</v>
      </c>
    </row>
    <row customHeight="1" ht="11.25" hidden="1">
      <c r="E3" s="2335" t="s">
        <v>626</v>
      </c>
      <c r="L3" s="1915">
        <f>0</f>
        <v>0</v>
      </c>
      <c r="M3" s="1915">
        <v>1</v>
      </c>
      <c r="AK3" s="1915">
        <v>0</v>
      </c>
    </row>
    <row s="14041" customFormat="1" customHeight="1" ht="11.25" hidden="1">
      <c r="A4" s="1271"/>
      <c r="B4" s="1271"/>
      <c r="C4" s="1271"/>
      <c r="E4" s="1271"/>
      <c r="F4" s="1650"/>
      <c r="G4" s="1920"/>
      <c r="H4" s="904"/>
      <c r="N4" s="1650"/>
      <c r="O4" s="1916">
        <v>4</v>
      </c>
      <c r="P4" s="1650"/>
      <c r="Q4" s="1920"/>
      <c r="R4" s="1920"/>
      <c r="S4" s="1650"/>
      <c r="T4" s="1650"/>
      <c r="U4" s="1650"/>
      <c r="V4" s="1650"/>
      <c r="W4" s="1920"/>
      <c r="X4" s="1650"/>
      <c r="Y4" s="1650"/>
      <c r="Z4" s="828"/>
      <c r="AA4" s="1650"/>
      <c r="AB4" s="1650"/>
      <c r="AC4" s="1650"/>
      <c r="AD4" s="1650"/>
      <c r="AE4" s="1650"/>
      <c r="AK4" s="1916">
        <v>0</v>
      </c>
    </row>
    <row customHeight="1" ht="11.549999999999999">
      <c r="AK5" s="1915">
        <v>11</v>
      </c>
    </row>
    <row customHeight="1" ht="57.75">
      <c r="I6" s="2591" t="s">
        <v>627</v>
      </c>
      <c r="J6" s="2591"/>
      <c r="K6" s="2591"/>
      <c r="L6" s="2591"/>
      <c r="M6" s="2591"/>
      <c r="O6" s="840"/>
      <c r="AK6" s="1915">
        <v>55</v>
      </c>
    </row>
    <row customHeight="1" ht="25.2">
      <c r="I7" s="2533" t="str">
        <f>IF(org=0,"Не определено",org)</f>
        <v>МУП г. Азова "Теплоэнерго"</v>
      </c>
      <c r="J7" s="2533"/>
      <c r="K7" s="2533"/>
      <c r="L7" s="2533"/>
      <c r="M7" s="2533"/>
      <c r="AK7" s="1915">
        <v>24</v>
      </c>
    </row>
    <row customHeight="1" ht="11.549999999999999">
      <c r="I8" s="1419"/>
      <c r="J8" s="1419"/>
      <c r="K8" s="1419"/>
      <c r="L8" s="1419"/>
      <c r="M8" s="1419"/>
      <c r="AK8" s="1915">
        <v>11</v>
      </c>
    </row>
    <row s="14158" customFormat="1" customHeight="1" ht="30" hidden="1">
      <c r="A9" s="1451"/>
      <c r="B9" s="1451"/>
      <c r="C9" s="1451"/>
      <c r="E9" s="1451"/>
      <c r="H9" s="1926"/>
      <c r="L9" s="1173"/>
      <c r="M9" s="1173" t="s">
        <v>118</v>
      </c>
      <c r="AK9" s="1920">
        <v>1</v>
      </c>
    </row>
    <row customHeight="1" ht="11.549999999999999">
      <c r="E10" s="2334" t="s">
        <v>628</v>
      </c>
      <c r="I10" s="995"/>
      <c r="J10" s="2651" t="s">
        <v>106</v>
      </c>
      <c r="K10" s="2652"/>
      <c r="L10" s="2313" t="str">
        <f>IF(L9="","",INDEX(DIFFERENTIATION_UNMERGE_VD,MATCH(L9,DIFFERENTIATION_ID_DIFF,0)))</f>
        <v/>
      </c>
      <c r="M10" s="2313">
        <f>IF(M9="","",INDEX(DIFFERENTIATION_UNMERGE_VD,MATCH(M9,DIFFERENTIATION_ID_DIFF,0)))</f>
        <v>0</v>
      </c>
      <c r="O10" s="2411" t="s">
        <v>306</v>
      </c>
      <c r="AK10" s="1915">
        <v>11</v>
      </c>
    </row>
    <row customHeight="1" ht="11.549999999999999">
      <c r="E11" s="2334" t="s">
        <v>629</v>
      </c>
      <c r="I11" s="995"/>
      <c r="J11" s="2651" t="s">
        <v>572</v>
      </c>
      <c r="K11" s="2652"/>
      <c r="L11" s="2313" t="str">
        <f>IF(L9="","",INDEX(DIFFERENTIATION_UNMERGE_AREA,MATCH(L9,DIFFERENTIATION_ID_DIFF,0)))</f>
        <v/>
      </c>
      <c r="M11" s="2313" t="str">
        <f>IF(M9="","",INDEX(DIFFERENTIATION_UNMERGE_AREA,MATCH(M9,DIFFERENTIATION_ID_DIFF,0)))</f>
        <v/>
      </c>
      <c r="O11" s="2411"/>
      <c r="AK11" s="1915">
        <v>11</v>
      </c>
    </row>
    <row customHeight="1" ht="11.549999999999999">
      <c r="E12" s="2334" t="s">
        <v>630</v>
      </c>
      <c r="I12" s="1946"/>
      <c r="J12" s="2651" t="s">
        <v>573</v>
      </c>
      <c r="K12" s="2652"/>
      <c r="L12" s="2313" t="str">
        <f>IF(L9="","",INDEX(DIFFERENTIATION_UNMERGE_SYSTEM,MATCH(L9,DIFFERENTIATION_ID_DIFF,0)))</f>
        <v/>
      </c>
      <c r="M12" s="2313" t="str">
        <f>IF(M9="","",INDEX(DIFFERENTIATION_UNMERGE_SYSTEM,MATCH(M9,DIFFERENTIATION_ID_DIFF,0)))</f>
        <v>без дифференциации</v>
      </c>
      <c r="O12" s="2411"/>
      <c r="AK12" s="1915">
        <v>11</v>
      </c>
    </row>
    <row customHeight="1" ht="11.549999999999999">
      <c r="E13" s="2334" t="s">
        <v>631</v>
      </c>
      <c r="F13" s="2334" t="s">
        <v>632</v>
      </c>
      <c r="I13" s="2653" t="s">
        <v>305</v>
      </c>
      <c r="J13" s="2654"/>
      <c r="K13" s="2654"/>
      <c r="L13" s="2311"/>
      <c r="M13" s="2351"/>
      <c r="O13" s="2411"/>
      <c r="AK13" s="1915">
        <v>11</v>
      </c>
    </row>
    <row customHeight="1" ht="24">
      <c r="I14" s="2304" t="s">
        <v>89</v>
      </c>
      <c r="J14" s="2304" t="s">
        <v>307</v>
      </c>
      <c r="K14" s="2304" t="s">
        <v>574</v>
      </c>
      <c r="L14" s="2344" t="s">
        <v>308</v>
      </c>
      <c r="M14" s="2345" t="s">
        <v>308</v>
      </c>
      <c r="O14" s="2411"/>
      <c r="AK14" s="1915">
        <v>23</v>
      </c>
    </row>
    <row customHeight="1" ht="24">
      <c r="A15" s="2338"/>
      <c r="B15" s="2337" t="s">
        <v>633</v>
      </c>
      <c r="C15" s="2337" t="s">
        <v>634</v>
      </c>
      <c r="D15" s="2336" t="s">
        <v>635</v>
      </c>
      <c r="E15" s="2340" t="s">
        <v>636</v>
      </c>
      <c r="F15" s="2340" t="s">
        <v>636</v>
      </c>
      <c r="G15" s="1920" t="s">
        <v>596</v>
      </c>
      <c r="H15" s="2305"/>
      <c r="I15" s="1914">
        <v>1</v>
      </c>
      <c r="J15" s="2306" t="s">
        <v>637</v>
      </c>
      <c r="K15" s="2304" t="s">
        <v>311</v>
      </c>
      <c r="L15" s="946"/>
      <c r="M15" s="1102"/>
      <c r="N15" s="827" t="s">
        <v>638</v>
      </c>
      <c r="O15" s="1809" t="s">
        <v>639</v>
      </c>
      <c r="P15" s="827" t="s">
        <v>638</v>
      </c>
      <c r="AK15" s="1915">
        <v>23</v>
      </c>
    </row>
    <row customHeight="1" ht="35.699999999999996">
      <c r="A16" s="2338"/>
      <c r="B16" s="2337" t="s">
        <v>640</v>
      </c>
      <c r="C16" s="2337" t="s">
        <v>641</v>
      </c>
      <c r="D16" s="2336" t="s">
        <v>625</v>
      </c>
      <c r="E16" s="2340" t="s">
        <v>636</v>
      </c>
      <c r="F16" s="2340" t="s">
        <v>636</v>
      </c>
      <c r="H16" s="2305"/>
      <c r="I16" s="1913">
        <v>2</v>
      </c>
      <c r="J16" s="2347" t="s">
        <v>642</v>
      </c>
      <c r="K16" s="2346" t="s">
        <v>564</v>
      </c>
      <c r="L16" s="2352"/>
      <c r="M16" s="1960"/>
      <c r="N16" s="827" t="s">
        <v>638</v>
      </c>
      <c r="O16" s="1809" t="s">
        <v>643</v>
      </c>
      <c r="P16" s="827" t="s">
        <v>638</v>
      </c>
      <c r="AK16" s="1915">
        <v>34</v>
      </c>
    </row>
    <row s="14158" customFormat="1" customHeight="1" ht="17.25" hidden="1">
      <c r="A17" s="1451"/>
      <c r="B17" s="1451"/>
      <c r="C17" s="1451"/>
      <c r="D17" s="1451"/>
      <c r="E17" s="1451"/>
      <c r="H17" s="1608"/>
      <c r="I17" s="1297" t="s">
        <v>644</v>
      </c>
      <c r="J17" s="1275"/>
      <c r="K17" s="1297"/>
      <c r="L17" s="1276"/>
      <c r="M17" s="1276"/>
      <c r="O17" s="1669"/>
      <c r="AK17" s="1920">
        <v>1</v>
      </c>
    </row>
    <row s="14157" customFormat="1" customHeight="1" ht="24">
      <c r="A18" s="1271"/>
      <c r="B18" s="1271"/>
      <c r="C18" s="1271"/>
      <c r="D18" s="1271"/>
      <c r="E18" s="1271"/>
      <c r="G18" s="1920"/>
      <c r="H18" s="1917"/>
      <c r="I18" s="854"/>
      <c r="J18" s="855" t="s">
        <v>594</v>
      </c>
      <c r="K18" s="856"/>
      <c r="L18" s="2354"/>
      <c r="M18" s="857"/>
      <c r="N18" s="827"/>
      <c r="O18" s="1809" t="s">
        <v>595</v>
      </c>
      <c r="P18" s="827"/>
      <c r="Q18" s="1920"/>
      <c r="R18" s="1920"/>
      <c r="W18" s="1920"/>
      <c r="Z18" s="828"/>
      <c r="AF18" s="1916"/>
      <c r="AG18" s="1916"/>
      <c r="AH18" s="1916"/>
      <c r="AI18" s="1916"/>
      <c r="AJ18" s="1916"/>
      <c r="AK18" s="1650">
        <v>23</v>
      </c>
    </row>
    <row customHeight="1" ht="19.95">
      <c r="A19" s="2338"/>
      <c r="B19" s="2337" t="s">
        <v>645</v>
      </c>
      <c r="C19" s="2337" t="s">
        <v>646</v>
      </c>
      <c r="D19" s="2336" t="s">
        <v>625</v>
      </c>
      <c r="E19" s="2340" t="s">
        <v>636</v>
      </c>
      <c r="F19" s="2340" t="s">
        <v>636</v>
      </c>
      <c r="H19" s="2305"/>
      <c r="I19" s="1948">
        <v>3</v>
      </c>
      <c r="J19" s="2306" t="s">
        <v>646</v>
      </c>
      <c r="K19" s="2302" t="s">
        <v>564</v>
      </c>
      <c r="L19" s="1011"/>
      <c r="M19" s="841"/>
      <c r="N19" s="827"/>
      <c r="O19" s="1809" t="s">
        <v>647</v>
      </c>
      <c r="P19" s="827"/>
      <c r="AK19" s="1915">
        <v>19</v>
      </c>
    </row>
    <row customHeight="1" ht="77.7">
      <c r="A20" s="2338"/>
      <c r="B20" s="2337" t="s">
        <v>648</v>
      </c>
      <c r="C20" s="2337" t="s">
        <v>649</v>
      </c>
      <c r="D20" s="2336" t="s">
        <v>625</v>
      </c>
      <c r="E20" s="2340" t="s">
        <v>636</v>
      </c>
      <c r="F20" s="2340" t="s">
        <v>636</v>
      </c>
      <c r="H20" s="2305"/>
      <c r="I20" s="1948">
        <v>4</v>
      </c>
      <c r="J20" s="2306" t="s">
        <v>650</v>
      </c>
      <c r="K20" s="2302" t="s">
        <v>591</v>
      </c>
      <c r="L20" s="1011"/>
      <c r="M20" s="841"/>
      <c r="N20" s="827"/>
      <c r="O20" s="1809"/>
      <c r="P20" s="827"/>
      <c r="AK20" s="1915">
        <v>74</v>
      </c>
    </row>
    <row customHeight="1" ht="35.699999999999996">
      <c r="A21" s="2338"/>
      <c r="B21" s="2337" t="s">
        <v>651</v>
      </c>
      <c r="C21" s="2337" t="s">
        <v>652</v>
      </c>
      <c r="D21" s="2336" t="s">
        <v>625</v>
      </c>
      <c r="E21" s="2340" t="s">
        <v>636</v>
      </c>
      <c r="F21" s="2340" t="s">
        <v>636</v>
      </c>
      <c r="H21" s="2305"/>
      <c r="I21" s="1948">
        <v>5</v>
      </c>
      <c r="J21" s="2306" t="s">
        <v>653</v>
      </c>
      <c r="K21" s="2302" t="s">
        <v>591</v>
      </c>
      <c r="L21" s="1011"/>
      <c r="M21" s="841"/>
      <c r="N21" s="827"/>
      <c r="O21" s="1809" t="s">
        <v>647</v>
      </c>
      <c r="P21" s="827"/>
      <c r="AK21" s="1915">
        <v>34</v>
      </c>
    </row>
    <row customHeight="1" ht="48.29999999999999">
      <c r="A22" s="2338"/>
      <c r="B22" s="2337" t="s">
        <v>654</v>
      </c>
      <c r="C22" s="2337" t="s">
        <v>655</v>
      </c>
      <c r="D22" s="2336" t="s">
        <v>625</v>
      </c>
      <c r="E22" s="2340" t="s">
        <v>636</v>
      </c>
      <c r="F22" s="2340" t="s">
        <v>636</v>
      </c>
      <c r="H22" s="2305"/>
      <c r="I22" s="1948">
        <v>6</v>
      </c>
      <c r="J22" s="2306" t="s">
        <v>656</v>
      </c>
      <c r="K22" s="2302" t="s">
        <v>591</v>
      </c>
      <c r="L22" s="1011"/>
      <c r="M22" s="841"/>
      <c r="N22" s="827"/>
      <c r="O22" s="1809" t="s">
        <v>657</v>
      </c>
      <c r="P22" s="827"/>
      <c r="AK22" s="1915">
        <v>46</v>
      </c>
    </row>
    <row customHeight="1" ht="19.95">
      <c r="A23" s="2338"/>
      <c r="B23" s="2337" t="s">
        <v>658</v>
      </c>
      <c r="C23" s="2337" t="s">
        <v>659</v>
      </c>
      <c r="D23" s="2336" t="s">
        <v>625</v>
      </c>
      <c r="E23" s="2340" t="s">
        <v>636</v>
      </c>
      <c r="F23" s="2340" t="s">
        <v>636</v>
      </c>
      <c r="H23" s="2305"/>
      <c r="I23" s="1948" t="s">
        <v>660</v>
      </c>
      <c r="J23" s="1808" t="s">
        <v>661</v>
      </c>
      <c r="K23" s="2302" t="s">
        <v>591</v>
      </c>
      <c r="L23" s="1011"/>
      <c r="M23" s="841"/>
      <c r="N23" s="827"/>
      <c r="O23" s="1809" t="s">
        <v>647</v>
      </c>
      <c r="P23" s="827"/>
      <c r="AK23" s="1915">
        <v>19</v>
      </c>
    </row>
    <row customHeight="1" ht="19.95">
      <c r="A24" s="2338"/>
      <c r="B24" s="2337" t="s">
        <v>662</v>
      </c>
      <c r="C24" s="2337" t="s">
        <v>663</v>
      </c>
      <c r="D24" s="2336" t="s">
        <v>625</v>
      </c>
      <c r="E24" s="2340" t="s">
        <v>636</v>
      </c>
      <c r="F24" s="2340" t="s">
        <v>636</v>
      </c>
      <c r="H24" s="2305"/>
      <c r="I24" s="1948" t="s">
        <v>664</v>
      </c>
      <c r="J24" s="1808" t="s">
        <v>665</v>
      </c>
      <c r="K24" s="2302" t="s">
        <v>591</v>
      </c>
      <c r="L24" s="1011"/>
      <c r="M24" s="841"/>
      <c r="N24" s="827"/>
      <c r="O24" s="1809"/>
      <c r="P24" s="827"/>
      <c r="AK24" s="1915">
        <v>19</v>
      </c>
    </row>
    <row customHeight="1" ht="24">
      <c r="A25" s="2338"/>
      <c r="B25" s="2337" t="s">
        <v>666</v>
      </c>
      <c r="C25" s="2337" t="s">
        <v>667</v>
      </c>
      <c r="D25" s="2336" t="s">
        <v>625</v>
      </c>
      <c r="E25" s="2340" t="s">
        <v>636</v>
      </c>
      <c r="F25" s="2340" t="s">
        <v>636</v>
      </c>
      <c r="H25" s="2305"/>
      <c r="I25" s="1948" t="s">
        <v>668</v>
      </c>
      <c r="J25" s="1808" t="s">
        <v>669</v>
      </c>
      <c r="K25" s="2302" t="s">
        <v>591</v>
      </c>
      <c r="L25" s="1011"/>
      <c r="M25" s="841"/>
      <c r="N25" s="827"/>
      <c r="O25" s="1809"/>
      <c r="P25" s="827"/>
      <c r="AK25" s="1915">
        <v>23</v>
      </c>
    </row>
    <row customHeight="1" ht="24">
      <c r="A26" s="2338"/>
      <c r="B26" s="2337" t="s">
        <v>670</v>
      </c>
      <c r="C26" s="2337" t="s">
        <v>671</v>
      </c>
      <c r="D26" s="2336" t="s">
        <v>625</v>
      </c>
      <c r="E26" s="2340" t="s">
        <v>636</v>
      </c>
      <c r="F26" s="2340" t="s">
        <v>636</v>
      </c>
      <c r="H26" s="2305"/>
      <c r="I26" s="1948">
        <v>7</v>
      </c>
      <c r="J26" s="2306" t="s">
        <v>671</v>
      </c>
      <c r="K26" s="2302" t="s">
        <v>672</v>
      </c>
      <c r="L26" s="1011"/>
      <c r="M26" s="841"/>
      <c r="N26" s="827"/>
      <c r="O26" s="1809"/>
      <c r="P26" s="827"/>
      <c r="AK26" s="1915">
        <v>23</v>
      </c>
    </row>
    <row customHeight="1" ht="24">
      <c r="A27" s="2338"/>
      <c r="B27" s="2337" t="s">
        <v>673</v>
      </c>
      <c r="C27" s="2337" t="s">
        <v>674</v>
      </c>
      <c r="D27" s="2336" t="s">
        <v>625</v>
      </c>
      <c r="E27" s="2340" t="s">
        <v>636</v>
      </c>
      <c r="F27" s="2340" t="s">
        <v>636</v>
      </c>
      <c r="H27" s="2305"/>
      <c r="I27" s="1948">
        <v>8</v>
      </c>
      <c r="J27" s="2306" t="s">
        <v>674</v>
      </c>
      <c r="K27" s="2302" t="s">
        <v>597</v>
      </c>
      <c r="L27" s="1011"/>
      <c r="M27" s="841"/>
      <c r="N27" s="827"/>
      <c r="O27" s="1809"/>
      <c r="P27" s="827"/>
      <c r="AK27" s="1915">
        <v>23</v>
      </c>
    </row>
    <row customHeight="1" ht="35.699999999999996">
      <c r="A28" s="2338"/>
      <c r="B28" s="2337" t="s">
        <v>675</v>
      </c>
      <c r="C28" s="2337" t="s">
        <v>676</v>
      </c>
      <c r="D28" s="2336" t="s">
        <v>625</v>
      </c>
      <c r="E28" s="2340" t="s">
        <v>636</v>
      </c>
      <c r="F28" s="2340" t="s">
        <v>636</v>
      </c>
      <c r="H28" s="2305"/>
      <c r="I28" s="1959">
        <v>9</v>
      </c>
      <c r="J28" s="2306" t="s">
        <v>677</v>
      </c>
      <c r="K28" s="2302" t="s">
        <v>568</v>
      </c>
      <c r="L28" s="1011"/>
      <c r="M28" s="841"/>
      <c r="N28" s="827"/>
      <c r="O28" s="1809"/>
      <c r="P28" s="827"/>
      <c r="AK28" s="1915">
        <v>34</v>
      </c>
    </row>
    <row customHeight="1" ht="35.699999999999996">
      <c r="A29" s="2338"/>
      <c r="B29" s="2337" t="s">
        <v>678</v>
      </c>
      <c r="C29" s="2337" t="s">
        <v>679</v>
      </c>
      <c r="D29" s="2336" t="s">
        <v>625</v>
      </c>
      <c r="E29" s="2340" t="s">
        <v>636</v>
      </c>
      <c r="F29" s="2340" t="s">
        <v>636</v>
      </c>
      <c r="H29" s="2305"/>
      <c r="I29" s="1959">
        <v>10</v>
      </c>
      <c r="J29" s="2306" t="s">
        <v>680</v>
      </c>
      <c r="K29" s="2302" t="s">
        <v>568</v>
      </c>
      <c r="L29" s="1011"/>
      <c r="M29" s="841"/>
      <c r="N29" s="827"/>
      <c r="O29" s="1809"/>
      <c r="P29" s="827"/>
      <c r="AK29" s="1915">
        <v>34</v>
      </c>
    </row>
    <row customHeight="1" ht="24">
      <c r="A30" s="2338"/>
      <c r="B30" s="2337" t="s">
        <v>681</v>
      </c>
      <c r="C30" s="2337" t="s">
        <v>682</v>
      </c>
      <c r="D30" s="2336" t="s">
        <v>625</v>
      </c>
      <c r="E30" s="2340" t="s">
        <v>636</v>
      </c>
      <c r="F30" s="2340" t="s">
        <v>636</v>
      </c>
      <c r="H30" s="2305"/>
      <c r="I30" s="1959">
        <v>11</v>
      </c>
      <c r="J30" s="2306" t="s">
        <v>682</v>
      </c>
      <c r="K30" s="2302" t="s">
        <v>598</v>
      </c>
      <c r="L30" s="2353"/>
      <c r="M30" s="1905"/>
      <c r="N30" s="827"/>
      <c r="O30" s="1809"/>
      <c r="P30" s="827"/>
      <c r="AK30" s="1915">
        <v>23</v>
      </c>
    </row>
    <row customHeight="1" ht="24">
      <c r="A31" s="2338"/>
      <c r="B31" s="2337" t="s">
        <v>683</v>
      </c>
      <c r="C31" s="2337" t="s">
        <v>684</v>
      </c>
      <c r="D31" s="2336" t="s">
        <v>625</v>
      </c>
      <c r="E31" s="2340" t="s">
        <v>636</v>
      </c>
      <c r="F31" s="2340" t="s">
        <v>636</v>
      </c>
      <c r="H31" s="2305"/>
      <c r="I31" s="1959">
        <v>12</v>
      </c>
      <c r="J31" s="2306" t="s">
        <v>684</v>
      </c>
      <c r="K31" s="2302" t="s">
        <v>598</v>
      </c>
      <c r="L31" s="2353"/>
      <c r="M31" s="1905"/>
      <c r="N31" s="827"/>
      <c r="O31" s="1809"/>
      <c r="P31" s="827"/>
      <c r="AK31" s="1915">
        <v>23</v>
      </c>
    </row>
    <row customHeight="1" ht="48.29999999999999">
      <c r="A32" s="2338"/>
      <c r="B32" s="2337" t="s">
        <v>685</v>
      </c>
      <c r="C32" s="2337" t="s">
        <v>686</v>
      </c>
      <c r="D32" s="2336" t="s">
        <v>625</v>
      </c>
      <c r="E32" s="2340" t="s">
        <v>636</v>
      </c>
      <c r="F32" s="2340" t="s">
        <v>636</v>
      </c>
      <c r="H32" s="2305"/>
      <c r="I32" s="1959">
        <v>13</v>
      </c>
      <c r="J32" s="2306" t="s">
        <v>687</v>
      </c>
      <c r="K32" s="2302" t="s">
        <v>608</v>
      </c>
      <c r="L32" s="1011"/>
      <c r="M32" s="841"/>
      <c r="N32" s="827"/>
      <c r="O32" s="1809" t="s">
        <v>647</v>
      </c>
      <c r="P32" s="827"/>
      <c r="AK32" s="1915">
        <v>46</v>
      </c>
    </row>
    <row s="14157" customFormat="1" customHeight="1" ht="48.29999999999999">
      <c r="A33" s="2338"/>
      <c r="B33" s="2337" t="s">
        <v>688</v>
      </c>
      <c r="C33" s="2337" t="s">
        <v>689</v>
      </c>
      <c r="D33" s="2336" t="s">
        <v>625</v>
      </c>
      <c r="E33" s="2340" t="s">
        <v>636</v>
      </c>
      <c r="F33" s="2340" t="s">
        <v>636</v>
      </c>
      <c r="G33" s="1920"/>
      <c r="H33" s="2305"/>
      <c r="I33" s="1959">
        <v>14</v>
      </c>
      <c r="J33" s="2318" t="s">
        <v>690</v>
      </c>
      <c r="K33" s="2307" t="s">
        <v>691</v>
      </c>
      <c r="L33" s="1011"/>
      <c r="M33" s="841"/>
      <c r="N33" s="827"/>
      <c r="O33" s="1809" t="s">
        <v>647</v>
      </c>
      <c r="P33" s="827"/>
      <c r="Q33" s="1920"/>
      <c r="R33" s="1920"/>
      <c r="W33" s="1920"/>
      <c r="Z33" s="828"/>
      <c r="AF33" s="1916"/>
      <c r="AG33" s="1916"/>
      <c r="AH33" s="1916"/>
      <c r="AI33" s="1916"/>
      <c r="AJ33" s="1916"/>
      <c r="AK33" s="1650">
        <v>46</v>
      </c>
    </row>
    <row customHeight="1" ht="108">
      <c r="A34" s="2338"/>
      <c r="B34" s="2337" t="s">
        <v>692</v>
      </c>
      <c r="C34" s="2337" t="s">
        <v>693</v>
      </c>
      <c r="D34" s="2336" t="s">
        <v>635</v>
      </c>
      <c r="E34" s="2340" t="s">
        <v>636</v>
      </c>
      <c r="F34" s="2340" t="s">
        <v>636</v>
      </c>
      <c r="G34" s="1920" t="s">
        <v>596</v>
      </c>
      <c r="H34" s="2305"/>
      <c r="I34" s="2316">
        <v>15</v>
      </c>
      <c r="J34" s="2317" t="s">
        <v>694</v>
      </c>
      <c r="K34" s="2302" t="s">
        <v>311</v>
      </c>
      <c r="L34" s="669"/>
      <c r="M34" s="1448"/>
      <c r="N34" s="827"/>
      <c r="O34" s="1809" t="s">
        <v>639</v>
      </c>
      <c r="P34" s="827"/>
      <c r="AK34" s="1915">
        <v>103</v>
      </c>
    </row>
    <row s="14730" customFormat="1" customHeight="1" ht="11.549999999999999">
      <c r="A35" s="1271"/>
      <c r="B35" s="1271"/>
      <c r="C35" s="1271"/>
      <c r="D35" s="1271"/>
      <c r="E35" s="1271"/>
      <c r="F35" s="1920"/>
      <c r="G35" s="1920"/>
      <c r="H35" s="635"/>
      <c r="N35" s="1650"/>
      <c r="P35" s="1650"/>
      <c r="Q35" s="1920"/>
      <c r="R35" s="1920"/>
      <c r="S35" s="1650"/>
      <c r="T35" s="1650"/>
      <c r="U35" s="1650"/>
      <c r="V35" s="1650"/>
      <c r="W35" s="1920"/>
      <c r="X35" s="1650"/>
      <c r="Y35" s="1650"/>
      <c r="Z35" s="828"/>
      <c r="AA35" s="1650"/>
      <c r="AB35" s="1650"/>
      <c r="AC35" s="1650"/>
      <c r="AD35" s="1650"/>
      <c r="AE35" s="1650"/>
      <c r="AF35" s="1916"/>
      <c r="AG35" s="906"/>
      <c r="AH35" s="906"/>
      <c r="AI35" s="906"/>
      <c r="AJ35" s="906"/>
      <c r="AK35" s="1925">
        <v>11</v>
      </c>
    </row>
    <row s="14730" customFormat="1" customHeight="1" ht="11.549999999999999">
      <c r="A36" s="1271"/>
      <c r="B36" s="1271"/>
      <c r="C36" s="1271"/>
      <c r="D36" s="1271"/>
      <c r="E36" s="1271"/>
      <c r="F36" s="1920"/>
      <c r="G36" s="1920"/>
      <c r="H36" s="635"/>
      <c r="N36" s="1650"/>
      <c r="P36" s="1650"/>
      <c r="Q36" s="1920"/>
      <c r="R36" s="1920"/>
      <c r="S36" s="1650"/>
      <c r="T36" s="1650"/>
      <c r="U36" s="1650"/>
      <c r="V36" s="1650"/>
      <c r="W36" s="1920"/>
      <c r="X36" s="1650"/>
      <c r="Y36" s="1650"/>
      <c r="Z36" s="828"/>
      <c r="AA36" s="1650"/>
      <c r="AB36" s="1650"/>
      <c r="AC36" s="1650"/>
      <c r="AD36" s="1650"/>
      <c r="AE36" s="1650"/>
      <c r="AF36" s="1916"/>
      <c r="AG36" s="906"/>
      <c r="AH36" s="906"/>
      <c r="AI36" s="906"/>
      <c r="AJ36" s="906"/>
      <c r="AK36" s="1925">
        <v>11</v>
      </c>
    </row>
    <row s="14730" customFormat="1" customHeight="1" ht="11.549999999999999">
      <c r="A37" s="1271"/>
      <c r="B37" s="1271"/>
      <c r="C37" s="1271"/>
      <c r="D37" s="1271"/>
      <c r="E37" s="1271"/>
      <c r="F37" s="1920"/>
      <c r="G37" s="1920"/>
      <c r="H37" s="635"/>
      <c r="L37" s="906"/>
      <c r="M37" s="906"/>
      <c r="N37" s="1650"/>
      <c r="P37" s="1650"/>
      <c r="Q37" s="1920"/>
      <c r="R37" s="1920"/>
      <c r="S37" s="1650"/>
      <c r="T37" s="1650"/>
      <c r="U37" s="1650"/>
      <c r="V37" s="1650"/>
      <c r="W37" s="1920"/>
      <c r="X37" s="1650"/>
      <c r="Y37" s="1650"/>
      <c r="Z37" s="828"/>
      <c r="AA37" s="1650"/>
      <c r="AB37" s="1650"/>
      <c r="AC37" s="1650"/>
      <c r="AD37" s="1650"/>
      <c r="AE37" s="1650"/>
      <c r="AF37" s="1916"/>
      <c r="AG37" s="906"/>
      <c r="AH37" s="906"/>
      <c r="AI37" s="906"/>
      <c r="AJ37" s="906"/>
      <c r="AK37" s="1925">
        <v>11</v>
      </c>
    </row>
    <row s="14730" customFormat="1" customHeight="1" ht="11.549999999999999">
      <c r="A38" s="1271"/>
      <c r="B38" s="1271"/>
      <c r="C38" s="1271"/>
      <c r="D38" s="1271"/>
      <c r="E38" s="1271"/>
      <c r="F38" s="1920"/>
      <c r="G38" s="1920"/>
      <c r="H38" s="635"/>
      <c r="N38" s="1650"/>
      <c r="P38" s="1650"/>
      <c r="Q38" s="1920"/>
      <c r="R38" s="1920"/>
      <c r="S38" s="1650"/>
      <c r="T38" s="1650"/>
      <c r="U38" s="1650"/>
      <c r="V38" s="1650"/>
      <c r="W38" s="1920"/>
      <c r="X38" s="1650"/>
      <c r="Y38" s="1650"/>
      <c r="Z38" s="828"/>
      <c r="AA38" s="1650"/>
      <c r="AB38" s="1650"/>
      <c r="AC38" s="1650"/>
      <c r="AD38" s="1650"/>
      <c r="AE38" s="1650"/>
      <c r="AF38" s="1916"/>
      <c r="AG38" s="906"/>
      <c r="AH38" s="906"/>
      <c r="AI38" s="906"/>
      <c r="AJ38" s="906"/>
      <c r="AK38" s="1925">
        <v>11</v>
      </c>
    </row>
    <row s="14730" customFormat="1" customHeight="1" ht="11.549999999999999">
      <c r="A39" s="1271"/>
      <c r="B39" s="1271"/>
      <c r="C39" s="1271"/>
      <c r="D39" s="1271"/>
      <c r="E39" s="1271"/>
      <c r="F39" s="1920"/>
      <c r="G39" s="1920"/>
      <c r="H39" s="635"/>
      <c r="N39" s="1650"/>
      <c r="P39" s="1650"/>
      <c r="Q39" s="1920"/>
      <c r="R39" s="1920"/>
      <c r="S39" s="1650"/>
      <c r="T39" s="1650"/>
      <c r="U39" s="1650"/>
      <c r="V39" s="1650"/>
      <c r="W39" s="1920"/>
      <c r="X39" s="1650"/>
      <c r="Y39" s="1650"/>
      <c r="Z39" s="828"/>
      <c r="AA39" s="1650"/>
      <c r="AB39" s="1650"/>
      <c r="AC39" s="1650"/>
      <c r="AD39" s="1650"/>
      <c r="AE39" s="1650"/>
      <c r="AF39" s="1916"/>
      <c r="AG39" s="906"/>
      <c r="AH39" s="906"/>
      <c r="AI39" s="906"/>
      <c r="AJ39" s="906"/>
      <c r="AK39" s="1925">
        <v>11</v>
      </c>
    </row>
    <row s="14730" customFormat="1" customHeight="1" ht="11.549999999999999">
      <c r="A40" s="1271"/>
      <c r="B40" s="1271"/>
      <c r="C40" s="1271"/>
      <c r="D40" s="1271"/>
      <c r="E40" s="1271"/>
      <c r="F40" s="1920"/>
      <c r="G40" s="1920"/>
      <c r="H40" s="635"/>
      <c r="N40" s="1650"/>
      <c r="P40" s="1650"/>
      <c r="Q40" s="1920"/>
      <c r="R40" s="1920"/>
      <c r="S40" s="1650"/>
      <c r="T40" s="1650"/>
      <c r="U40" s="1650"/>
      <c r="V40" s="1650"/>
      <c r="W40" s="1920"/>
      <c r="X40" s="1650"/>
      <c r="Y40" s="1650"/>
      <c r="Z40" s="828"/>
      <c r="AA40" s="1650"/>
      <c r="AB40" s="1650"/>
      <c r="AC40" s="1650"/>
      <c r="AD40" s="1650"/>
      <c r="AE40" s="1650"/>
      <c r="AF40" s="1916"/>
      <c r="AG40" s="906"/>
      <c r="AH40" s="906"/>
      <c r="AI40" s="906"/>
      <c r="AJ40" s="906"/>
      <c r="AK40" s="1925">
        <v>11</v>
      </c>
    </row>
    <row s="14730" customFormat="1" customHeight="1" ht="11.549999999999999">
      <c r="A41" s="1271"/>
      <c r="B41" s="1271"/>
      <c r="C41" s="1271"/>
      <c r="D41" s="1271"/>
      <c r="E41" s="1271"/>
      <c r="F41" s="1920"/>
      <c r="G41" s="1920"/>
      <c r="H41" s="635"/>
      <c r="N41" s="1650"/>
      <c r="P41" s="1650"/>
      <c r="Q41" s="1920"/>
      <c r="R41" s="1920"/>
      <c r="S41" s="1650"/>
      <c r="T41" s="1650"/>
      <c r="U41" s="1650"/>
      <c r="V41" s="1650"/>
      <c r="W41" s="1920"/>
      <c r="X41" s="1650"/>
      <c r="Y41" s="1650"/>
      <c r="Z41" s="828"/>
      <c r="AA41" s="1650"/>
      <c r="AB41" s="1650"/>
      <c r="AC41" s="1650"/>
      <c r="AD41" s="1650"/>
      <c r="AE41" s="1650"/>
      <c r="AF41" s="1916"/>
      <c r="AG41" s="906"/>
      <c r="AH41" s="906"/>
      <c r="AI41" s="906"/>
      <c r="AJ41" s="906"/>
      <c r="AK41" s="1925">
        <v>11</v>
      </c>
    </row>
    <row s="14730" customFormat="1" customHeight="1" ht="11.549999999999999">
      <c r="A42" s="1271"/>
      <c r="B42" s="1271"/>
      <c r="C42" s="1271"/>
      <c r="D42" s="1271"/>
      <c r="E42" s="1271"/>
      <c r="F42" s="1920"/>
      <c r="G42" s="1920"/>
      <c r="H42" s="635"/>
      <c r="N42" s="1650"/>
      <c r="P42" s="1650"/>
      <c r="Q42" s="1920"/>
      <c r="R42" s="1920"/>
      <c r="S42" s="1650"/>
      <c r="T42" s="1650"/>
      <c r="U42" s="1650"/>
      <c r="V42" s="1650"/>
      <c r="W42" s="1920"/>
      <c r="X42" s="1650"/>
      <c r="Y42" s="1650"/>
      <c r="Z42" s="828"/>
      <c r="AA42" s="1650"/>
      <c r="AB42" s="1650"/>
      <c r="AC42" s="1650"/>
      <c r="AD42" s="1650"/>
      <c r="AE42" s="1650"/>
      <c r="AF42" s="1916"/>
      <c r="AG42" s="906"/>
      <c r="AH42" s="906"/>
      <c r="AI42" s="906"/>
      <c r="AJ42" s="906"/>
      <c r="AK42" s="1925">
        <v>11</v>
      </c>
    </row>
    <row s="14730" customFormat="1" customHeight="1" ht="11.549999999999999">
      <c r="A43" s="1271"/>
      <c r="B43" s="1271"/>
      <c r="C43" s="1271"/>
      <c r="D43" s="1271"/>
      <c r="E43" s="1271"/>
      <c r="F43" s="1920"/>
      <c r="G43" s="1920"/>
      <c r="H43" s="635"/>
      <c r="N43" s="1650"/>
      <c r="P43" s="1650"/>
      <c r="Q43" s="1920"/>
      <c r="R43" s="1920"/>
      <c r="S43" s="1650"/>
      <c r="T43" s="1650"/>
      <c r="U43" s="1650"/>
      <c r="V43" s="1650"/>
      <c r="W43" s="1920"/>
      <c r="X43" s="1650"/>
      <c r="Y43" s="1650"/>
      <c r="Z43" s="828"/>
      <c r="AA43" s="1650"/>
      <c r="AB43" s="1650"/>
      <c r="AC43" s="1650"/>
      <c r="AD43" s="1650"/>
      <c r="AE43" s="1650"/>
      <c r="AF43" s="1916"/>
      <c r="AG43" s="906"/>
      <c r="AH43" s="906"/>
      <c r="AI43" s="906"/>
      <c r="AJ43" s="906"/>
      <c r="AK43" s="1925">
        <v>11</v>
      </c>
    </row>
    <row s="14730" customFormat="1" customHeight="1" ht="11.549999999999999">
      <c r="A44" s="1271"/>
      <c r="B44" s="1271"/>
      <c r="C44" s="1271"/>
      <c r="D44" s="1271"/>
      <c r="E44" s="1271"/>
      <c r="F44" s="1920"/>
      <c r="G44" s="1920"/>
      <c r="H44" s="635"/>
      <c r="N44" s="1650"/>
      <c r="P44" s="1650"/>
      <c r="Q44" s="1920"/>
      <c r="R44" s="1920"/>
      <c r="S44" s="1650"/>
      <c r="T44" s="1650"/>
      <c r="U44" s="1650"/>
      <c r="V44" s="1650"/>
      <c r="W44" s="1920"/>
      <c r="X44" s="1650"/>
      <c r="Y44" s="1650"/>
      <c r="Z44" s="828"/>
      <c r="AA44" s="1650"/>
      <c r="AB44" s="1650"/>
      <c r="AC44" s="1650"/>
      <c r="AD44" s="1650"/>
      <c r="AE44" s="1650"/>
      <c r="AF44" s="1916"/>
      <c r="AG44" s="906"/>
      <c r="AH44" s="906"/>
      <c r="AI44" s="906"/>
      <c r="AJ44" s="906"/>
      <c r="AK44" s="1925">
        <v>11</v>
      </c>
    </row>
    <row s="14730" customFormat="1" customHeight="1" ht="11.549999999999999">
      <c r="A45" s="1271"/>
      <c r="B45" s="1271"/>
      <c r="C45" s="1271"/>
      <c r="D45" s="1271"/>
      <c r="E45" s="1271"/>
      <c r="F45" s="1920"/>
      <c r="G45" s="1920"/>
      <c r="H45" s="635"/>
      <c r="N45" s="1650"/>
      <c r="P45" s="1650"/>
      <c r="Q45" s="1920"/>
      <c r="R45" s="1920"/>
      <c r="S45" s="1650"/>
      <c r="T45" s="1650"/>
      <c r="U45" s="1650"/>
      <c r="V45" s="1650"/>
      <c r="W45" s="1920"/>
      <c r="X45" s="1650"/>
      <c r="Y45" s="1650"/>
      <c r="Z45" s="828"/>
      <c r="AA45" s="1650"/>
      <c r="AB45" s="1650"/>
      <c r="AC45" s="1650"/>
      <c r="AD45" s="1650"/>
      <c r="AE45" s="1650"/>
      <c r="AF45" s="1916"/>
      <c r="AG45" s="906"/>
      <c r="AH45" s="906"/>
      <c r="AI45" s="906"/>
      <c r="AJ45" s="906"/>
      <c r="AK45" s="1925">
        <v>11</v>
      </c>
    </row>
    <row s="14730" customFormat="1" customHeight="1" ht="11.549999999999999">
      <c r="A46" s="1271"/>
      <c r="B46" s="1271"/>
      <c r="C46" s="1271"/>
      <c r="D46" s="1271"/>
      <c r="E46" s="1271"/>
      <c r="F46" s="1920"/>
      <c r="G46" s="1920"/>
      <c r="H46" s="635"/>
      <c r="N46" s="1650"/>
      <c r="P46" s="1650"/>
      <c r="Q46" s="1920"/>
      <c r="R46" s="1920"/>
      <c r="S46" s="1650"/>
      <c r="T46" s="1650"/>
      <c r="U46" s="1650"/>
      <c r="V46" s="1650"/>
      <c r="W46" s="1920"/>
      <c r="X46" s="1650"/>
      <c r="Y46" s="1650"/>
      <c r="Z46" s="828"/>
      <c r="AA46" s="1650"/>
      <c r="AB46" s="1650"/>
      <c r="AC46" s="1650"/>
      <c r="AD46" s="1650"/>
      <c r="AE46" s="1650"/>
      <c r="AF46" s="1916"/>
      <c r="AG46" s="906"/>
      <c r="AH46" s="906"/>
      <c r="AI46" s="906"/>
      <c r="AJ46" s="906"/>
      <c r="AK46" s="1925">
        <v>11</v>
      </c>
    </row>
    <row s="14730" customFormat="1" customHeight="1" ht="11.549999999999999">
      <c r="A47" s="1271"/>
      <c r="B47" s="1271"/>
      <c r="C47" s="1271"/>
      <c r="D47" s="1271"/>
      <c r="E47" s="1271"/>
      <c r="F47" s="1920"/>
      <c r="G47" s="1920"/>
      <c r="H47" s="635"/>
      <c r="N47" s="1650"/>
      <c r="P47" s="1650"/>
      <c r="Q47" s="1920"/>
      <c r="R47" s="1920"/>
      <c r="S47" s="1650"/>
      <c r="T47" s="1650"/>
      <c r="U47" s="1650"/>
      <c r="V47" s="1650"/>
      <c r="W47" s="1920"/>
      <c r="X47" s="1650"/>
      <c r="Y47" s="1650"/>
      <c r="Z47" s="828"/>
      <c r="AA47" s="1650"/>
      <c r="AB47" s="1650"/>
      <c r="AC47" s="1650"/>
      <c r="AD47" s="1650"/>
      <c r="AE47" s="1650"/>
      <c r="AF47" s="1916"/>
      <c r="AG47" s="906"/>
      <c r="AH47" s="906"/>
      <c r="AI47" s="906"/>
      <c r="AJ47" s="906"/>
      <c r="AK47" s="1925">
        <v>11</v>
      </c>
    </row>
    <row s="14730" customFormat="1" customHeight="1" ht="11.549999999999999">
      <c r="A48" s="1271"/>
      <c r="B48" s="1271"/>
      <c r="C48" s="1271"/>
      <c r="D48" s="1271"/>
      <c r="E48" s="1271"/>
      <c r="F48" s="1920"/>
      <c r="G48" s="1920"/>
      <c r="H48" s="635"/>
      <c r="N48" s="1650"/>
      <c r="P48" s="1650"/>
      <c r="Q48" s="1920"/>
      <c r="R48" s="1920"/>
      <c r="S48" s="1650"/>
      <c r="T48" s="1650"/>
      <c r="U48" s="1650"/>
      <c r="V48" s="1650"/>
      <c r="W48" s="1920"/>
      <c r="X48" s="1650"/>
      <c r="Y48" s="1650"/>
      <c r="Z48" s="828"/>
      <c r="AA48" s="1650"/>
      <c r="AB48" s="1650"/>
      <c r="AC48" s="1650"/>
      <c r="AD48" s="1650"/>
      <c r="AE48" s="1650"/>
      <c r="AF48" s="1916"/>
      <c r="AG48" s="906"/>
      <c r="AH48" s="906"/>
      <c r="AI48" s="906"/>
      <c r="AJ48" s="906"/>
      <c r="AK48" s="1925">
        <v>11</v>
      </c>
    </row>
    <row s="14730" customFormat="1" customHeight="1" ht="11.549999999999999">
      <c r="A49" s="1271"/>
      <c r="B49" s="1271"/>
      <c r="C49" s="1271"/>
      <c r="D49" s="1271"/>
      <c r="E49" s="1271"/>
      <c r="F49" s="1920"/>
      <c r="G49" s="1920"/>
      <c r="H49" s="635"/>
      <c r="N49" s="1650"/>
      <c r="P49" s="1650"/>
      <c r="Q49" s="1920"/>
      <c r="R49" s="1920"/>
      <c r="S49" s="1650"/>
      <c r="T49" s="1650"/>
      <c r="U49" s="1650"/>
      <c r="V49" s="1650"/>
      <c r="W49" s="1920"/>
      <c r="X49" s="1650"/>
      <c r="Y49" s="1650"/>
      <c r="Z49" s="828"/>
      <c r="AA49" s="1650"/>
      <c r="AB49" s="1650"/>
      <c r="AC49" s="1650"/>
      <c r="AD49" s="1650"/>
      <c r="AE49" s="1650"/>
      <c r="AF49" s="1916"/>
      <c r="AG49" s="906"/>
      <c r="AH49" s="906"/>
      <c r="AI49" s="906"/>
      <c r="AJ49" s="906"/>
      <c r="AK49" s="1925">
        <v>11</v>
      </c>
    </row>
    <row s="14730" customFormat="1" customHeight="1" ht="11.549999999999999">
      <c r="A50" s="1271"/>
      <c r="B50" s="1271"/>
      <c r="C50" s="1271"/>
      <c r="D50" s="1271"/>
      <c r="E50" s="1271"/>
      <c r="F50" s="1920"/>
      <c r="G50" s="1920"/>
      <c r="H50" s="635"/>
      <c r="N50" s="1650"/>
      <c r="P50" s="1650"/>
      <c r="Q50" s="1920"/>
      <c r="R50" s="1920"/>
      <c r="S50" s="1650"/>
      <c r="T50" s="1650"/>
      <c r="U50" s="1650"/>
      <c r="V50" s="1650"/>
      <c r="W50" s="1920"/>
      <c r="X50" s="1650"/>
      <c r="Y50" s="1650"/>
      <c r="Z50" s="828"/>
      <c r="AA50" s="1650"/>
      <c r="AB50" s="1650"/>
      <c r="AC50" s="1650"/>
      <c r="AD50" s="1650"/>
      <c r="AE50" s="1650"/>
      <c r="AF50" s="1916"/>
      <c r="AG50" s="906"/>
      <c r="AH50" s="906"/>
      <c r="AI50" s="906"/>
      <c r="AJ50" s="906"/>
      <c r="AK50" s="1925">
        <v>11</v>
      </c>
    </row>
    <row s="14730" customFormat="1" customHeight="1" ht="11.549999999999999">
      <c r="A51" s="1271"/>
      <c r="B51" s="1271"/>
      <c r="C51" s="1271"/>
      <c r="D51" s="1271"/>
      <c r="E51" s="1271"/>
      <c r="F51" s="1920"/>
      <c r="G51" s="1920"/>
      <c r="H51" s="635"/>
      <c r="N51" s="1650"/>
      <c r="P51" s="1650"/>
      <c r="Q51" s="1920"/>
      <c r="R51" s="1920"/>
      <c r="S51" s="1650"/>
      <c r="T51" s="1650"/>
      <c r="U51" s="1650"/>
      <c r="V51" s="1650"/>
      <c r="W51" s="1920"/>
      <c r="X51" s="1650"/>
      <c r="Y51" s="1650"/>
      <c r="Z51" s="828"/>
      <c r="AA51" s="1650"/>
      <c r="AB51" s="1650"/>
      <c r="AC51" s="1650"/>
      <c r="AD51" s="1650"/>
      <c r="AE51" s="1650"/>
      <c r="AF51" s="1916"/>
      <c r="AG51" s="906"/>
      <c r="AH51" s="906"/>
      <c r="AI51" s="906"/>
      <c r="AJ51" s="906"/>
      <c r="AK51" s="1925">
        <v>11</v>
      </c>
    </row>
    <row s="14730" customFormat="1" customHeight="1" ht="11.549999999999999">
      <c r="A52" s="1271"/>
      <c r="B52" s="1271"/>
      <c r="C52" s="1271"/>
      <c r="D52" s="1271"/>
      <c r="E52" s="1271"/>
      <c r="F52" s="1920"/>
      <c r="G52" s="1920"/>
      <c r="H52" s="635"/>
      <c r="N52" s="1650"/>
      <c r="P52" s="1650"/>
      <c r="Q52" s="1920"/>
      <c r="R52" s="1920"/>
      <c r="S52" s="1650"/>
      <c r="T52" s="1650"/>
      <c r="U52" s="1650"/>
      <c r="V52" s="1650"/>
      <c r="W52" s="1920"/>
      <c r="X52" s="1650"/>
      <c r="Y52" s="1650"/>
      <c r="Z52" s="828"/>
      <c r="AA52" s="1650"/>
      <c r="AB52" s="1650"/>
      <c r="AC52" s="1650"/>
      <c r="AD52" s="1650"/>
      <c r="AE52" s="1650"/>
      <c r="AF52" s="1916"/>
      <c r="AG52" s="906"/>
      <c r="AH52" s="906"/>
      <c r="AI52" s="906"/>
      <c r="AJ52" s="906"/>
      <c r="AK52" s="1925">
        <v>11</v>
      </c>
    </row>
    <row s="14730" customFormat="1" customHeight="1" ht="11.549999999999999">
      <c r="A53" s="1271"/>
      <c r="B53" s="1271"/>
      <c r="C53" s="1271"/>
      <c r="D53" s="1271"/>
      <c r="E53" s="1271"/>
      <c r="F53" s="1920"/>
      <c r="G53" s="1920"/>
      <c r="H53" s="635"/>
      <c r="N53" s="1650"/>
      <c r="P53" s="1650"/>
      <c r="Q53" s="1920"/>
      <c r="R53" s="1920"/>
      <c r="S53" s="1650"/>
      <c r="T53" s="1650"/>
      <c r="U53" s="1650"/>
      <c r="V53" s="1650"/>
      <c r="W53" s="1920"/>
      <c r="X53" s="1650"/>
      <c r="Y53" s="1650"/>
      <c r="Z53" s="828"/>
      <c r="AA53" s="1650"/>
      <c r="AB53" s="1650"/>
      <c r="AC53" s="1650"/>
      <c r="AD53" s="1650"/>
      <c r="AE53" s="1650"/>
      <c r="AF53" s="1916"/>
      <c r="AG53" s="906"/>
      <c r="AH53" s="906"/>
      <c r="AI53" s="906"/>
      <c r="AJ53" s="906"/>
      <c r="AK53" s="1925">
        <v>11</v>
      </c>
    </row>
    <row s="14730" customFormat="1" customHeight="1" ht="11.549999999999999">
      <c r="A54" s="1271"/>
      <c r="B54" s="1271"/>
      <c r="C54" s="1271"/>
      <c r="D54" s="1271"/>
      <c r="E54" s="1271"/>
      <c r="F54" s="1920"/>
      <c r="G54" s="1920"/>
      <c r="H54" s="635"/>
      <c r="N54" s="1650"/>
      <c r="P54" s="1650"/>
      <c r="Q54" s="1920"/>
      <c r="R54" s="1920"/>
      <c r="S54" s="1650"/>
      <c r="T54" s="1650"/>
      <c r="U54" s="1650"/>
      <c r="V54" s="1650"/>
      <c r="W54" s="1920"/>
      <c r="X54" s="1650"/>
      <c r="Y54" s="1650"/>
      <c r="Z54" s="828"/>
      <c r="AA54" s="1650"/>
      <c r="AB54" s="1650"/>
      <c r="AC54" s="1650"/>
      <c r="AD54" s="1650"/>
      <c r="AE54" s="1650"/>
      <c r="AF54" s="1916"/>
      <c r="AG54" s="906"/>
      <c r="AH54" s="906"/>
      <c r="AI54" s="906"/>
      <c r="AJ54" s="906"/>
      <c r="AK54" s="1925">
        <v>11</v>
      </c>
    </row>
    <row s="14730" customFormat="1" customHeight="1" ht="11.549999999999999">
      <c r="A55" s="1271"/>
      <c r="B55" s="1271"/>
      <c r="C55" s="1271"/>
      <c r="D55" s="1271"/>
      <c r="E55" s="1271"/>
      <c r="F55" s="1920"/>
      <c r="G55" s="1920"/>
      <c r="H55" s="635"/>
      <c r="N55" s="1650"/>
      <c r="P55" s="1650"/>
      <c r="Q55" s="1920"/>
      <c r="R55" s="1920"/>
      <c r="S55" s="1650"/>
      <c r="T55" s="1650"/>
      <c r="U55" s="1650"/>
      <c r="V55" s="1650"/>
      <c r="W55" s="1920"/>
      <c r="X55" s="1650"/>
      <c r="Y55" s="1650"/>
      <c r="Z55" s="828"/>
      <c r="AA55" s="1650"/>
      <c r="AB55" s="1650"/>
      <c r="AC55" s="1650"/>
      <c r="AD55" s="1650"/>
      <c r="AE55" s="1650"/>
      <c r="AF55" s="1916"/>
      <c r="AG55" s="906"/>
      <c r="AH55" s="906"/>
      <c r="AI55" s="906"/>
      <c r="AJ55" s="906"/>
      <c r="AK55" s="1925">
        <v>11</v>
      </c>
    </row>
    <row s="14730" customFormat="1" customHeight="1" ht="11.549999999999999">
      <c r="A56" s="1271"/>
      <c r="B56" s="1271"/>
      <c r="C56" s="1271"/>
      <c r="D56" s="1271"/>
      <c r="E56" s="1271"/>
      <c r="F56" s="1920"/>
      <c r="G56" s="1920"/>
      <c r="H56" s="635"/>
      <c r="N56" s="1650"/>
      <c r="P56" s="1650"/>
      <c r="Q56" s="1920"/>
      <c r="R56" s="1920"/>
      <c r="S56" s="1650"/>
      <c r="T56" s="1650"/>
      <c r="U56" s="1650"/>
      <c r="V56" s="1650"/>
      <c r="W56" s="1920"/>
      <c r="X56" s="1650"/>
      <c r="Y56" s="1650"/>
      <c r="Z56" s="828"/>
      <c r="AA56" s="1650"/>
      <c r="AB56" s="1650"/>
      <c r="AC56" s="1650"/>
      <c r="AD56" s="1650"/>
      <c r="AE56" s="1650"/>
      <c r="AF56" s="1916"/>
      <c r="AG56" s="906"/>
      <c r="AH56" s="906"/>
      <c r="AI56" s="906"/>
      <c r="AJ56" s="906"/>
      <c r="AK56" s="1925">
        <v>11</v>
      </c>
    </row>
    <row s="14730" customFormat="1" customHeight="1" ht="11.549999999999999">
      <c r="A57" s="1271"/>
      <c r="B57" s="1271"/>
      <c r="C57" s="1271"/>
      <c r="D57" s="1271"/>
      <c r="E57" s="1271"/>
      <c r="F57" s="1920"/>
      <c r="G57" s="1920"/>
      <c r="H57" s="635"/>
      <c r="N57" s="1650"/>
      <c r="P57" s="1650"/>
      <c r="Q57" s="1920"/>
      <c r="R57" s="1920"/>
      <c r="S57" s="1650"/>
      <c r="T57" s="1650"/>
      <c r="U57" s="1650"/>
      <c r="V57" s="1650"/>
      <c r="W57" s="1920"/>
      <c r="X57" s="1650"/>
      <c r="Y57" s="1650"/>
      <c r="Z57" s="828"/>
      <c r="AA57" s="1650"/>
      <c r="AB57" s="1650"/>
      <c r="AC57" s="1650"/>
      <c r="AD57" s="1650"/>
      <c r="AE57" s="1650"/>
      <c r="AF57" s="1916"/>
      <c r="AG57" s="906"/>
      <c r="AH57" s="906"/>
      <c r="AI57" s="906"/>
      <c r="AJ57" s="906"/>
      <c r="AK57" s="1925">
        <v>11</v>
      </c>
    </row>
    <row s="14730" customFormat="1" customHeight="1" ht="11.549999999999999">
      <c r="A58" s="1271"/>
      <c r="B58" s="1271"/>
      <c r="C58" s="1271"/>
      <c r="D58" s="1271"/>
      <c r="E58" s="1271"/>
      <c r="F58" s="1920"/>
      <c r="G58" s="1920"/>
      <c r="H58" s="635"/>
      <c r="N58" s="1650"/>
      <c r="P58" s="1650"/>
      <c r="Q58" s="1920"/>
      <c r="R58" s="1920"/>
      <c r="S58" s="1650"/>
      <c r="T58" s="1650"/>
      <c r="U58" s="1650"/>
      <c r="V58" s="1650"/>
      <c r="W58" s="1920"/>
      <c r="X58" s="1650"/>
      <c r="Y58" s="1650"/>
      <c r="Z58" s="828"/>
      <c r="AA58" s="1650"/>
      <c r="AB58" s="1650"/>
      <c r="AC58" s="1650"/>
      <c r="AD58" s="1650"/>
      <c r="AE58" s="1650"/>
      <c r="AF58" s="1916"/>
      <c r="AG58" s="906"/>
      <c r="AH58" s="906"/>
      <c r="AI58" s="906"/>
      <c r="AJ58" s="906"/>
      <c r="AK58" s="1925">
        <v>11</v>
      </c>
    </row>
    <row s="14730" customFormat="1" customHeight="1" ht="11.549999999999999">
      <c r="A59" s="1271"/>
      <c r="B59" s="1271"/>
      <c r="C59" s="1271"/>
      <c r="D59" s="1271"/>
      <c r="E59" s="1271"/>
      <c r="F59" s="1920"/>
      <c r="G59" s="1920"/>
      <c r="H59" s="635"/>
      <c r="N59" s="1650"/>
      <c r="P59" s="1650"/>
      <c r="Q59" s="1920"/>
      <c r="R59" s="1920"/>
      <c r="S59" s="1650"/>
      <c r="T59" s="1650"/>
      <c r="U59" s="1650"/>
      <c r="V59" s="1650"/>
      <c r="W59" s="1920"/>
      <c r="X59" s="1650"/>
      <c r="Y59" s="1650"/>
      <c r="Z59" s="828"/>
      <c r="AA59" s="1650"/>
      <c r="AB59" s="1650"/>
      <c r="AC59" s="1650"/>
      <c r="AD59" s="1650"/>
      <c r="AE59" s="1650"/>
      <c r="AF59" s="1916"/>
      <c r="AG59" s="906"/>
      <c r="AH59" s="906"/>
      <c r="AI59" s="906"/>
      <c r="AJ59" s="906"/>
      <c r="AK59" s="1925">
        <v>11</v>
      </c>
    </row>
    <row s="14730" customFormat="1" customHeight="1" ht="11.549999999999999">
      <c r="A60" s="1271"/>
      <c r="B60" s="1271"/>
      <c r="C60" s="1271"/>
      <c r="D60" s="1271"/>
      <c r="E60" s="1271"/>
      <c r="F60" s="1920"/>
      <c r="G60" s="1920"/>
      <c r="H60" s="635"/>
      <c r="N60" s="1650"/>
      <c r="P60" s="1650"/>
      <c r="Q60" s="1920"/>
      <c r="R60" s="1920"/>
      <c r="S60" s="1650"/>
      <c r="T60" s="1650"/>
      <c r="U60" s="1650"/>
      <c r="V60" s="1650"/>
      <c r="W60" s="1920"/>
      <c r="X60" s="1650"/>
      <c r="Y60" s="1650"/>
      <c r="Z60" s="828"/>
      <c r="AA60" s="1650"/>
      <c r="AB60" s="1650"/>
      <c r="AC60" s="1650"/>
      <c r="AD60" s="1650"/>
      <c r="AE60" s="1650"/>
      <c r="AF60" s="1916"/>
      <c r="AG60" s="906"/>
      <c r="AH60" s="906"/>
      <c r="AI60" s="906"/>
      <c r="AJ60" s="906"/>
      <c r="AK60" s="1925">
        <v>11</v>
      </c>
    </row>
    <row s="14730" customFormat="1" customHeight="1" ht="11.549999999999999">
      <c r="A61" s="1271"/>
      <c r="B61" s="1271"/>
      <c r="C61" s="1271"/>
      <c r="D61" s="1271"/>
      <c r="E61" s="1271"/>
      <c r="F61" s="1920"/>
      <c r="G61" s="1920"/>
      <c r="H61" s="635"/>
      <c r="N61" s="1650"/>
      <c r="P61" s="1650"/>
      <c r="Q61" s="1920"/>
      <c r="R61" s="1920"/>
      <c r="S61" s="1650"/>
      <c r="T61" s="1650"/>
      <c r="U61" s="1650"/>
      <c r="V61" s="1650"/>
      <c r="W61" s="1920"/>
      <c r="X61" s="1650"/>
      <c r="Y61" s="1650"/>
      <c r="Z61" s="828"/>
      <c r="AA61" s="1650"/>
      <c r="AB61" s="1650"/>
      <c r="AC61" s="1650"/>
      <c r="AD61" s="1650"/>
      <c r="AE61" s="1650"/>
      <c r="AF61" s="1916"/>
      <c r="AG61" s="906"/>
      <c r="AH61" s="906"/>
      <c r="AI61" s="906"/>
      <c r="AJ61" s="906"/>
      <c r="AK61" s="1925">
        <v>11</v>
      </c>
    </row>
    <row s="14730" customFormat="1" customHeight="1" ht="11.549999999999999">
      <c r="A62" s="1271"/>
      <c r="B62" s="1271"/>
      <c r="C62" s="1271"/>
      <c r="D62" s="1271"/>
      <c r="E62" s="1271"/>
      <c r="F62" s="1920"/>
      <c r="G62" s="1920"/>
      <c r="H62" s="635"/>
      <c r="N62" s="1650"/>
      <c r="P62" s="1650"/>
      <c r="Q62" s="1920"/>
      <c r="R62" s="1920"/>
      <c r="S62" s="1650"/>
      <c r="T62" s="1650"/>
      <c r="U62" s="1650"/>
      <c r="V62" s="1650"/>
      <c r="W62" s="1920"/>
      <c r="X62" s="1650"/>
      <c r="Y62" s="1650"/>
      <c r="Z62" s="828"/>
      <c r="AA62" s="1650"/>
      <c r="AB62" s="1650"/>
      <c r="AC62" s="1650"/>
      <c r="AD62" s="1650"/>
      <c r="AE62" s="1650"/>
      <c r="AF62" s="1916"/>
      <c r="AG62" s="906"/>
      <c r="AH62" s="906"/>
      <c r="AI62" s="906"/>
      <c r="AJ62" s="906"/>
      <c r="AK62" s="1925">
        <v>11</v>
      </c>
    </row>
    <row s="14730" customFormat="1" customHeight="1" ht="11.549999999999999">
      <c r="A63" s="1271"/>
      <c r="B63" s="1271"/>
      <c r="C63" s="1271"/>
      <c r="D63" s="1271"/>
      <c r="E63" s="1271"/>
      <c r="F63" s="1920"/>
      <c r="G63" s="1920"/>
      <c r="H63" s="635"/>
      <c r="N63" s="1650"/>
      <c r="P63" s="1650"/>
      <c r="Q63" s="1920"/>
      <c r="R63" s="1920"/>
      <c r="S63" s="1650"/>
      <c r="T63" s="1650"/>
      <c r="U63" s="1650"/>
      <c r="V63" s="1650"/>
      <c r="W63" s="1920"/>
      <c r="X63" s="1650"/>
      <c r="Y63" s="1650"/>
      <c r="Z63" s="828"/>
      <c r="AA63" s="1650"/>
      <c r="AB63" s="1650"/>
      <c r="AC63" s="1650"/>
      <c r="AD63" s="1650"/>
      <c r="AE63" s="1650"/>
      <c r="AF63" s="1916"/>
      <c r="AG63" s="906"/>
      <c r="AH63" s="906"/>
      <c r="AI63" s="906"/>
      <c r="AJ63" s="906"/>
      <c r="AK63" s="1925">
        <v>11</v>
      </c>
    </row>
    <row s="14730" customFormat="1" customHeight="1" ht="11.549999999999999">
      <c r="A64" s="1271"/>
      <c r="B64" s="1271"/>
      <c r="C64" s="1271"/>
      <c r="D64" s="1271"/>
      <c r="E64" s="1271"/>
      <c r="F64" s="1920"/>
      <c r="G64" s="1920"/>
      <c r="H64" s="635"/>
      <c r="N64" s="1650"/>
      <c r="P64" s="1650"/>
      <c r="Q64" s="1920"/>
      <c r="R64" s="1920"/>
      <c r="S64" s="1650"/>
      <c r="T64" s="1650"/>
      <c r="U64" s="1650"/>
      <c r="V64" s="1650"/>
      <c r="W64" s="1920"/>
      <c r="X64" s="1650"/>
      <c r="Y64" s="1650"/>
      <c r="Z64" s="828"/>
      <c r="AA64" s="1650"/>
      <c r="AB64" s="1650"/>
      <c r="AC64" s="1650"/>
      <c r="AD64" s="1650"/>
      <c r="AE64" s="1650"/>
      <c r="AF64" s="1916"/>
      <c r="AG64" s="906"/>
      <c r="AH64" s="906"/>
      <c r="AI64" s="906"/>
      <c r="AJ64" s="906"/>
      <c r="AK64" s="1925">
        <v>11</v>
      </c>
    </row>
    <row s="14730" customFormat="1" customHeight="1" ht="11.549999999999999">
      <c r="A65" s="1271"/>
      <c r="B65" s="1271"/>
      <c r="C65" s="1271"/>
      <c r="D65" s="1271"/>
      <c r="E65" s="1271"/>
      <c r="F65" s="1920"/>
      <c r="G65" s="1920"/>
      <c r="H65" s="635"/>
      <c r="N65" s="1650"/>
      <c r="P65" s="1650"/>
      <c r="Q65" s="1920"/>
      <c r="R65" s="1920"/>
      <c r="S65" s="1650"/>
      <c r="T65" s="1650"/>
      <c r="U65" s="1650"/>
      <c r="V65" s="1650"/>
      <c r="W65" s="1920"/>
      <c r="X65" s="1650"/>
      <c r="Y65" s="1650"/>
      <c r="Z65" s="828"/>
      <c r="AA65" s="1650"/>
      <c r="AB65" s="1650"/>
      <c r="AC65" s="1650"/>
      <c r="AD65" s="1650"/>
      <c r="AE65" s="1650"/>
      <c r="AF65" s="1916"/>
      <c r="AG65" s="906"/>
      <c r="AH65" s="906"/>
      <c r="AI65" s="906"/>
      <c r="AJ65" s="906"/>
      <c r="AK65" s="1925">
        <v>11</v>
      </c>
    </row>
    <row s="14730" customFormat="1" customHeight="1" ht="11.549999999999999">
      <c r="A66" s="1271"/>
      <c r="B66" s="1271"/>
      <c r="C66" s="1271"/>
      <c r="D66" s="1271"/>
      <c r="E66" s="1271"/>
      <c r="F66" s="1920"/>
      <c r="G66" s="1920"/>
      <c r="H66" s="635"/>
      <c r="N66" s="1650"/>
      <c r="P66" s="1650"/>
      <c r="Q66" s="1920"/>
      <c r="R66" s="1920"/>
      <c r="S66" s="1650"/>
      <c r="T66" s="1650"/>
      <c r="U66" s="1650"/>
      <c r="V66" s="1650"/>
      <c r="W66" s="1920"/>
      <c r="X66" s="1650"/>
      <c r="Y66" s="1650"/>
      <c r="Z66" s="828"/>
      <c r="AA66" s="1650"/>
      <c r="AB66" s="1650"/>
      <c r="AC66" s="1650"/>
      <c r="AD66" s="1650"/>
      <c r="AE66" s="1650"/>
      <c r="AF66" s="1916"/>
      <c r="AG66" s="906"/>
      <c r="AH66" s="906"/>
      <c r="AI66" s="906"/>
      <c r="AJ66" s="906"/>
      <c r="AK66" s="1925">
        <v>11</v>
      </c>
    </row>
    <row s="14730" customFormat="1" customHeight="1" ht="11.549999999999999">
      <c r="A67" s="1271"/>
      <c r="B67" s="1271"/>
      <c r="C67" s="1271"/>
      <c r="D67" s="1271"/>
      <c r="E67" s="1271"/>
      <c r="F67" s="1920"/>
      <c r="G67" s="1920"/>
      <c r="H67" s="635"/>
      <c r="N67" s="1650"/>
      <c r="P67" s="1650"/>
      <c r="Q67" s="1920"/>
      <c r="R67" s="1920"/>
      <c r="S67" s="1650"/>
      <c r="T67" s="1650"/>
      <c r="U67" s="1650"/>
      <c r="V67" s="1650"/>
      <c r="W67" s="1920"/>
      <c r="X67" s="1650"/>
      <c r="Y67" s="1650"/>
      <c r="Z67" s="828"/>
      <c r="AA67" s="1650"/>
      <c r="AB67" s="1650"/>
      <c r="AC67" s="1650"/>
      <c r="AD67" s="1650"/>
      <c r="AE67" s="1650"/>
      <c r="AF67" s="1916"/>
      <c r="AG67" s="906"/>
      <c r="AH67" s="906"/>
      <c r="AI67" s="906"/>
      <c r="AJ67" s="906"/>
      <c r="AK67" s="1925">
        <v>11</v>
      </c>
    </row>
    <row s="14730" customFormat="1" customHeight="1" ht="11.549999999999999">
      <c r="A68" s="1271"/>
      <c r="B68" s="1271"/>
      <c r="C68" s="1271"/>
      <c r="D68" s="1271"/>
      <c r="E68" s="1271"/>
      <c r="F68" s="1920"/>
      <c r="G68" s="1920"/>
      <c r="H68" s="635"/>
      <c r="N68" s="1650"/>
      <c r="P68" s="1650"/>
      <c r="Q68" s="1920"/>
      <c r="R68" s="1920"/>
      <c r="S68" s="1650"/>
      <c r="T68" s="1650"/>
      <c r="U68" s="1650"/>
      <c r="V68" s="1650"/>
      <c r="W68" s="1920"/>
      <c r="X68" s="1650"/>
      <c r="Y68" s="1650"/>
      <c r="Z68" s="828"/>
      <c r="AA68" s="1650"/>
      <c r="AB68" s="1650"/>
      <c r="AC68" s="1650"/>
      <c r="AD68" s="1650"/>
      <c r="AE68" s="1650"/>
      <c r="AF68" s="1916"/>
      <c r="AG68" s="906"/>
      <c r="AH68" s="906"/>
      <c r="AI68" s="906"/>
      <c r="AJ68" s="906"/>
      <c r="AK68" s="1925">
        <v>11</v>
      </c>
    </row>
    <row s="14730" customFormat="1" customHeight="1" ht="11.549999999999999">
      <c r="A69" s="1271"/>
      <c r="B69" s="1271"/>
      <c r="C69" s="1271"/>
      <c r="D69" s="1271"/>
      <c r="E69" s="1271"/>
      <c r="F69" s="1920"/>
      <c r="G69" s="1920"/>
      <c r="H69" s="635"/>
      <c r="N69" s="1650"/>
      <c r="P69" s="1650"/>
      <c r="Q69" s="1920"/>
      <c r="R69" s="1920"/>
      <c r="S69" s="1650"/>
      <c r="T69" s="1650"/>
      <c r="U69" s="1650"/>
      <c r="V69" s="1650"/>
      <c r="W69" s="1920"/>
      <c r="X69" s="1650"/>
      <c r="Y69" s="1650"/>
      <c r="Z69" s="828"/>
      <c r="AA69" s="1650"/>
      <c r="AB69" s="1650"/>
      <c r="AC69" s="1650"/>
      <c r="AD69" s="1650"/>
      <c r="AE69" s="1650"/>
      <c r="AF69" s="1916"/>
      <c r="AG69" s="906"/>
      <c r="AH69" s="906"/>
      <c r="AI69" s="906"/>
      <c r="AJ69" s="906"/>
      <c r="AK69" s="1925">
        <v>11</v>
      </c>
    </row>
    <row s="14730" customFormat="1" customHeight="1" ht="11.549999999999999">
      <c r="A70" s="1271"/>
      <c r="B70" s="1271"/>
      <c r="C70" s="1271"/>
      <c r="D70" s="1271"/>
      <c r="E70" s="1271"/>
      <c r="F70" s="1920"/>
      <c r="G70" s="1920"/>
      <c r="H70" s="635"/>
      <c r="N70" s="1650"/>
      <c r="P70" s="1650"/>
      <c r="Q70" s="1920"/>
      <c r="R70" s="1920"/>
      <c r="S70" s="1650"/>
      <c r="T70" s="1650"/>
      <c r="U70" s="1650"/>
      <c r="V70" s="1650"/>
      <c r="W70" s="1920"/>
      <c r="X70" s="1650"/>
      <c r="Y70" s="1650"/>
      <c r="Z70" s="828"/>
      <c r="AA70" s="1650"/>
      <c r="AB70" s="1650"/>
      <c r="AC70" s="1650"/>
      <c r="AD70" s="1650"/>
      <c r="AE70" s="1650"/>
      <c r="AF70" s="1916"/>
      <c r="AG70" s="906"/>
      <c r="AH70" s="906"/>
      <c r="AI70" s="906"/>
      <c r="AJ70" s="906"/>
      <c r="AK70" s="1925">
        <v>11</v>
      </c>
    </row>
    <row s="14730" customFormat="1" customHeight="1" ht="11.549999999999999">
      <c r="A71" s="1271"/>
      <c r="B71" s="1271"/>
      <c r="C71" s="1271"/>
      <c r="D71" s="1271"/>
      <c r="E71" s="1271"/>
      <c r="F71" s="1920"/>
      <c r="G71" s="1920"/>
      <c r="H71" s="635"/>
      <c r="N71" s="1650"/>
      <c r="P71" s="1650"/>
      <c r="Q71" s="1920"/>
      <c r="R71" s="1920"/>
      <c r="S71" s="1650"/>
      <c r="T71" s="1650"/>
      <c r="U71" s="1650"/>
      <c r="V71" s="1650"/>
      <c r="W71" s="1920"/>
      <c r="X71" s="1650"/>
      <c r="Y71" s="1650"/>
      <c r="Z71" s="828"/>
      <c r="AA71" s="1650"/>
      <c r="AB71" s="1650"/>
      <c r="AC71" s="1650"/>
      <c r="AD71" s="1650"/>
      <c r="AE71" s="1650"/>
      <c r="AF71" s="1916"/>
      <c r="AG71" s="906"/>
      <c r="AH71" s="906"/>
      <c r="AI71" s="906"/>
      <c r="AJ71" s="906"/>
      <c r="AK71" s="1925">
        <v>11</v>
      </c>
    </row>
    <row s="14730" customFormat="1" customHeight="1" ht="11.549999999999999">
      <c r="A72" s="1271"/>
      <c r="B72" s="1271"/>
      <c r="C72" s="1271"/>
      <c r="D72" s="1271"/>
      <c r="E72" s="1271"/>
      <c r="F72" s="1920"/>
      <c r="G72" s="1920"/>
      <c r="H72" s="635"/>
      <c r="N72" s="1650"/>
      <c r="P72" s="1650"/>
      <c r="Q72" s="1920"/>
      <c r="R72" s="1920"/>
      <c r="S72" s="1650"/>
      <c r="T72" s="1650"/>
      <c r="U72" s="1650"/>
      <c r="V72" s="1650"/>
      <c r="W72" s="1920"/>
      <c r="X72" s="1650"/>
      <c r="Y72" s="1650"/>
      <c r="Z72" s="828"/>
      <c r="AA72" s="1650"/>
      <c r="AB72" s="1650"/>
      <c r="AC72" s="1650"/>
      <c r="AD72" s="1650"/>
      <c r="AE72" s="1650"/>
      <c r="AF72" s="1916"/>
      <c r="AG72" s="906"/>
      <c r="AH72" s="906"/>
      <c r="AI72" s="906"/>
      <c r="AJ72" s="906"/>
      <c r="AK72" s="1925">
        <v>11</v>
      </c>
    </row>
    <row s="14730" customFormat="1" customHeight="1" ht="11.549999999999999">
      <c r="A73" s="1271"/>
      <c r="B73" s="1271"/>
      <c r="C73" s="1271"/>
      <c r="D73" s="1271"/>
      <c r="E73" s="1271"/>
      <c r="F73" s="1920"/>
      <c r="G73" s="1920"/>
      <c r="H73" s="635"/>
      <c r="N73" s="1650"/>
      <c r="P73" s="1650"/>
      <c r="Q73" s="1920"/>
      <c r="R73" s="1920"/>
      <c r="S73" s="1650"/>
      <c r="T73" s="1650"/>
      <c r="U73" s="1650"/>
      <c r="V73" s="1650"/>
      <c r="W73" s="1920"/>
      <c r="X73" s="1650"/>
      <c r="Y73" s="1650"/>
      <c r="Z73" s="828"/>
      <c r="AA73" s="1650"/>
      <c r="AB73" s="1650"/>
      <c r="AC73" s="1650"/>
      <c r="AD73" s="1650"/>
      <c r="AE73" s="1650"/>
      <c r="AF73" s="1916"/>
      <c r="AG73" s="906"/>
      <c r="AH73" s="906"/>
      <c r="AI73" s="906"/>
      <c r="AJ73" s="906"/>
      <c r="AK73" s="1925">
        <v>11</v>
      </c>
    </row>
    <row s="14730" customFormat="1" customHeight="1" ht="11.549999999999999">
      <c r="A74" s="1271"/>
      <c r="B74" s="1271"/>
      <c r="C74" s="1271"/>
      <c r="D74" s="1271"/>
      <c r="E74" s="1271"/>
      <c r="F74" s="1920"/>
      <c r="G74" s="1920"/>
      <c r="H74" s="635"/>
      <c r="N74" s="1650"/>
      <c r="P74" s="1650"/>
      <c r="Q74" s="1920"/>
      <c r="R74" s="1920"/>
      <c r="S74" s="1650"/>
      <c r="T74" s="1650"/>
      <c r="U74" s="1650"/>
      <c r="V74" s="1650"/>
      <c r="W74" s="1920"/>
      <c r="X74" s="1650"/>
      <c r="Y74" s="1650"/>
      <c r="Z74" s="828"/>
      <c r="AA74" s="1650"/>
      <c r="AB74" s="1650"/>
      <c r="AC74" s="1650"/>
      <c r="AD74" s="1650"/>
      <c r="AE74" s="1650"/>
      <c r="AF74" s="1916"/>
      <c r="AG74" s="906"/>
      <c r="AH74" s="906"/>
      <c r="AI74" s="906"/>
      <c r="AJ74" s="906"/>
      <c r="AK74" s="1925">
        <v>11</v>
      </c>
    </row>
    <row s="14730" customFormat="1" customHeight="1" ht="11.549999999999999">
      <c r="A75" s="1271"/>
      <c r="B75" s="1271"/>
      <c r="C75" s="1271"/>
      <c r="D75" s="1271"/>
      <c r="E75" s="1271"/>
      <c r="F75" s="1920"/>
      <c r="G75" s="1920"/>
      <c r="H75" s="635"/>
      <c r="N75" s="1650"/>
      <c r="P75" s="1650"/>
      <c r="Q75" s="1920"/>
      <c r="R75" s="1920"/>
      <c r="S75" s="1650"/>
      <c r="T75" s="1650"/>
      <c r="U75" s="1650"/>
      <c r="V75" s="1650"/>
      <c r="W75" s="1920"/>
      <c r="X75" s="1650"/>
      <c r="Y75" s="1650"/>
      <c r="Z75" s="828"/>
      <c r="AA75" s="1650"/>
      <c r="AB75" s="1650"/>
      <c r="AC75" s="1650"/>
      <c r="AD75" s="1650"/>
      <c r="AE75" s="1650"/>
      <c r="AF75" s="1916"/>
      <c r="AG75" s="906"/>
      <c r="AH75" s="906"/>
      <c r="AI75" s="906"/>
      <c r="AJ75" s="906"/>
      <c r="AK75" s="1925">
        <v>11</v>
      </c>
    </row>
    <row s="14730" customFormat="1" customHeight="1" ht="11.549999999999999">
      <c r="A76" s="1271"/>
      <c r="B76" s="1271"/>
      <c r="C76" s="1271"/>
      <c r="D76" s="1271"/>
      <c r="E76" s="1271"/>
      <c r="F76" s="1920"/>
      <c r="G76" s="1920"/>
      <c r="H76" s="635"/>
      <c r="N76" s="1650"/>
      <c r="P76" s="1650"/>
      <c r="Q76" s="1920"/>
      <c r="R76" s="1920"/>
      <c r="S76" s="1650"/>
      <c r="T76" s="1650"/>
      <c r="U76" s="1650"/>
      <c r="V76" s="1650"/>
      <c r="W76" s="1920"/>
      <c r="X76" s="1650"/>
      <c r="Y76" s="1650"/>
      <c r="Z76" s="828"/>
      <c r="AA76" s="1650"/>
      <c r="AB76" s="1650"/>
      <c r="AC76" s="1650"/>
      <c r="AD76" s="1650"/>
      <c r="AE76" s="1650"/>
      <c r="AF76" s="1916"/>
      <c r="AG76" s="906"/>
      <c r="AH76" s="906"/>
      <c r="AI76" s="906"/>
      <c r="AJ76" s="906"/>
      <c r="AK76" s="1925">
        <v>11</v>
      </c>
    </row>
    <row s="14730" customFormat="1" customHeight="1" ht="11.549999999999999">
      <c r="A77" s="1271"/>
      <c r="B77" s="1271"/>
      <c r="C77" s="1271"/>
      <c r="D77" s="1271"/>
      <c r="E77" s="1271"/>
      <c r="F77" s="1920"/>
      <c r="G77" s="1920"/>
      <c r="H77" s="635"/>
      <c r="N77" s="1650"/>
      <c r="P77" s="1650"/>
      <c r="Q77" s="1920"/>
      <c r="R77" s="1920"/>
      <c r="S77" s="1650"/>
      <c r="T77" s="1650"/>
      <c r="U77" s="1650"/>
      <c r="V77" s="1650"/>
      <c r="W77" s="1920"/>
      <c r="X77" s="1650"/>
      <c r="Y77" s="1650"/>
      <c r="Z77" s="828"/>
      <c r="AA77" s="1650"/>
      <c r="AB77" s="1650"/>
      <c r="AC77" s="1650"/>
      <c r="AD77" s="1650"/>
      <c r="AE77" s="1650"/>
      <c r="AF77" s="1916"/>
      <c r="AG77" s="906"/>
      <c r="AH77" s="906"/>
      <c r="AI77" s="906"/>
      <c r="AJ77" s="906"/>
      <c r="AK77" s="1925">
        <v>11</v>
      </c>
    </row>
    <row s="14730" customFormat="1" customHeight="1" ht="11.549999999999999">
      <c r="A78" s="1271"/>
      <c r="B78" s="1271"/>
      <c r="C78" s="1271"/>
      <c r="D78" s="1271"/>
      <c r="E78" s="1271"/>
      <c r="F78" s="1920"/>
      <c r="G78" s="1920"/>
      <c r="H78" s="635"/>
      <c r="N78" s="1650"/>
      <c r="P78" s="1650"/>
      <c r="Q78" s="1920"/>
      <c r="R78" s="1920"/>
      <c r="S78" s="1650"/>
      <c r="T78" s="1650"/>
      <c r="U78" s="1650"/>
      <c r="V78" s="1650"/>
      <c r="W78" s="1920"/>
      <c r="X78" s="1650"/>
      <c r="Y78" s="1650"/>
      <c r="Z78" s="828"/>
      <c r="AA78" s="1650"/>
      <c r="AB78" s="1650"/>
      <c r="AC78" s="1650"/>
      <c r="AD78" s="1650"/>
      <c r="AE78" s="1650"/>
      <c r="AF78" s="1916"/>
      <c r="AG78" s="906"/>
      <c r="AH78" s="906"/>
      <c r="AI78" s="906"/>
      <c r="AJ78" s="906"/>
      <c r="AK78" s="1925">
        <v>11</v>
      </c>
    </row>
    <row s="14730" customFormat="1" customHeight="1" ht="11.549999999999999">
      <c r="A79" s="1271"/>
      <c r="B79" s="1271"/>
      <c r="C79" s="1271"/>
      <c r="D79" s="1271"/>
      <c r="E79" s="1271"/>
      <c r="F79" s="1920"/>
      <c r="G79" s="1920"/>
      <c r="H79" s="635"/>
      <c r="N79" s="1650"/>
      <c r="P79" s="1650"/>
      <c r="Q79" s="1920"/>
      <c r="R79" s="1920"/>
      <c r="S79" s="1650"/>
      <c r="T79" s="1650"/>
      <c r="U79" s="1650"/>
      <c r="V79" s="1650"/>
      <c r="W79" s="1920"/>
      <c r="X79" s="1650"/>
      <c r="Y79" s="1650"/>
      <c r="Z79" s="828"/>
      <c r="AA79" s="1650"/>
      <c r="AB79" s="1650"/>
      <c r="AC79" s="1650"/>
      <c r="AD79" s="1650"/>
      <c r="AE79" s="1650"/>
      <c r="AF79" s="1916"/>
      <c r="AG79" s="906"/>
      <c r="AH79" s="906"/>
      <c r="AI79" s="906"/>
      <c r="AJ79" s="906"/>
      <c r="AK79" s="1925">
        <v>11</v>
      </c>
    </row>
    <row s="14730" customFormat="1" customHeight="1" ht="11.549999999999999">
      <c r="A80" s="1271"/>
      <c r="B80" s="1271"/>
      <c r="C80" s="1271"/>
      <c r="D80" s="1271"/>
      <c r="E80" s="1271"/>
      <c r="F80" s="1920"/>
      <c r="G80" s="1920"/>
      <c r="H80" s="635"/>
      <c r="N80" s="1650"/>
      <c r="P80" s="1650"/>
      <c r="Q80" s="1920"/>
      <c r="R80" s="1920"/>
      <c r="S80" s="1650"/>
      <c r="T80" s="1650"/>
      <c r="U80" s="1650"/>
      <c r="V80" s="1650"/>
      <c r="W80" s="1920"/>
      <c r="X80" s="1650"/>
      <c r="Y80" s="1650"/>
      <c r="Z80" s="828"/>
      <c r="AA80" s="1650"/>
      <c r="AB80" s="1650"/>
      <c r="AC80" s="1650"/>
      <c r="AD80" s="1650"/>
      <c r="AE80" s="1650"/>
      <c r="AF80" s="1916"/>
      <c r="AG80" s="906"/>
      <c r="AH80" s="906"/>
      <c r="AI80" s="906"/>
      <c r="AJ80" s="906"/>
      <c r="AK80" s="1925">
        <v>11</v>
      </c>
    </row>
    <row s="14730" customFormat="1" customHeight="1" ht="11.549999999999999">
      <c r="A81" s="1271"/>
      <c r="B81" s="1271"/>
      <c r="C81" s="1271"/>
      <c r="D81" s="1271"/>
      <c r="E81" s="1271"/>
      <c r="F81" s="1920"/>
      <c r="G81" s="1920"/>
      <c r="H81" s="635"/>
      <c r="N81" s="1650"/>
      <c r="P81" s="1650"/>
      <c r="Q81" s="1920"/>
      <c r="R81" s="1920"/>
      <c r="S81" s="1650"/>
      <c r="T81" s="1650"/>
      <c r="U81" s="1650"/>
      <c r="V81" s="1650"/>
      <c r="W81" s="1920"/>
      <c r="X81" s="1650"/>
      <c r="Y81" s="1650"/>
      <c r="Z81" s="828"/>
      <c r="AA81" s="1650"/>
      <c r="AB81" s="1650"/>
      <c r="AC81" s="1650"/>
      <c r="AD81" s="1650"/>
      <c r="AE81" s="1650"/>
      <c r="AF81" s="1916"/>
      <c r="AG81" s="906"/>
      <c r="AH81" s="906"/>
      <c r="AI81" s="906"/>
      <c r="AJ81" s="906"/>
      <c r="AK81" s="1925">
        <v>11</v>
      </c>
    </row>
    <row s="14730" customFormat="1" customHeight="1" ht="11.549999999999999">
      <c r="A82" s="1271"/>
      <c r="B82" s="1271"/>
      <c r="C82" s="1271"/>
      <c r="D82" s="1271"/>
      <c r="E82" s="1271"/>
      <c r="F82" s="1920"/>
      <c r="G82" s="1920"/>
      <c r="H82" s="635"/>
      <c r="N82" s="1650"/>
      <c r="P82" s="1650"/>
      <c r="Q82" s="1920"/>
      <c r="R82" s="1920"/>
      <c r="S82" s="1650"/>
      <c r="T82" s="1650"/>
      <c r="U82" s="1650"/>
      <c r="V82" s="1650"/>
      <c r="W82" s="1920"/>
      <c r="X82" s="1650"/>
      <c r="Y82" s="1650"/>
      <c r="Z82" s="828"/>
      <c r="AA82" s="1650"/>
      <c r="AB82" s="1650"/>
      <c r="AC82" s="1650"/>
      <c r="AD82" s="1650"/>
      <c r="AE82" s="1650"/>
      <c r="AF82" s="1916"/>
      <c r="AG82" s="906"/>
      <c r="AH82" s="906"/>
      <c r="AI82" s="906"/>
      <c r="AJ82" s="906"/>
      <c r="AK82" s="1925">
        <v>11</v>
      </c>
    </row>
    <row s="14730" customFormat="1" customHeight="1" ht="11.549999999999999">
      <c r="A83" s="1271"/>
      <c r="B83" s="1271"/>
      <c r="C83" s="1271"/>
      <c r="D83" s="1271"/>
      <c r="E83" s="1271"/>
      <c r="F83" s="1920"/>
      <c r="G83" s="1920"/>
      <c r="H83" s="635"/>
      <c r="N83" s="1650"/>
      <c r="P83" s="1650"/>
      <c r="Q83" s="1920"/>
      <c r="R83" s="1920"/>
      <c r="S83" s="1650"/>
      <c r="T83" s="1650"/>
      <c r="U83" s="1650"/>
      <c r="V83" s="1650"/>
      <c r="W83" s="1920"/>
      <c r="X83" s="1650"/>
      <c r="Y83" s="1650"/>
      <c r="Z83" s="828"/>
      <c r="AA83" s="1650"/>
      <c r="AB83" s="1650"/>
      <c r="AC83" s="1650"/>
      <c r="AD83" s="1650"/>
      <c r="AE83" s="1650"/>
      <c r="AF83" s="1916"/>
      <c r="AG83" s="906"/>
      <c r="AH83" s="906"/>
      <c r="AI83" s="906"/>
      <c r="AJ83" s="906"/>
      <c r="AK83" s="1925">
        <v>11</v>
      </c>
    </row>
    <row s="14730" customFormat="1" customHeight="1" ht="11.549999999999999">
      <c r="A84" s="1271"/>
      <c r="B84" s="1271"/>
      <c r="C84" s="1271"/>
      <c r="D84" s="1271"/>
      <c r="E84" s="1271"/>
      <c r="F84" s="1920"/>
      <c r="G84" s="1920"/>
      <c r="H84" s="635"/>
      <c r="N84" s="1650"/>
      <c r="P84" s="1650"/>
      <c r="Q84" s="1920"/>
      <c r="R84" s="1920"/>
      <c r="S84" s="1650"/>
      <c r="T84" s="1650"/>
      <c r="U84" s="1650"/>
      <c r="V84" s="1650"/>
      <c r="W84" s="1920"/>
      <c r="X84" s="1650"/>
      <c r="Y84" s="1650"/>
      <c r="Z84" s="828"/>
      <c r="AA84" s="1650"/>
      <c r="AB84" s="1650"/>
      <c r="AC84" s="1650"/>
      <c r="AD84" s="1650"/>
      <c r="AE84" s="1650"/>
      <c r="AF84" s="1916"/>
      <c r="AG84" s="906"/>
      <c r="AH84" s="906"/>
      <c r="AI84" s="906"/>
      <c r="AJ84" s="906"/>
      <c r="AK84" s="1925">
        <v>11</v>
      </c>
    </row>
    <row s="14730" customFormat="1" customHeight="1" ht="11.549999999999999">
      <c r="A85" s="1271"/>
      <c r="B85" s="1271"/>
      <c r="C85" s="1271"/>
      <c r="D85" s="1271"/>
      <c r="E85" s="1271"/>
      <c r="F85" s="1920"/>
      <c r="G85" s="1920"/>
      <c r="H85" s="635"/>
      <c r="N85" s="1650"/>
      <c r="P85" s="1650"/>
      <c r="Q85" s="1920"/>
      <c r="R85" s="1920"/>
      <c r="S85" s="1650"/>
      <c r="T85" s="1650"/>
      <c r="U85" s="1650"/>
      <c r="V85" s="1650"/>
      <c r="W85" s="1920"/>
      <c r="X85" s="1650"/>
      <c r="Y85" s="1650"/>
      <c r="Z85" s="828"/>
      <c r="AA85" s="1650"/>
      <c r="AB85" s="1650"/>
      <c r="AC85" s="1650"/>
      <c r="AD85" s="1650"/>
      <c r="AE85" s="1650"/>
      <c r="AF85" s="1916"/>
      <c r="AG85" s="906"/>
      <c r="AH85" s="906"/>
      <c r="AI85" s="906"/>
      <c r="AJ85" s="906"/>
      <c r="AK85" s="1925">
        <v>11</v>
      </c>
    </row>
    <row s="14730" customFormat="1" customHeight="1" ht="11.549999999999999">
      <c r="A86" s="1271"/>
      <c r="B86" s="1271"/>
      <c r="C86" s="1271"/>
      <c r="D86" s="1271"/>
      <c r="E86" s="1271"/>
      <c r="F86" s="1920"/>
      <c r="G86" s="1920"/>
      <c r="H86" s="635"/>
      <c r="N86" s="1650"/>
      <c r="P86" s="1650"/>
      <c r="Q86" s="1920"/>
      <c r="R86" s="1920"/>
      <c r="S86" s="1650"/>
      <c r="T86" s="1650"/>
      <c r="U86" s="1650"/>
      <c r="V86" s="1650"/>
      <c r="W86" s="1920"/>
      <c r="X86" s="1650"/>
      <c r="Y86" s="1650"/>
      <c r="Z86" s="828"/>
      <c r="AA86" s="1650"/>
      <c r="AB86" s="1650"/>
      <c r="AC86" s="1650"/>
      <c r="AD86" s="1650"/>
      <c r="AE86" s="1650"/>
      <c r="AF86" s="1916"/>
      <c r="AG86" s="906"/>
      <c r="AH86" s="906"/>
      <c r="AI86" s="906"/>
      <c r="AJ86" s="906"/>
      <c r="AK86" s="1925">
        <v>11</v>
      </c>
    </row>
    <row s="14730" customFormat="1" customHeight="1" ht="11.549999999999999">
      <c r="A87" s="1271"/>
      <c r="B87" s="1271"/>
      <c r="C87" s="1271"/>
      <c r="D87" s="1271"/>
      <c r="E87" s="1271"/>
      <c r="F87" s="1920"/>
      <c r="G87" s="1920"/>
      <c r="H87" s="635"/>
      <c r="N87" s="1650"/>
      <c r="P87" s="1650"/>
      <c r="Q87" s="1920"/>
      <c r="R87" s="1920"/>
      <c r="S87" s="1650"/>
      <c r="T87" s="1650"/>
      <c r="U87" s="1650"/>
      <c r="V87" s="1650"/>
      <c r="W87" s="1920"/>
      <c r="X87" s="1650"/>
      <c r="Y87" s="1650"/>
      <c r="Z87" s="828"/>
      <c r="AA87" s="1650"/>
      <c r="AB87" s="1650"/>
      <c r="AC87" s="1650"/>
      <c r="AD87" s="1650"/>
      <c r="AE87" s="1650"/>
      <c r="AF87" s="1916"/>
      <c r="AG87" s="906"/>
      <c r="AH87" s="906"/>
      <c r="AI87" s="906"/>
      <c r="AJ87" s="906"/>
      <c r="AK87" s="1925">
        <v>11</v>
      </c>
    </row>
    <row s="14730" customFormat="1" customHeight="1" ht="11.549999999999999">
      <c r="A88" s="1271"/>
      <c r="B88" s="1271"/>
      <c r="C88" s="1271"/>
      <c r="D88" s="1271"/>
      <c r="E88" s="1271"/>
      <c r="F88" s="1920"/>
      <c r="G88" s="1920"/>
      <c r="H88" s="635"/>
      <c r="N88" s="1650"/>
      <c r="P88" s="1650"/>
      <c r="Q88" s="1920"/>
      <c r="R88" s="1920"/>
      <c r="S88" s="1650"/>
      <c r="T88" s="1650"/>
      <c r="U88" s="1650"/>
      <c r="V88" s="1650"/>
      <c r="W88" s="1920"/>
      <c r="X88" s="1650"/>
      <c r="Y88" s="1650"/>
      <c r="Z88" s="828"/>
      <c r="AA88" s="1650"/>
      <c r="AB88" s="1650"/>
      <c r="AC88" s="1650"/>
      <c r="AD88" s="1650"/>
      <c r="AE88" s="1650"/>
      <c r="AF88" s="1916"/>
      <c r="AG88" s="906"/>
      <c r="AH88" s="906"/>
      <c r="AI88" s="906"/>
      <c r="AJ88" s="906"/>
      <c r="AK88" s="1925">
        <v>11</v>
      </c>
    </row>
    <row s="14730" customFormat="1" customHeight="1" ht="11.549999999999999">
      <c r="A89" s="1271"/>
      <c r="B89" s="1271"/>
      <c r="C89" s="1271"/>
      <c r="D89" s="1271"/>
      <c r="E89" s="1271"/>
      <c r="F89" s="1920"/>
      <c r="G89" s="1920"/>
      <c r="H89" s="635"/>
      <c r="N89" s="1650"/>
      <c r="P89" s="1650"/>
      <c r="Q89" s="1920"/>
      <c r="R89" s="1920"/>
      <c r="S89" s="1650"/>
      <c r="T89" s="1650"/>
      <c r="U89" s="1650"/>
      <c r="V89" s="1650"/>
      <c r="W89" s="1920"/>
      <c r="X89" s="1650"/>
      <c r="Y89" s="1650"/>
      <c r="Z89" s="828"/>
      <c r="AA89" s="1650"/>
      <c r="AB89" s="1650"/>
      <c r="AC89" s="1650"/>
      <c r="AD89" s="1650"/>
      <c r="AE89" s="1650"/>
      <c r="AF89" s="1916"/>
      <c r="AG89" s="906"/>
      <c r="AH89" s="906"/>
      <c r="AI89" s="906"/>
      <c r="AJ89" s="906"/>
      <c r="AK89" s="1925">
        <v>11</v>
      </c>
    </row>
    <row s="14730" customFormat="1" customHeight="1" ht="11.549999999999999">
      <c r="A90" s="1271"/>
      <c r="B90" s="1271"/>
      <c r="C90" s="1271"/>
      <c r="D90" s="1271"/>
      <c r="E90" s="1271"/>
      <c r="F90" s="1920"/>
      <c r="G90" s="1920"/>
      <c r="H90" s="635"/>
      <c r="N90" s="1650"/>
      <c r="P90" s="1650"/>
      <c r="Q90" s="1920"/>
      <c r="R90" s="1920"/>
      <c r="S90" s="1650"/>
      <c r="T90" s="1650"/>
      <c r="U90" s="1650"/>
      <c r="V90" s="1650"/>
      <c r="W90" s="1920"/>
      <c r="X90" s="1650"/>
      <c r="Y90" s="1650"/>
      <c r="Z90" s="828"/>
      <c r="AA90" s="1650"/>
      <c r="AB90" s="1650"/>
      <c r="AC90" s="1650"/>
      <c r="AD90" s="1650"/>
      <c r="AE90" s="1650"/>
      <c r="AF90" s="1916"/>
      <c r="AG90" s="906"/>
      <c r="AH90" s="906"/>
      <c r="AI90" s="906"/>
      <c r="AJ90" s="906"/>
      <c r="AK90" s="1925">
        <v>11</v>
      </c>
    </row>
    <row s="14730" customFormat="1" customHeight="1" ht="11.549999999999999">
      <c r="A91" s="1271"/>
      <c r="B91" s="1271"/>
      <c r="C91" s="1271"/>
      <c r="D91" s="1271"/>
      <c r="E91" s="1271"/>
      <c r="F91" s="1920"/>
      <c r="G91" s="1920"/>
      <c r="H91" s="635"/>
      <c r="N91" s="1650"/>
      <c r="P91" s="1650"/>
      <c r="Q91" s="1920"/>
      <c r="R91" s="1920"/>
      <c r="S91" s="1650"/>
      <c r="T91" s="1650"/>
      <c r="U91" s="1650"/>
      <c r="V91" s="1650"/>
      <c r="W91" s="1920"/>
      <c r="X91" s="1650"/>
      <c r="Y91" s="1650"/>
      <c r="Z91" s="828"/>
      <c r="AA91" s="1650"/>
      <c r="AB91" s="1650"/>
      <c r="AC91" s="1650"/>
      <c r="AD91" s="1650"/>
      <c r="AE91" s="1650"/>
      <c r="AF91" s="1916"/>
      <c r="AG91" s="906"/>
      <c r="AH91" s="906"/>
      <c r="AI91" s="906"/>
      <c r="AJ91" s="906"/>
      <c r="AK91" s="1925">
        <v>11</v>
      </c>
    </row>
    <row s="14730" customFormat="1" customHeight="1" ht="11.549999999999999">
      <c r="A92" s="1271"/>
      <c r="B92" s="1271"/>
      <c r="C92" s="1271"/>
      <c r="D92" s="1271"/>
      <c r="E92" s="1271"/>
      <c r="F92" s="1920"/>
      <c r="G92" s="1920"/>
      <c r="H92" s="635"/>
      <c r="N92" s="1650"/>
      <c r="P92" s="1650"/>
      <c r="Q92" s="1920"/>
      <c r="R92" s="1920"/>
      <c r="S92" s="1650"/>
      <c r="T92" s="1650"/>
      <c r="U92" s="1650"/>
      <c r="V92" s="1650"/>
      <c r="W92" s="1920"/>
      <c r="X92" s="1650"/>
      <c r="Y92" s="1650"/>
      <c r="Z92" s="828"/>
      <c r="AA92" s="1650"/>
      <c r="AB92" s="1650"/>
      <c r="AC92" s="1650"/>
      <c r="AD92" s="1650"/>
      <c r="AE92" s="1650"/>
      <c r="AF92" s="1916"/>
      <c r="AG92" s="906"/>
      <c r="AH92" s="906"/>
      <c r="AI92" s="906"/>
      <c r="AJ92" s="906"/>
      <c r="AK92" s="1925">
        <v>11</v>
      </c>
    </row>
    <row s="14730" customFormat="1" customHeight="1" ht="11.549999999999999">
      <c r="A93" s="1271"/>
      <c r="B93" s="1271"/>
      <c r="C93" s="1271"/>
      <c r="D93" s="1271"/>
      <c r="E93" s="1271"/>
      <c r="F93" s="1920"/>
      <c r="G93" s="1920"/>
      <c r="H93" s="635"/>
      <c r="N93" s="1650"/>
      <c r="P93" s="1650"/>
      <c r="Q93" s="1920"/>
      <c r="R93" s="1920"/>
      <c r="S93" s="1650"/>
      <c r="T93" s="1650"/>
      <c r="U93" s="1650"/>
      <c r="V93" s="1650"/>
      <c r="W93" s="1920"/>
      <c r="X93" s="1650"/>
      <c r="Y93" s="1650"/>
      <c r="Z93" s="828"/>
      <c r="AA93" s="1650"/>
      <c r="AB93" s="1650"/>
      <c r="AC93" s="1650"/>
      <c r="AD93" s="1650"/>
      <c r="AE93" s="1650"/>
      <c r="AF93" s="1916"/>
      <c r="AG93" s="906"/>
      <c r="AH93" s="906"/>
      <c r="AI93" s="906"/>
      <c r="AJ93" s="906"/>
      <c r="AK93" s="1925">
        <v>11</v>
      </c>
    </row>
    <row s="14730" customFormat="1" customHeight="1" ht="11.549999999999999">
      <c r="A94" s="1271"/>
      <c r="B94" s="1271"/>
      <c r="C94" s="1271"/>
      <c r="D94" s="1271"/>
      <c r="E94" s="1271"/>
      <c r="F94" s="1920"/>
      <c r="G94" s="1920"/>
      <c r="H94" s="635"/>
      <c r="N94" s="1650"/>
      <c r="P94" s="1650"/>
      <c r="Q94" s="1920"/>
      <c r="R94" s="1920"/>
      <c r="S94" s="1650"/>
      <c r="T94" s="1650"/>
      <c r="U94" s="1650"/>
      <c r="V94" s="1650"/>
      <c r="W94" s="1920"/>
      <c r="X94" s="1650"/>
      <c r="Y94" s="1650"/>
      <c r="Z94" s="828"/>
      <c r="AA94" s="1650"/>
      <c r="AB94" s="1650"/>
      <c r="AC94" s="1650"/>
      <c r="AD94" s="1650"/>
      <c r="AE94" s="1650"/>
      <c r="AF94" s="1916"/>
      <c r="AG94" s="906"/>
      <c r="AH94" s="906"/>
      <c r="AI94" s="906"/>
      <c r="AJ94" s="906"/>
      <c r="AK94" s="1925">
        <v>11</v>
      </c>
    </row>
    <row s="14730" customFormat="1" customHeight="1" ht="11.549999999999999">
      <c r="A95" s="1271"/>
      <c r="B95" s="1271"/>
      <c r="C95" s="1271"/>
      <c r="D95" s="1271"/>
      <c r="E95" s="1271"/>
      <c r="F95" s="1920"/>
      <c r="G95" s="1920"/>
      <c r="H95" s="635"/>
      <c r="N95" s="1650"/>
      <c r="P95" s="1650"/>
      <c r="Q95" s="1920"/>
      <c r="R95" s="1920"/>
      <c r="S95" s="1650"/>
      <c r="T95" s="1650"/>
      <c r="U95" s="1650"/>
      <c r="V95" s="1650"/>
      <c r="W95" s="1920"/>
      <c r="X95" s="1650"/>
      <c r="Y95" s="1650"/>
      <c r="Z95" s="828"/>
      <c r="AA95" s="1650"/>
      <c r="AB95" s="1650"/>
      <c r="AC95" s="1650"/>
      <c r="AD95" s="1650"/>
      <c r="AE95" s="1650"/>
      <c r="AF95" s="1916"/>
      <c r="AG95" s="906"/>
      <c r="AH95" s="906"/>
      <c r="AI95" s="906"/>
      <c r="AJ95" s="906"/>
      <c r="AK95" s="1925">
        <v>11</v>
      </c>
    </row>
    <row s="14730" customFormat="1" customHeight="1" ht="11.549999999999999">
      <c r="A96" s="1271"/>
      <c r="B96" s="1271"/>
      <c r="C96" s="1271"/>
      <c r="D96" s="1271"/>
      <c r="E96" s="1271"/>
      <c r="F96" s="1920"/>
      <c r="G96" s="1920"/>
      <c r="H96" s="635"/>
      <c r="N96" s="1650"/>
      <c r="P96" s="1650"/>
      <c r="Q96" s="1920"/>
      <c r="R96" s="1920"/>
      <c r="S96" s="1650"/>
      <c r="T96" s="1650"/>
      <c r="U96" s="1650"/>
      <c r="V96" s="1650"/>
      <c r="W96" s="1920"/>
      <c r="X96" s="1650"/>
      <c r="Y96" s="1650"/>
      <c r="Z96" s="828"/>
      <c r="AA96" s="1650"/>
      <c r="AB96" s="1650"/>
      <c r="AC96" s="1650"/>
      <c r="AD96" s="1650"/>
      <c r="AE96" s="1650"/>
      <c r="AF96" s="1916"/>
      <c r="AG96" s="906"/>
      <c r="AH96" s="906"/>
      <c r="AI96" s="906"/>
      <c r="AJ96" s="906"/>
      <c r="AK96" s="1925">
        <v>11</v>
      </c>
    </row>
    <row s="14730" customFormat="1" customHeight="1" ht="11.549999999999999">
      <c r="A97" s="1271"/>
      <c r="B97" s="1271"/>
      <c r="C97" s="1271"/>
      <c r="D97" s="1271"/>
      <c r="E97" s="1271"/>
      <c r="F97" s="1920"/>
      <c r="G97" s="1920"/>
      <c r="H97" s="635"/>
      <c r="N97" s="1650"/>
      <c r="P97" s="1650"/>
      <c r="Q97" s="1920"/>
      <c r="R97" s="1920"/>
      <c r="S97" s="1650"/>
      <c r="T97" s="1650"/>
      <c r="U97" s="1650"/>
      <c r="V97" s="1650"/>
      <c r="W97" s="1920"/>
      <c r="X97" s="1650"/>
      <c r="Y97" s="1650"/>
      <c r="Z97" s="828"/>
      <c r="AA97" s="1650"/>
      <c r="AB97" s="1650"/>
      <c r="AC97" s="1650"/>
      <c r="AD97" s="1650"/>
      <c r="AE97" s="1650"/>
      <c r="AF97" s="1916"/>
      <c r="AG97" s="906"/>
      <c r="AH97" s="906"/>
      <c r="AI97" s="906"/>
      <c r="AJ97" s="906"/>
      <c r="AK97" s="1925">
        <v>11</v>
      </c>
    </row>
    <row s="14730" customFormat="1" customHeight="1" ht="11.549999999999999">
      <c r="A98" s="1271"/>
      <c r="B98" s="1271"/>
      <c r="C98" s="1271"/>
      <c r="D98" s="1271"/>
      <c r="E98" s="1271"/>
      <c r="F98" s="1920"/>
      <c r="G98" s="1920"/>
      <c r="H98" s="635"/>
      <c r="N98" s="1650"/>
      <c r="P98" s="1650"/>
      <c r="Q98" s="1920"/>
      <c r="R98" s="1920"/>
      <c r="S98" s="1650"/>
      <c r="T98" s="1650"/>
      <c r="U98" s="1650"/>
      <c r="V98" s="1650"/>
      <c r="W98" s="1920"/>
      <c r="X98" s="1650"/>
      <c r="Y98" s="1650"/>
      <c r="Z98" s="828"/>
      <c r="AA98" s="1650"/>
      <c r="AB98" s="1650"/>
      <c r="AC98" s="1650"/>
      <c r="AD98" s="1650"/>
      <c r="AE98" s="1650"/>
      <c r="AF98" s="1916"/>
      <c r="AG98" s="906"/>
      <c r="AH98" s="906"/>
      <c r="AI98" s="906"/>
      <c r="AJ98" s="906"/>
      <c r="AK98" s="1925">
        <v>11</v>
      </c>
    </row>
    <row s="14730" customFormat="1" customHeight="1" ht="11.549999999999999">
      <c r="A99" s="1271"/>
      <c r="B99" s="1271"/>
      <c r="C99" s="1271"/>
      <c r="D99" s="1271"/>
      <c r="E99" s="1271"/>
      <c r="F99" s="1920"/>
      <c r="G99" s="1920"/>
      <c r="H99" s="635"/>
      <c r="N99" s="1650"/>
      <c r="P99" s="1650"/>
      <c r="Q99" s="1920"/>
      <c r="R99" s="1920"/>
      <c r="S99" s="1650"/>
      <c r="T99" s="1650"/>
      <c r="U99" s="1650"/>
      <c r="V99" s="1650"/>
      <c r="W99" s="1920"/>
      <c r="X99" s="1650"/>
      <c r="Y99" s="1650"/>
      <c r="Z99" s="828"/>
      <c r="AA99" s="1650"/>
      <c r="AB99" s="1650"/>
      <c r="AC99" s="1650"/>
      <c r="AD99" s="1650"/>
      <c r="AE99" s="1650"/>
      <c r="AF99" s="1916"/>
      <c r="AG99" s="906"/>
      <c r="AH99" s="906"/>
      <c r="AI99" s="906"/>
      <c r="AJ99" s="906"/>
      <c r="AK99" s="1925">
        <v>11</v>
      </c>
    </row>
    <row s="14730" customFormat="1" customHeight="1" ht="11.549999999999999">
      <c r="A100" s="1271"/>
      <c r="B100" s="1271"/>
      <c r="C100" s="1271"/>
      <c r="D100" s="1271"/>
      <c r="E100" s="1271"/>
      <c r="F100" s="1920"/>
      <c r="G100" s="1920"/>
      <c r="H100" s="635"/>
      <c r="N100" s="1650"/>
      <c r="P100" s="1650"/>
      <c r="Q100" s="1920"/>
      <c r="R100" s="1920"/>
      <c r="S100" s="1650"/>
      <c r="T100" s="1650"/>
      <c r="U100" s="1650"/>
      <c r="V100" s="1650"/>
      <c r="W100" s="1920"/>
      <c r="X100" s="1650"/>
      <c r="Y100" s="1650"/>
      <c r="Z100" s="828"/>
      <c r="AA100" s="1650"/>
      <c r="AB100" s="1650"/>
      <c r="AC100" s="1650"/>
      <c r="AD100" s="1650"/>
      <c r="AE100" s="1650"/>
      <c r="AF100" s="1916"/>
      <c r="AG100" s="906"/>
      <c r="AH100" s="906"/>
      <c r="AI100" s="906"/>
      <c r="AJ100" s="906"/>
      <c r="AK100" s="1925">
        <v>11</v>
      </c>
    </row>
    <row s="14730" customFormat="1" customHeight="1" ht="11.549999999999999">
      <c r="A101" s="1271"/>
      <c r="B101" s="1271"/>
      <c r="C101" s="1271"/>
      <c r="D101" s="1271"/>
      <c r="E101" s="1271"/>
      <c r="F101" s="1920"/>
      <c r="G101" s="1920"/>
      <c r="H101" s="635"/>
      <c r="N101" s="1650"/>
      <c r="P101" s="1650"/>
      <c r="Q101" s="1920"/>
      <c r="R101" s="1920"/>
      <c r="S101" s="1650"/>
      <c r="T101" s="1650"/>
      <c r="U101" s="1650"/>
      <c r="V101" s="1650"/>
      <c r="W101" s="1920"/>
      <c r="X101" s="1650"/>
      <c r="Y101" s="1650"/>
      <c r="Z101" s="828"/>
      <c r="AA101" s="1650"/>
      <c r="AB101" s="1650"/>
      <c r="AC101" s="1650"/>
      <c r="AD101" s="1650"/>
      <c r="AE101" s="1650"/>
      <c r="AF101" s="1916"/>
      <c r="AG101" s="906"/>
      <c r="AH101" s="906"/>
      <c r="AI101" s="906"/>
      <c r="AJ101" s="906"/>
      <c r="AK101" s="1925">
        <v>11</v>
      </c>
    </row>
    <row s="14730" customFormat="1" customHeight="1" ht="11.549999999999999">
      <c r="A102" s="1271"/>
      <c r="B102" s="1271"/>
      <c r="C102" s="1271"/>
      <c r="D102" s="1271"/>
      <c r="E102" s="1271"/>
      <c r="F102" s="1920"/>
      <c r="G102" s="1920"/>
      <c r="H102" s="635"/>
      <c r="N102" s="1650"/>
      <c r="P102" s="1650"/>
      <c r="Q102" s="1920"/>
      <c r="R102" s="1920"/>
      <c r="S102" s="1650"/>
      <c r="T102" s="1650"/>
      <c r="U102" s="1650"/>
      <c r="V102" s="1650"/>
      <c r="W102" s="1920"/>
      <c r="X102" s="1650"/>
      <c r="Y102" s="1650"/>
      <c r="Z102" s="828"/>
      <c r="AA102" s="1650"/>
      <c r="AB102" s="1650"/>
      <c r="AC102" s="1650"/>
      <c r="AD102" s="1650"/>
      <c r="AE102" s="1650"/>
      <c r="AF102" s="1916"/>
      <c r="AG102" s="906"/>
      <c r="AH102" s="906"/>
      <c r="AI102" s="906"/>
      <c r="AJ102" s="906"/>
      <c r="AK102" s="1925">
        <v>11</v>
      </c>
    </row>
    <row s="14730" customFormat="1" customHeight="1" ht="11.549999999999999">
      <c r="A103" s="1271"/>
      <c r="B103" s="1271"/>
      <c r="C103" s="1271"/>
      <c r="D103" s="1271"/>
      <c r="E103" s="1271"/>
      <c r="F103" s="1920"/>
      <c r="G103" s="1920"/>
      <c r="H103" s="635"/>
      <c r="N103" s="1650"/>
      <c r="P103" s="1650"/>
      <c r="Q103" s="1920"/>
      <c r="R103" s="1920"/>
      <c r="S103" s="1650"/>
      <c r="T103" s="1650"/>
      <c r="U103" s="1650"/>
      <c r="V103" s="1650"/>
      <c r="W103" s="1920"/>
      <c r="X103" s="1650"/>
      <c r="Y103" s="1650"/>
      <c r="Z103" s="828"/>
      <c r="AA103" s="1650"/>
      <c r="AB103" s="1650"/>
      <c r="AC103" s="1650"/>
      <c r="AD103" s="1650"/>
      <c r="AE103" s="1650"/>
      <c r="AF103" s="1916"/>
      <c r="AG103" s="906"/>
      <c r="AH103" s="906"/>
      <c r="AI103" s="906"/>
      <c r="AJ103" s="906"/>
      <c r="AK103" s="1925">
        <v>11</v>
      </c>
    </row>
    <row s="14730" customFormat="1" customHeight="1" ht="11.549999999999999">
      <c r="A104" s="1271"/>
      <c r="B104" s="1271"/>
      <c r="C104" s="1271"/>
      <c r="D104" s="1271"/>
      <c r="E104" s="1271"/>
      <c r="F104" s="1920"/>
      <c r="G104" s="1920"/>
      <c r="H104" s="635"/>
      <c r="N104" s="1650"/>
      <c r="P104" s="1650"/>
      <c r="Q104" s="1920"/>
      <c r="R104" s="1920"/>
      <c r="S104" s="1650"/>
      <c r="T104" s="1650"/>
      <c r="U104" s="1650"/>
      <c r="V104" s="1650"/>
      <c r="W104" s="1920"/>
      <c r="X104" s="1650"/>
      <c r="Y104" s="1650"/>
      <c r="Z104" s="828"/>
      <c r="AA104" s="1650"/>
      <c r="AB104" s="1650"/>
      <c r="AC104" s="1650"/>
      <c r="AD104" s="1650"/>
      <c r="AE104" s="1650"/>
      <c r="AF104" s="1916"/>
      <c r="AG104" s="906"/>
      <c r="AH104" s="906"/>
      <c r="AI104" s="906"/>
      <c r="AJ104" s="906"/>
      <c r="AK104" s="1925">
        <v>11</v>
      </c>
    </row>
    <row s="14730" customFormat="1" customHeight="1" ht="11.549999999999999">
      <c r="A105" s="1271"/>
      <c r="B105" s="1271"/>
      <c r="C105" s="1271"/>
      <c r="D105" s="1271"/>
      <c r="E105" s="1271"/>
      <c r="F105" s="1920"/>
      <c r="G105" s="1920"/>
      <c r="H105" s="635"/>
      <c r="N105" s="1650"/>
      <c r="P105" s="1650"/>
      <c r="Q105" s="1920"/>
      <c r="R105" s="1920"/>
      <c r="S105" s="1650"/>
      <c r="T105" s="1650"/>
      <c r="U105" s="1650"/>
      <c r="V105" s="1650"/>
      <c r="W105" s="1920"/>
      <c r="X105" s="1650"/>
      <c r="Y105" s="1650"/>
      <c r="Z105" s="828"/>
      <c r="AA105" s="1650"/>
      <c r="AB105" s="1650"/>
      <c r="AC105" s="1650"/>
      <c r="AD105" s="1650"/>
      <c r="AE105" s="1650"/>
      <c r="AF105" s="1916"/>
      <c r="AG105" s="906"/>
      <c r="AH105" s="906"/>
      <c r="AI105" s="906"/>
      <c r="AJ105" s="906"/>
      <c r="AK105" s="1925">
        <v>11</v>
      </c>
    </row>
    <row s="14730" customFormat="1" customHeight="1" ht="11.549999999999999">
      <c r="A106" s="1271"/>
      <c r="B106" s="1271"/>
      <c r="C106" s="1271"/>
      <c r="D106" s="1271"/>
      <c r="E106" s="1271"/>
      <c r="F106" s="1920"/>
      <c r="G106" s="1920"/>
      <c r="H106" s="635"/>
      <c r="N106" s="1650"/>
      <c r="P106" s="1650"/>
      <c r="Q106" s="1920"/>
      <c r="R106" s="1920"/>
      <c r="S106" s="1650"/>
      <c r="T106" s="1650"/>
      <c r="U106" s="1650"/>
      <c r="V106" s="1650"/>
      <c r="W106" s="1920"/>
      <c r="X106" s="1650"/>
      <c r="Y106" s="1650"/>
      <c r="Z106" s="828"/>
      <c r="AA106" s="1650"/>
      <c r="AB106" s="1650"/>
      <c r="AC106" s="1650"/>
      <c r="AD106" s="1650"/>
      <c r="AE106" s="1650"/>
      <c r="AF106" s="1916"/>
      <c r="AG106" s="906"/>
      <c r="AH106" s="906"/>
      <c r="AI106" s="906"/>
      <c r="AJ106" s="906"/>
      <c r="AK106" s="1925">
        <v>11</v>
      </c>
    </row>
    <row s="14730" customFormat="1" customHeight="1" ht="11.549999999999999">
      <c r="A107" s="1271"/>
      <c r="B107" s="1271"/>
      <c r="C107" s="1271"/>
      <c r="D107" s="1271"/>
      <c r="E107" s="1271"/>
      <c r="F107" s="1920"/>
      <c r="G107" s="1920"/>
      <c r="H107" s="635"/>
      <c r="N107" s="1650"/>
      <c r="P107" s="1650"/>
      <c r="Q107" s="1920"/>
      <c r="R107" s="1920"/>
      <c r="S107" s="1650"/>
      <c r="T107" s="1650"/>
      <c r="U107" s="1650"/>
      <c r="V107" s="1650"/>
      <c r="W107" s="1920"/>
      <c r="X107" s="1650"/>
      <c r="Y107" s="1650"/>
      <c r="Z107" s="828"/>
      <c r="AA107" s="1650"/>
      <c r="AB107" s="1650"/>
      <c r="AC107" s="1650"/>
      <c r="AD107" s="1650"/>
      <c r="AE107" s="1650"/>
      <c r="AF107" s="1916"/>
      <c r="AG107" s="906"/>
      <c r="AH107" s="906"/>
      <c r="AI107" s="906"/>
      <c r="AJ107" s="906"/>
      <c r="AK107" s="1925">
        <v>11</v>
      </c>
    </row>
    <row s="14730" customFormat="1" customHeight="1" ht="11.549999999999999">
      <c r="A108" s="1271"/>
      <c r="B108" s="1271"/>
      <c r="C108" s="1271"/>
      <c r="D108" s="1271"/>
      <c r="E108" s="1271"/>
      <c r="F108" s="1920"/>
      <c r="G108" s="1920"/>
      <c r="H108" s="635"/>
      <c r="N108" s="1650"/>
      <c r="P108" s="1650"/>
      <c r="Q108" s="1920"/>
      <c r="R108" s="1920"/>
      <c r="S108" s="1650"/>
      <c r="T108" s="1650"/>
      <c r="U108" s="1650"/>
      <c r="V108" s="1650"/>
      <c r="W108" s="1920"/>
      <c r="X108" s="1650"/>
      <c r="Y108" s="1650"/>
      <c r="Z108" s="828"/>
      <c r="AA108" s="1650"/>
      <c r="AB108" s="1650"/>
      <c r="AC108" s="1650"/>
      <c r="AD108" s="1650"/>
      <c r="AE108" s="1650"/>
      <c r="AF108" s="1916"/>
      <c r="AG108" s="906"/>
      <c r="AH108" s="906"/>
      <c r="AI108" s="906"/>
      <c r="AJ108" s="906"/>
      <c r="AK108" s="1925">
        <v>11</v>
      </c>
    </row>
    <row s="14730" customFormat="1" customHeight="1" ht="11.549999999999999">
      <c r="A109" s="1271"/>
      <c r="B109" s="1271"/>
      <c r="C109" s="1271"/>
      <c r="D109" s="1271"/>
      <c r="E109" s="1271"/>
      <c r="F109" s="1920"/>
      <c r="G109" s="1920"/>
      <c r="H109" s="635"/>
      <c r="N109" s="1650"/>
      <c r="P109" s="1650"/>
      <c r="Q109" s="1920"/>
      <c r="R109" s="1920"/>
      <c r="S109" s="1650"/>
      <c r="T109" s="1650"/>
      <c r="U109" s="1650"/>
      <c r="V109" s="1650"/>
      <c r="W109" s="1920"/>
      <c r="X109" s="1650"/>
      <c r="Y109" s="1650"/>
      <c r="Z109" s="828"/>
      <c r="AA109" s="1650"/>
      <c r="AB109" s="1650"/>
      <c r="AC109" s="1650"/>
      <c r="AD109" s="1650"/>
      <c r="AE109" s="1650"/>
      <c r="AF109" s="1916"/>
      <c r="AG109" s="906"/>
      <c r="AH109" s="906"/>
      <c r="AI109" s="906"/>
      <c r="AJ109" s="906"/>
      <c r="AK109" s="1925">
        <v>11</v>
      </c>
    </row>
    <row s="14730" customFormat="1" customHeight="1" ht="11.549999999999999">
      <c r="A110" s="1271"/>
      <c r="B110" s="1271"/>
      <c r="C110" s="1271"/>
      <c r="D110" s="1271"/>
      <c r="E110" s="1271"/>
      <c r="F110" s="1920"/>
      <c r="G110" s="1920"/>
      <c r="H110" s="635"/>
      <c r="N110" s="1650"/>
      <c r="P110" s="1650"/>
      <c r="Q110" s="1920"/>
      <c r="R110" s="1920"/>
      <c r="S110" s="1650"/>
      <c r="T110" s="1650"/>
      <c r="U110" s="1650"/>
      <c r="V110" s="1650"/>
      <c r="W110" s="1920"/>
      <c r="X110" s="1650"/>
      <c r="Y110" s="1650"/>
      <c r="Z110" s="828"/>
      <c r="AA110" s="1650"/>
      <c r="AB110" s="1650"/>
      <c r="AC110" s="1650"/>
      <c r="AD110" s="1650"/>
      <c r="AE110" s="1650"/>
      <c r="AF110" s="1916"/>
      <c r="AG110" s="906"/>
      <c r="AH110" s="906"/>
      <c r="AI110" s="906"/>
      <c r="AJ110" s="906"/>
      <c r="AK110" s="1925">
        <v>11</v>
      </c>
    </row>
    <row s="14730" customFormat="1" customHeight="1" ht="11.549999999999999">
      <c r="A111" s="1271"/>
      <c r="B111" s="1271"/>
      <c r="C111" s="1271"/>
      <c r="D111" s="1271"/>
      <c r="E111" s="1271"/>
      <c r="F111" s="1920"/>
      <c r="G111" s="1920"/>
      <c r="H111" s="635"/>
      <c r="N111" s="1650"/>
      <c r="P111" s="1650"/>
      <c r="Q111" s="1920"/>
      <c r="R111" s="1920"/>
      <c r="S111" s="1650"/>
      <c r="T111" s="1650"/>
      <c r="U111" s="1650"/>
      <c r="V111" s="1650"/>
      <c r="W111" s="1920"/>
      <c r="X111" s="1650"/>
      <c r="Y111" s="1650"/>
      <c r="Z111" s="828"/>
      <c r="AA111" s="1650"/>
      <c r="AB111" s="1650"/>
      <c r="AC111" s="1650"/>
      <c r="AD111" s="1650"/>
      <c r="AE111" s="1650"/>
      <c r="AF111" s="1916"/>
      <c r="AG111" s="906"/>
      <c r="AH111" s="906"/>
      <c r="AI111" s="906"/>
      <c r="AJ111" s="906"/>
      <c r="AK111" s="1925">
        <v>11</v>
      </c>
    </row>
    <row s="14730" customFormat="1" customHeight="1" ht="11.549999999999999">
      <c r="A112" s="1271"/>
      <c r="B112" s="1271"/>
      <c r="C112" s="1271"/>
      <c r="D112" s="1271"/>
      <c r="E112" s="1271"/>
      <c r="F112" s="1920"/>
      <c r="G112" s="1920"/>
      <c r="H112" s="635"/>
      <c r="N112" s="1650"/>
      <c r="P112" s="1650"/>
      <c r="Q112" s="1920"/>
      <c r="R112" s="1920"/>
      <c r="S112" s="1650"/>
      <c r="T112" s="1650"/>
      <c r="U112" s="1650"/>
      <c r="V112" s="1650"/>
      <c r="W112" s="1920"/>
      <c r="X112" s="1650"/>
      <c r="Y112" s="1650"/>
      <c r="Z112" s="828"/>
      <c r="AA112" s="1650"/>
      <c r="AB112" s="1650"/>
      <c r="AC112" s="1650"/>
      <c r="AD112" s="1650"/>
      <c r="AE112" s="1650"/>
      <c r="AF112" s="1916"/>
      <c r="AG112" s="906"/>
      <c r="AH112" s="906"/>
      <c r="AI112" s="906"/>
      <c r="AJ112" s="906"/>
      <c r="AK112" s="1925">
        <v>11</v>
      </c>
    </row>
    <row s="14730" customFormat="1" customHeight="1" ht="11.549999999999999">
      <c r="A113" s="1271"/>
      <c r="B113" s="1271"/>
      <c r="C113" s="1271"/>
      <c r="D113" s="1271"/>
      <c r="E113" s="1271"/>
      <c r="F113" s="1920"/>
      <c r="G113" s="1920"/>
      <c r="H113" s="635"/>
      <c r="N113" s="1650"/>
      <c r="P113" s="1650"/>
      <c r="Q113" s="1920"/>
      <c r="R113" s="1920"/>
      <c r="S113" s="1650"/>
      <c r="T113" s="1650"/>
      <c r="U113" s="1650"/>
      <c r="V113" s="1650"/>
      <c r="W113" s="1920"/>
      <c r="X113" s="1650"/>
      <c r="Y113" s="1650"/>
      <c r="Z113" s="828"/>
      <c r="AA113" s="1650"/>
      <c r="AB113" s="1650"/>
      <c r="AC113" s="1650"/>
      <c r="AD113" s="1650"/>
      <c r="AE113" s="1650"/>
      <c r="AF113" s="1916"/>
      <c r="AG113" s="906"/>
      <c r="AH113" s="906"/>
      <c r="AI113" s="906"/>
      <c r="AJ113" s="906"/>
      <c r="AK113" s="1925">
        <v>11</v>
      </c>
    </row>
    <row s="14730" customFormat="1" customHeight="1" ht="11.549999999999999">
      <c r="A114" s="1271"/>
      <c r="B114" s="1271"/>
      <c r="C114" s="1271"/>
      <c r="D114" s="1271"/>
      <c r="E114" s="1271"/>
      <c r="F114" s="1920"/>
      <c r="G114" s="1920"/>
      <c r="H114" s="635"/>
      <c r="N114" s="1650"/>
      <c r="P114" s="1650"/>
      <c r="Q114" s="1920"/>
      <c r="R114" s="1920"/>
      <c r="S114" s="1650"/>
      <c r="T114" s="1650"/>
      <c r="U114" s="1650"/>
      <c r="V114" s="1650"/>
      <c r="W114" s="1920"/>
      <c r="X114" s="1650"/>
      <c r="Y114" s="1650"/>
      <c r="Z114" s="828"/>
      <c r="AA114" s="1650"/>
      <c r="AB114" s="1650"/>
      <c r="AC114" s="1650"/>
      <c r="AD114" s="1650"/>
      <c r="AE114" s="1650"/>
      <c r="AF114" s="1916"/>
      <c r="AG114" s="906"/>
      <c r="AH114" s="906"/>
      <c r="AI114" s="906"/>
      <c r="AJ114" s="906"/>
      <c r="AK114" s="1925">
        <v>11</v>
      </c>
    </row>
    <row s="14730" customFormat="1" customHeight="1" ht="11.549999999999999">
      <c r="A115" s="1271"/>
      <c r="B115" s="1271"/>
      <c r="C115" s="1271"/>
      <c r="D115" s="1271"/>
      <c r="E115" s="1271"/>
      <c r="F115" s="1920"/>
      <c r="G115" s="1920"/>
      <c r="H115" s="635"/>
      <c r="N115" s="1650"/>
      <c r="P115" s="1650"/>
      <c r="Q115" s="1920"/>
      <c r="R115" s="1920"/>
      <c r="S115" s="1650"/>
      <c r="T115" s="1650"/>
      <c r="U115" s="1650"/>
      <c r="V115" s="1650"/>
      <c r="W115" s="1920"/>
      <c r="X115" s="1650"/>
      <c r="Y115" s="1650"/>
      <c r="Z115" s="828"/>
      <c r="AA115" s="1650"/>
      <c r="AB115" s="1650"/>
      <c r="AC115" s="1650"/>
      <c r="AD115" s="1650"/>
      <c r="AE115" s="1650"/>
      <c r="AF115" s="1916"/>
      <c r="AG115" s="906"/>
      <c r="AH115" s="906"/>
      <c r="AI115" s="906"/>
      <c r="AJ115" s="906"/>
      <c r="AK115" s="1925">
        <v>11</v>
      </c>
    </row>
    <row s="14730" customFormat="1" customHeight="1" ht="11.549999999999999">
      <c r="A116" s="1271"/>
      <c r="B116" s="1271"/>
      <c r="C116" s="1271"/>
      <c r="D116" s="1271"/>
      <c r="E116" s="1271"/>
      <c r="F116" s="1920"/>
      <c r="G116" s="1920"/>
      <c r="H116" s="635"/>
      <c r="N116" s="1650"/>
      <c r="P116" s="1650"/>
      <c r="Q116" s="1920"/>
      <c r="R116" s="1920"/>
      <c r="S116" s="1650"/>
      <c r="T116" s="1650"/>
      <c r="U116" s="1650"/>
      <c r="V116" s="1650"/>
      <c r="W116" s="1920"/>
      <c r="X116" s="1650"/>
      <c r="Y116" s="1650"/>
      <c r="Z116" s="828"/>
      <c r="AA116" s="1650"/>
      <c r="AB116" s="1650"/>
      <c r="AC116" s="1650"/>
      <c r="AD116" s="1650"/>
      <c r="AE116" s="1650"/>
      <c r="AF116" s="1916"/>
      <c r="AG116" s="906"/>
      <c r="AH116" s="906"/>
      <c r="AI116" s="906"/>
      <c r="AJ116" s="906"/>
      <c r="AK116" s="1925">
        <v>11</v>
      </c>
    </row>
    <row s="14730" customFormat="1" customHeight="1" ht="11.549999999999999">
      <c r="A117" s="1271"/>
      <c r="B117" s="1271"/>
      <c r="C117" s="1271"/>
      <c r="D117" s="1271"/>
      <c r="E117" s="1271"/>
      <c r="F117" s="1920"/>
      <c r="G117" s="1920"/>
      <c r="H117" s="635"/>
      <c r="N117" s="1650"/>
      <c r="P117" s="1650"/>
      <c r="Q117" s="1920"/>
      <c r="R117" s="1920"/>
      <c r="S117" s="1650"/>
      <c r="T117" s="1650"/>
      <c r="U117" s="1650"/>
      <c r="V117" s="1650"/>
      <c r="W117" s="1920"/>
      <c r="X117" s="1650"/>
      <c r="Y117" s="1650"/>
      <c r="Z117" s="828"/>
      <c r="AA117" s="1650"/>
      <c r="AB117" s="1650"/>
      <c r="AC117" s="1650"/>
      <c r="AD117" s="1650"/>
      <c r="AE117" s="1650"/>
      <c r="AF117" s="1916"/>
      <c r="AG117" s="906"/>
      <c r="AH117" s="906"/>
      <c r="AI117" s="906"/>
      <c r="AJ117" s="906"/>
      <c r="AK117" s="1925">
        <v>11</v>
      </c>
    </row>
    <row s="14730" customFormat="1" customHeight="1" ht="11.549999999999999">
      <c r="A118" s="1271"/>
      <c r="B118" s="1271"/>
      <c r="C118" s="1271"/>
      <c r="D118" s="1271"/>
      <c r="E118" s="1271"/>
      <c r="F118" s="1920"/>
      <c r="G118" s="1920"/>
      <c r="H118" s="635"/>
      <c r="N118" s="1650"/>
      <c r="P118" s="1650"/>
      <c r="Q118" s="1920"/>
      <c r="R118" s="1920"/>
      <c r="S118" s="1650"/>
      <c r="T118" s="1650"/>
      <c r="U118" s="1650"/>
      <c r="V118" s="1650"/>
      <c r="W118" s="1920"/>
      <c r="X118" s="1650"/>
      <c r="Y118" s="1650"/>
      <c r="Z118" s="828"/>
      <c r="AA118" s="1650"/>
      <c r="AB118" s="1650"/>
      <c r="AC118" s="1650"/>
      <c r="AD118" s="1650"/>
      <c r="AE118" s="1650"/>
      <c r="AF118" s="1916"/>
      <c r="AG118" s="906"/>
      <c r="AH118" s="906"/>
      <c r="AI118" s="906"/>
      <c r="AJ118" s="906"/>
      <c r="AK118" s="1925">
        <v>11</v>
      </c>
    </row>
    <row s="14730" customFormat="1" customHeight="1" ht="11.549999999999999">
      <c r="A119" s="1271"/>
      <c r="B119" s="1271"/>
      <c r="C119" s="1271"/>
      <c r="D119" s="1271"/>
      <c r="E119" s="1271"/>
      <c r="F119" s="1920"/>
      <c r="G119" s="1920"/>
      <c r="H119" s="635"/>
      <c r="N119" s="1650"/>
      <c r="P119" s="1650"/>
      <c r="Q119" s="1920"/>
      <c r="R119" s="1920"/>
      <c r="S119" s="1650"/>
      <c r="T119" s="1650"/>
      <c r="U119" s="1650"/>
      <c r="V119" s="1650"/>
      <c r="W119" s="1920"/>
      <c r="X119" s="1650"/>
      <c r="Y119" s="1650"/>
      <c r="Z119" s="828"/>
      <c r="AA119" s="1650"/>
      <c r="AB119" s="1650"/>
      <c r="AC119" s="1650"/>
      <c r="AD119" s="1650"/>
      <c r="AE119" s="1650"/>
      <c r="AF119" s="1916"/>
      <c r="AG119" s="906"/>
      <c r="AH119" s="906"/>
      <c r="AI119" s="906"/>
      <c r="AJ119" s="906"/>
      <c r="AK119" s="1925">
        <v>11</v>
      </c>
    </row>
    <row s="14730" customFormat="1" customHeight="1" ht="11.549999999999999">
      <c r="A120" s="1271"/>
      <c r="B120" s="1271"/>
      <c r="C120" s="1271"/>
      <c r="D120" s="1271"/>
      <c r="E120" s="1271"/>
      <c r="F120" s="1920"/>
      <c r="G120" s="1920"/>
      <c r="H120" s="635"/>
      <c r="N120" s="1650"/>
      <c r="P120" s="1650"/>
      <c r="Q120" s="1920"/>
      <c r="R120" s="1920"/>
      <c r="S120" s="1650"/>
      <c r="T120" s="1650"/>
      <c r="U120" s="1650"/>
      <c r="V120" s="1650"/>
      <c r="W120" s="1920"/>
      <c r="X120" s="1650"/>
      <c r="Y120" s="1650"/>
      <c r="Z120" s="828"/>
      <c r="AA120" s="1650"/>
      <c r="AB120" s="1650"/>
      <c r="AC120" s="1650"/>
      <c r="AD120" s="1650"/>
      <c r="AE120" s="1650"/>
      <c r="AF120" s="1916"/>
      <c r="AG120" s="906"/>
      <c r="AH120" s="906"/>
      <c r="AI120" s="906"/>
      <c r="AJ120" s="906"/>
      <c r="AK120" s="1925">
        <v>11</v>
      </c>
    </row>
    <row s="14730" customFormat="1" customHeight="1" ht="11.549999999999999">
      <c r="A121" s="1271"/>
      <c r="B121" s="1271"/>
      <c r="C121" s="1271"/>
      <c r="D121" s="1271"/>
      <c r="E121" s="1271"/>
      <c r="F121" s="1920"/>
      <c r="G121" s="1920"/>
      <c r="H121" s="635"/>
      <c r="N121" s="1650"/>
      <c r="P121" s="1650"/>
      <c r="Q121" s="1920"/>
      <c r="R121" s="1920"/>
      <c r="S121" s="1650"/>
      <c r="T121" s="1650"/>
      <c r="U121" s="1650"/>
      <c r="V121" s="1650"/>
      <c r="W121" s="1920"/>
      <c r="X121" s="1650"/>
      <c r="Y121" s="1650"/>
      <c r="Z121" s="828"/>
      <c r="AA121" s="1650"/>
      <c r="AB121" s="1650"/>
      <c r="AC121" s="1650"/>
      <c r="AD121" s="1650"/>
      <c r="AE121" s="1650"/>
      <c r="AF121" s="1916"/>
      <c r="AG121" s="906"/>
      <c r="AH121" s="906"/>
      <c r="AI121" s="906"/>
      <c r="AJ121" s="906"/>
      <c r="AK121" s="1925">
        <v>11</v>
      </c>
    </row>
    <row s="14730" customFormat="1" customHeight="1" ht="11.549999999999999">
      <c r="A122" s="1271"/>
      <c r="B122" s="1271"/>
      <c r="C122" s="1271"/>
      <c r="D122" s="1271"/>
      <c r="E122" s="1271"/>
      <c r="F122" s="1920"/>
      <c r="G122" s="1920"/>
      <c r="H122" s="635"/>
      <c r="N122" s="1650"/>
      <c r="P122" s="1650"/>
      <c r="Q122" s="1920"/>
      <c r="R122" s="1920"/>
      <c r="S122" s="1650"/>
      <c r="T122" s="1650"/>
      <c r="U122" s="1650"/>
      <c r="V122" s="1650"/>
      <c r="W122" s="1920"/>
      <c r="X122" s="1650"/>
      <c r="Y122" s="1650"/>
      <c r="Z122" s="828"/>
      <c r="AA122" s="1650"/>
      <c r="AB122" s="1650"/>
      <c r="AC122" s="1650"/>
      <c r="AD122" s="1650"/>
      <c r="AE122" s="1650"/>
      <c r="AF122" s="1916"/>
      <c r="AG122" s="906"/>
      <c r="AH122" s="906"/>
      <c r="AI122" s="906"/>
      <c r="AJ122" s="906"/>
      <c r="AK122" s="1925">
        <v>11</v>
      </c>
    </row>
    <row s="14730" customFormat="1" customHeight="1" ht="11.549999999999999">
      <c r="A123" s="1271"/>
      <c r="B123" s="1271"/>
      <c r="C123" s="1271"/>
      <c r="D123" s="1271"/>
      <c r="E123" s="1271"/>
      <c r="F123" s="1920"/>
      <c r="G123" s="1920"/>
      <c r="H123" s="635"/>
      <c r="N123" s="1650"/>
      <c r="P123" s="1650"/>
      <c r="Q123" s="1920"/>
      <c r="R123" s="1920"/>
      <c r="S123" s="1650"/>
      <c r="T123" s="1650"/>
      <c r="U123" s="1650"/>
      <c r="V123" s="1650"/>
      <c r="W123" s="1920"/>
      <c r="X123" s="1650"/>
      <c r="Y123" s="1650"/>
      <c r="Z123" s="828"/>
      <c r="AA123" s="1650"/>
      <c r="AB123" s="1650"/>
      <c r="AC123" s="1650"/>
      <c r="AD123" s="1650"/>
      <c r="AE123" s="1650"/>
      <c r="AF123" s="1916"/>
      <c r="AG123" s="906"/>
      <c r="AH123" s="906"/>
      <c r="AI123" s="906"/>
      <c r="AJ123" s="906"/>
      <c r="AK123" s="1925">
        <v>11</v>
      </c>
    </row>
    <row s="14730" customFormat="1" customHeight="1" ht="11.549999999999999">
      <c r="A124" s="1271"/>
      <c r="B124" s="1271"/>
      <c r="C124" s="1271"/>
      <c r="D124" s="1271"/>
      <c r="E124" s="1271"/>
      <c r="F124" s="1920"/>
      <c r="G124" s="1920"/>
      <c r="H124" s="635"/>
      <c r="N124" s="1650"/>
      <c r="P124" s="1650"/>
      <c r="Q124" s="1920"/>
      <c r="R124" s="1920"/>
      <c r="S124" s="1650"/>
      <c r="T124" s="1650"/>
      <c r="U124" s="1650"/>
      <c r="V124" s="1650"/>
      <c r="W124" s="1920"/>
      <c r="X124" s="1650"/>
      <c r="Y124" s="1650"/>
      <c r="Z124" s="828"/>
      <c r="AA124" s="1650"/>
      <c r="AB124" s="1650"/>
      <c r="AC124" s="1650"/>
      <c r="AD124" s="1650"/>
      <c r="AE124" s="1650"/>
      <c r="AF124" s="1916"/>
      <c r="AG124" s="906"/>
      <c r="AH124" s="906"/>
      <c r="AI124" s="906"/>
      <c r="AJ124" s="906"/>
      <c r="AK124" s="1925">
        <v>11</v>
      </c>
    </row>
    <row s="14730" customFormat="1" customHeight="1" ht="11.549999999999999">
      <c r="A125" s="1271"/>
      <c r="B125" s="1271"/>
      <c r="C125" s="1271"/>
      <c r="D125" s="1271"/>
      <c r="E125" s="1271"/>
      <c r="F125" s="1920"/>
      <c r="G125" s="1920"/>
      <c r="H125" s="635"/>
      <c r="N125" s="1650"/>
      <c r="P125" s="1650"/>
      <c r="Q125" s="1920"/>
      <c r="R125" s="1920"/>
      <c r="S125" s="1650"/>
      <c r="T125" s="1650"/>
      <c r="U125" s="1650"/>
      <c r="V125" s="1650"/>
      <c r="W125" s="1920"/>
      <c r="X125" s="1650"/>
      <c r="Y125" s="1650"/>
      <c r="Z125" s="828"/>
      <c r="AA125" s="1650"/>
      <c r="AB125" s="1650"/>
      <c r="AC125" s="1650"/>
      <c r="AD125" s="1650"/>
      <c r="AE125" s="1650"/>
      <c r="AF125" s="1916"/>
      <c r="AG125" s="906"/>
      <c r="AH125" s="906"/>
      <c r="AI125" s="906"/>
      <c r="AJ125" s="906"/>
      <c r="AK125" s="1925">
        <v>11</v>
      </c>
    </row>
    <row s="14730" customFormat="1" customHeight="1" ht="11.549999999999999">
      <c r="A126" s="1271"/>
      <c r="B126" s="1271"/>
      <c r="C126" s="1271"/>
      <c r="D126" s="1271"/>
      <c r="E126" s="1271"/>
      <c r="F126" s="1920"/>
      <c r="G126" s="1920"/>
      <c r="H126" s="635"/>
      <c r="N126" s="1650"/>
      <c r="P126" s="1650"/>
      <c r="Q126" s="1920"/>
      <c r="R126" s="1920"/>
      <c r="S126" s="1650"/>
      <c r="T126" s="1650"/>
      <c r="U126" s="1650"/>
      <c r="V126" s="1650"/>
      <c r="W126" s="1920"/>
      <c r="X126" s="1650"/>
      <c r="Y126" s="1650"/>
      <c r="Z126" s="828"/>
      <c r="AA126" s="1650"/>
      <c r="AB126" s="1650"/>
      <c r="AC126" s="1650"/>
      <c r="AD126" s="1650"/>
      <c r="AE126" s="1650"/>
      <c r="AF126" s="1916"/>
      <c r="AG126" s="906"/>
      <c r="AH126" s="906"/>
      <c r="AI126" s="906"/>
      <c r="AJ126" s="906"/>
      <c r="AK126" s="1925">
        <v>11</v>
      </c>
    </row>
    <row s="14730" customFormat="1" customHeight="1" ht="11.549999999999999">
      <c r="A127" s="1271"/>
      <c r="B127" s="1271"/>
      <c r="C127" s="1271"/>
      <c r="D127" s="1271"/>
      <c r="E127" s="1271"/>
      <c r="F127" s="1920"/>
      <c r="G127" s="1920"/>
      <c r="H127" s="635"/>
      <c r="N127" s="1650"/>
      <c r="P127" s="1650"/>
      <c r="Q127" s="1920"/>
      <c r="R127" s="1920"/>
      <c r="S127" s="1650"/>
      <c r="T127" s="1650"/>
      <c r="U127" s="1650"/>
      <c r="V127" s="1650"/>
      <c r="W127" s="1920"/>
      <c r="X127" s="1650"/>
      <c r="Y127" s="1650"/>
      <c r="Z127" s="828"/>
      <c r="AA127" s="1650"/>
      <c r="AB127" s="1650"/>
      <c r="AC127" s="1650"/>
      <c r="AD127" s="1650"/>
      <c r="AE127" s="1650"/>
      <c r="AF127" s="1916"/>
      <c r="AG127" s="906"/>
      <c r="AH127" s="906"/>
      <c r="AI127" s="906"/>
      <c r="AJ127" s="906"/>
      <c r="AK127" s="1925">
        <v>11</v>
      </c>
    </row>
    <row s="14730" customFormat="1" customHeight="1" ht="11.549999999999999">
      <c r="A128" s="1271"/>
      <c r="B128" s="1271"/>
      <c r="C128" s="1271"/>
      <c r="D128" s="1271"/>
      <c r="E128" s="1271"/>
      <c r="F128" s="1920"/>
      <c r="G128" s="1920"/>
      <c r="H128" s="635"/>
      <c r="N128" s="1650"/>
      <c r="P128" s="1650"/>
      <c r="Q128" s="1920"/>
      <c r="R128" s="1920"/>
      <c r="S128" s="1650"/>
      <c r="T128" s="1650"/>
      <c r="U128" s="1650"/>
      <c r="V128" s="1650"/>
      <c r="W128" s="1920"/>
      <c r="X128" s="1650"/>
      <c r="Y128" s="1650"/>
      <c r="Z128" s="828"/>
      <c r="AA128" s="1650"/>
      <c r="AB128" s="1650"/>
      <c r="AC128" s="1650"/>
      <c r="AD128" s="1650"/>
      <c r="AE128" s="1650"/>
      <c r="AF128" s="1916"/>
      <c r="AG128" s="906"/>
      <c r="AH128" s="906"/>
      <c r="AI128" s="906"/>
      <c r="AJ128" s="906"/>
      <c r="AK128" s="1925">
        <v>11</v>
      </c>
    </row>
    <row s="14730" customFormat="1" customHeight="1" ht="11.549999999999999">
      <c r="A129" s="1271"/>
      <c r="B129" s="1271"/>
      <c r="C129" s="1271"/>
      <c r="D129" s="1271"/>
      <c r="E129" s="1271"/>
      <c r="F129" s="1920"/>
      <c r="G129" s="1920"/>
      <c r="H129" s="635"/>
      <c r="N129" s="1650"/>
      <c r="P129" s="1650"/>
      <c r="Q129" s="1920"/>
      <c r="R129" s="1920"/>
      <c r="S129" s="1650"/>
      <c r="T129" s="1650"/>
      <c r="U129" s="1650"/>
      <c r="V129" s="1650"/>
      <c r="W129" s="1920"/>
      <c r="X129" s="1650"/>
      <c r="Y129" s="1650"/>
      <c r="Z129" s="828"/>
      <c r="AA129" s="1650"/>
      <c r="AB129" s="1650"/>
      <c r="AC129" s="1650"/>
      <c r="AD129" s="1650"/>
      <c r="AE129" s="1650"/>
      <c r="AF129" s="1916"/>
      <c r="AG129" s="906"/>
      <c r="AH129" s="906"/>
      <c r="AI129" s="906"/>
      <c r="AJ129" s="906"/>
      <c r="AK129" s="1925">
        <v>11</v>
      </c>
    </row>
    <row s="14730" customFormat="1" customHeight="1" ht="11.549999999999999">
      <c r="A130" s="1271"/>
      <c r="B130" s="1271"/>
      <c r="C130" s="1271"/>
      <c r="D130" s="1271"/>
      <c r="E130" s="1271"/>
      <c r="F130" s="1920"/>
      <c r="G130" s="1920"/>
      <c r="H130" s="635"/>
      <c r="N130" s="1650"/>
      <c r="P130" s="1650"/>
      <c r="Q130" s="1920"/>
      <c r="R130" s="1920"/>
      <c r="S130" s="1650"/>
      <c r="T130" s="1650"/>
      <c r="U130" s="1650"/>
      <c r="V130" s="1650"/>
      <c r="W130" s="1920"/>
      <c r="X130" s="1650"/>
      <c r="Y130" s="1650"/>
      <c r="Z130" s="828"/>
      <c r="AA130" s="1650"/>
      <c r="AB130" s="1650"/>
      <c r="AC130" s="1650"/>
      <c r="AD130" s="1650"/>
      <c r="AE130" s="1650"/>
      <c r="AF130" s="1916"/>
      <c r="AG130" s="906"/>
      <c r="AH130" s="906"/>
      <c r="AI130" s="906"/>
      <c r="AJ130" s="906"/>
      <c r="AK130" s="1925">
        <v>11</v>
      </c>
    </row>
    <row s="14730" customFormat="1" customHeight="1" ht="11.549999999999999">
      <c r="A131" s="1271"/>
      <c r="B131" s="1271"/>
      <c r="C131" s="1271"/>
      <c r="D131" s="1271"/>
      <c r="E131" s="1271"/>
      <c r="F131" s="1920"/>
      <c r="G131" s="1920"/>
      <c r="H131" s="635"/>
      <c r="N131" s="1650"/>
      <c r="P131" s="1650"/>
      <c r="Q131" s="1920"/>
      <c r="R131" s="1920"/>
      <c r="S131" s="1650"/>
      <c r="T131" s="1650"/>
      <c r="U131" s="1650"/>
      <c r="V131" s="1650"/>
      <c r="W131" s="1920"/>
      <c r="X131" s="1650"/>
      <c r="Y131" s="1650"/>
      <c r="Z131" s="828"/>
      <c r="AA131" s="1650"/>
      <c r="AB131" s="1650"/>
      <c r="AC131" s="1650"/>
      <c r="AD131" s="1650"/>
      <c r="AE131" s="1650"/>
      <c r="AF131" s="1916"/>
      <c r="AG131" s="906"/>
      <c r="AH131" s="906"/>
      <c r="AI131" s="906"/>
      <c r="AJ131" s="906"/>
      <c r="AK131" s="1925">
        <v>11</v>
      </c>
    </row>
    <row s="14730" customFormat="1" customHeight="1" ht="11.549999999999999">
      <c r="A132" s="1271"/>
      <c r="B132" s="1271"/>
      <c r="C132" s="1271"/>
      <c r="D132" s="1271"/>
      <c r="E132" s="1271"/>
      <c r="F132" s="1920"/>
      <c r="G132" s="1920"/>
      <c r="H132" s="635"/>
      <c r="N132" s="1650"/>
      <c r="P132" s="1650"/>
      <c r="Q132" s="1920"/>
      <c r="R132" s="1920"/>
      <c r="S132" s="1650"/>
      <c r="T132" s="1650"/>
      <c r="U132" s="1650"/>
      <c r="V132" s="1650"/>
      <c r="W132" s="1920"/>
      <c r="X132" s="1650"/>
      <c r="Y132" s="1650"/>
      <c r="Z132" s="828"/>
      <c r="AA132" s="1650"/>
      <c r="AB132" s="1650"/>
      <c r="AC132" s="1650"/>
      <c r="AD132" s="1650"/>
      <c r="AE132" s="1650"/>
      <c r="AF132" s="1916"/>
      <c r="AG132" s="906"/>
      <c r="AH132" s="906"/>
      <c r="AI132" s="906"/>
      <c r="AJ132" s="906"/>
      <c r="AK132" s="1925">
        <v>11</v>
      </c>
    </row>
    <row s="14730" customFormat="1" customHeight="1" ht="11.549999999999999">
      <c r="A133" s="1271"/>
      <c r="B133" s="1271"/>
      <c r="C133" s="1271"/>
      <c r="D133" s="1271"/>
      <c r="E133" s="1271"/>
      <c r="F133" s="1920"/>
      <c r="G133" s="1920"/>
      <c r="H133" s="635"/>
      <c r="N133" s="1650"/>
      <c r="P133" s="1650"/>
      <c r="Q133" s="1920"/>
      <c r="R133" s="1920"/>
      <c r="S133" s="1650"/>
      <c r="T133" s="1650"/>
      <c r="U133" s="1650"/>
      <c r="V133" s="1650"/>
      <c r="W133" s="1920"/>
      <c r="X133" s="1650"/>
      <c r="Y133" s="1650"/>
      <c r="Z133" s="828"/>
      <c r="AA133" s="1650"/>
      <c r="AB133" s="1650"/>
      <c r="AC133" s="1650"/>
      <c r="AD133" s="1650"/>
      <c r="AE133" s="1650"/>
      <c r="AF133" s="1916"/>
      <c r="AG133" s="906"/>
      <c r="AH133" s="906"/>
      <c r="AI133" s="906"/>
      <c r="AJ133" s="906"/>
      <c r="AK133" s="1925">
        <v>11</v>
      </c>
    </row>
    <row s="14730" customFormat="1" customHeight="1" ht="11.549999999999999">
      <c r="A134" s="1271"/>
      <c r="B134" s="1271"/>
      <c r="C134" s="1271"/>
      <c r="D134" s="1271"/>
      <c r="E134" s="1271"/>
      <c r="F134" s="1920"/>
      <c r="G134" s="1920"/>
      <c r="H134" s="635"/>
      <c r="N134" s="1650"/>
      <c r="P134" s="1650"/>
      <c r="Q134" s="1920"/>
      <c r="R134" s="1920"/>
      <c r="S134" s="1650"/>
      <c r="T134" s="1650"/>
      <c r="U134" s="1650"/>
      <c r="V134" s="1650"/>
      <c r="W134" s="1920"/>
      <c r="X134" s="1650"/>
      <c r="Y134" s="1650"/>
      <c r="Z134" s="828"/>
      <c r="AA134" s="1650"/>
      <c r="AB134" s="1650"/>
      <c r="AC134" s="1650"/>
      <c r="AD134" s="1650"/>
      <c r="AE134" s="1650"/>
      <c r="AF134" s="1916"/>
      <c r="AG134" s="906"/>
      <c r="AH134" s="906"/>
      <c r="AI134" s="906"/>
      <c r="AJ134" s="906"/>
      <c r="AK134" s="1925">
        <v>11</v>
      </c>
    </row>
    <row s="14730" customFormat="1" customHeight="1" ht="11.549999999999999">
      <c r="A135" s="1271"/>
      <c r="B135" s="1271"/>
      <c r="C135" s="1271"/>
      <c r="D135" s="1271"/>
      <c r="E135" s="1271"/>
      <c r="F135" s="1920"/>
      <c r="G135" s="1920"/>
      <c r="H135" s="635"/>
      <c r="N135" s="1650"/>
      <c r="P135" s="1650"/>
      <c r="Q135" s="1920"/>
      <c r="R135" s="1920"/>
      <c r="S135" s="1650"/>
      <c r="T135" s="1650"/>
      <c r="U135" s="1650"/>
      <c r="V135" s="1650"/>
      <c r="W135" s="1920"/>
      <c r="X135" s="1650"/>
      <c r="Y135" s="1650"/>
      <c r="Z135" s="828"/>
      <c r="AA135" s="1650"/>
      <c r="AB135" s="1650"/>
      <c r="AC135" s="1650"/>
      <c r="AD135" s="1650"/>
      <c r="AE135" s="1650"/>
      <c r="AF135" s="1916"/>
      <c r="AG135" s="906"/>
      <c r="AH135" s="906"/>
      <c r="AI135" s="906"/>
      <c r="AJ135" s="906"/>
      <c r="AK135" s="1925">
        <v>11</v>
      </c>
    </row>
    <row s="14730" customFormat="1" customHeight="1" ht="11.549999999999999">
      <c r="A136" s="1271"/>
      <c r="B136" s="1271"/>
      <c r="C136" s="1271"/>
      <c r="D136" s="1271"/>
      <c r="E136" s="1271"/>
      <c r="F136" s="1920"/>
      <c r="G136" s="1920"/>
      <c r="H136" s="635"/>
      <c r="N136" s="1650"/>
      <c r="P136" s="1650"/>
      <c r="Q136" s="1920"/>
      <c r="R136" s="1920"/>
      <c r="S136" s="1650"/>
      <c r="T136" s="1650"/>
      <c r="U136" s="1650"/>
      <c r="V136" s="1650"/>
      <c r="W136" s="1920"/>
      <c r="X136" s="1650"/>
      <c r="Y136" s="1650"/>
      <c r="Z136" s="828"/>
      <c r="AA136" s="1650"/>
      <c r="AB136" s="1650"/>
      <c r="AC136" s="1650"/>
      <c r="AD136" s="1650"/>
      <c r="AE136" s="1650"/>
      <c r="AF136" s="1916"/>
      <c r="AG136" s="906"/>
      <c r="AH136" s="906"/>
      <c r="AI136" s="906"/>
      <c r="AJ136" s="906"/>
      <c r="AK136" s="1925">
        <v>11</v>
      </c>
    </row>
    <row s="14730" customFormat="1" customHeight="1" ht="11.549999999999999">
      <c r="A137" s="1271"/>
      <c r="B137" s="1271"/>
      <c r="C137" s="1271"/>
      <c r="D137" s="1271"/>
      <c r="E137" s="1271"/>
      <c r="F137" s="1920"/>
      <c r="G137" s="1920"/>
      <c r="H137" s="635"/>
      <c r="N137" s="1650"/>
      <c r="P137" s="1650"/>
      <c r="Q137" s="1920"/>
      <c r="R137" s="1920"/>
      <c r="S137" s="1650"/>
      <c r="T137" s="1650"/>
      <c r="U137" s="1650"/>
      <c r="V137" s="1650"/>
      <c r="W137" s="1920"/>
      <c r="X137" s="1650"/>
      <c r="Y137" s="1650"/>
      <c r="Z137" s="828"/>
      <c r="AA137" s="1650"/>
      <c r="AB137" s="1650"/>
      <c r="AC137" s="1650"/>
      <c r="AD137" s="1650"/>
      <c r="AE137" s="1650"/>
      <c r="AF137" s="1916"/>
      <c r="AG137" s="906"/>
      <c r="AH137" s="906"/>
      <c r="AI137" s="906"/>
      <c r="AJ137" s="906"/>
      <c r="AK137" s="1925">
        <v>11</v>
      </c>
    </row>
    <row s="14730" customFormat="1" customHeight="1" ht="11.549999999999999">
      <c r="A138" s="1271"/>
      <c r="B138" s="1271"/>
      <c r="C138" s="1271"/>
      <c r="D138" s="1271"/>
      <c r="E138" s="1271"/>
      <c r="F138" s="1920"/>
      <c r="G138" s="1920"/>
      <c r="H138" s="635"/>
      <c r="N138" s="1650"/>
      <c r="P138" s="1650"/>
      <c r="Q138" s="1920"/>
      <c r="R138" s="1920"/>
      <c r="S138" s="1650"/>
      <c r="T138" s="1650"/>
      <c r="U138" s="1650"/>
      <c r="V138" s="1650"/>
      <c r="W138" s="1920"/>
      <c r="X138" s="1650"/>
      <c r="Y138" s="1650"/>
      <c r="Z138" s="828"/>
      <c r="AA138" s="1650"/>
      <c r="AB138" s="1650"/>
      <c r="AC138" s="1650"/>
      <c r="AD138" s="1650"/>
      <c r="AE138" s="1650"/>
      <c r="AF138" s="1916"/>
      <c r="AG138" s="906"/>
      <c r="AH138" s="906"/>
      <c r="AI138" s="906"/>
      <c r="AJ138" s="906"/>
      <c r="AK138" s="1925">
        <v>11</v>
      </c>
    </row>
    <row s="14730" customFormat="1" customHeight="1" ht="11.549999999999999">
      <c r="A139" s="1271"/>
      <c r="B139" s="1271"/>
      <c r="C139" s="1271"/>
      <c r="D139" s="1271"/>
      <c r="E139" s="1271"/>
      <c r="F139" s="1920"/>
      <c r="G139" s="1920"/>
      <c r="H139" s="635"/>
      <c r="N139" s="1650"/>
      <c r="P139" s="1650"/>
      <c r="Q139" s="1920"/>
      <c r="R139" s="1920"/>
      <c r="S139" s="1650"/>
      <c r="T139" s="1650"/>
      <c r="U139" s="1650"/>
      <c r="V139" s="1650"/>
      <c r="W139" s="1920"/>
      <c r="X139" s="1650"/>
      <c r="Y139" s="1650"/>
      <c r="Z139" s="828"/>
      <c r="AA139" s="1650"/>
      <c r="AB139" s="1650"/>
      <c r="AC139" s="1650"/>
      <c r="AD139" s="1650"/>
      <c r="AE139" s="1650"/>
      <c r="AF139" s="1916"/>
      <c r="AG139" s="906"/>
      <c r="AH139" s="906"/>
      <c r="AI139" s="906"/>
      <c r="AJ139" s="906"/>
      <c r="AK139" s="1925">
        <v>11</v>
      </c>
    </row>
    <row s="14730" customFormat="1" customHeight="1" ht="11.549999999999999">
      <c r="A140" s="1271"/>
      <c r="B140" s="1271"/>
      <c r="C140" s="1271"/>
      <c r="D140" s="1271"/>
      <c r="E140" s="1271"/>
      <c r="F140" s="1920"/>
      <c r="G140" s="1920"/>
      <c r="H140" s="635"/>
      <c r="N140" s="1650"/>
      <c r="P140" s="1650"/>
      <c r="Q140" s="1920"/>
      <c r="R140" s="1920"/>
      <c r="S140" s="1650"/>
      <c r="T140" s="1650"/>
      <c r="U140" s="1650"/>
      <c r="V140" s="1650"/>
      <c r="W140" s="1920"/>
      <c r="X140" s="1650"/>
      <c r="Y140" s="1650"/>
      <c r="Z140" s="828"/>
      <c r="AA140" s="1650"/>
      <c r="AB140" s="1650"/>
      <c r="AC140" s="1650"/>
      <c r="AD140" s="1650"/>
      <c r="AE140" s="1650"/>
      <c r="AF140" s="1916"/>
      <c r="AG140" s="906"/>
      <c r="AH140" s="906"/>
      <c r="AI140" s="906"/>
      <c r="AJ140" s="906"/>
      <c r="AK140" s="1925">
        <v>11</v>
      </c>
    </row>
    <row s="14730" customFormat="1" customHeight="1" ht="11.549999999999999">
      <c r="A141" s="1271"/>
      <c r="B141" s="1271"/>
      <c r="C141" s="1271"/>
      <c r="D141" s="1271"/>
      <c r="E141" s="1271"/>
      <c r="F141" s="1920"/>
      <c r="G141" s="1920"/>
      <c r="H141" s="635"/>
      <c r="N141" s="1650"/>
      <c r="P141" s="1650"/>
      <c r="Q141" s="1920"/>
      <c r="R141" s="1920"/>
      <c r="S141" s="1650"/>
      <c r="T141" s="1650"/>
      <c r="U141" s="1650"/>
      <c r="V141" s="1650"/>
      <c r="W141" s="1920"/>
      <c r="X141" s="1650"/>
      <c r="Y141" s="1650"/>
      <c r="Z141" s="828"/>
      <c r="AA141" s="1650"/>
      <c r="AB141" s="1650"/>
      <c r="AC141" s="1650"/>
      <c r="AD141" s="1650"/>
      <c r="AE141" s="1650"/>
      <c r="AF141" s="1916"/>
      <c r="AG141" s="906"/>
      <c r="AH141" s="906"/>
      <c r="AI141" s="906"/>
      <c r="AJ141" s="906"/>
      <c r="AK141" s="1925">
        <v>11</v>
      </c>
    </row>
    <row s="14730" customFormat="1" customHeight="1" ht="11.549999999999999">
      <c r="A142" s="1271"/>
      <c r="B142" s="1271"/>
      <c r="C142" s="1271"/>
      <c r="D142" s="1271"/>
      <c r="E142" s="1271"/>
      <c r="F142" s="1920"/>
      <c r="G142" s="1920"/>
      <c r="H142" s="635"/>
      <c r="N142" s="1650"/>
      <c r="P142" s="1650"/>
      <c r="Q142" s="1920"/>
      <c r="R142" s="1920"/>
      <c r="S142" s="1650"/>
      <c r="T142" s="1650"/>
      <c r="U142" s="1650"/>
      <c r="V142" s="1650"/>
      <c r="W142" s="1920"/>
      <c r="X142" s="1650"/>
      <c r="Y142" s="1650"/>
      <c r="Z142" s="828"/>
      <c r="AA142" s="1650"/>
      <c r="AB142" s="1650"/>
      <c r="AC142" s="1650"/>
      <c r="AD142" s="1650"/>
      <c r="AE142" s="1650"/>
      <c r="AF142" s="1916"/>
      <c r="AG142" s="906"/>
      <c r="AH142" s="906"/>
      <c r="AI142" s="906"/>
      <c r="AJ142" s="906"/>
      <c r="AK142" s="1925">
        <v>11</v>
      </c>
    </row>
    <row s="14730" customFormat="1" customHeight="1" ht="11.549999999999999">
      <c r="A143" s="1271"/>
      <c r="B143" s="1271"/>
      <c r="C143" s="1271"/>
      <c r="D143" s="1271"/>
      <c r="E143" s="1271"/>
      <c r="F143" s="1920"/>
      <c r="G143" s="1920"/>
      <c r="H143" s="635"/>
      <c r="N143" s="1650"/>
      <c r="P143" s="1650"/>
      <c r="Q143" s="1920"/>
      <c r="R143" s="1920"/>
      <c r="S143" s="1650"/>
      <c r="T143" s="1650"/>
      <c r="U143" s="1650"/>
      <c r="V143" s="1650"/>
      <c r="W143" s="1920"/>
      <c r="X143" s="1650"/>
      <c r="Y143" s="1650"/>
      <c r="Z143" s="828"/>
      <c r="AA143" s="1650"/>
      <c r="AB143" s="1650"/>
      <c r="AC143" s="1650"/>
      <c r="AD143" s="1650"/>
      <c r="AE143" s="1650"/>
      <c r="AF143" s="1916"/>
      <c r="AG143" s="906"/>
      <c r="AH143" s="906"/>
      <c r="AI143" s="906"/>
      <c r="AJ143" s="906"/>
      <c r="AK143" s="1925">
        <v>11</v>
      </c>
    </row>
    <row s="14730" customFormat="1" customHeight="1" ht="11.549999999999999">
      <c r="A144" s="1271"/>
      <c r="B144" s="1271"/>
      <c r="C144" s="1271"/>
      <c r="D144" s="1271"/>
      <c r="E144" s="1271"/>
      <c r="F144" s="1920"/>
      <c r="G144" s="1920"/>
      <c r="H144" s="635"/>
      <c r="N144" s="1650"/>
      <c r="P144" s="1650"/>
      <c r="Q144" s="1920"/>
      <c r="R144" s="1920"/>
      <c r="S144" s="1650"/>
      <c r="T144" s="1650"/>
      <c r="U144" s="1650"/>
      <c r="V144" s="1650"/>
      <c r="W144" s="1920"/>
      <c r="X144" s="1650"/>
      <c r="Y144" s="1650"/>
      <c r="Z144" s="828"/>
      <c r="AA144" s="1650"/>
      <c r="AB144" s="1650"/>
      <c r="AC144" s="1650"/>
      <c r="AD144" s="1650"/>
      <c r="AE144" s="1650"/>
      <c r="AF144" s="1916"/>
      <c r="AG144" s="906"/>
      <c r="AH144" s="906"/>
      <c r="AI144" s="906"/>
      <c r="AJ144" s="906"/>
      <c r="AK144" s="1925">
        <v>11</v>
      </c>
    </row>
    <row s="14730" customFormat="1" customHeight="1" ht="11.549999999999999">
      <c r="A145" s="1271"/>
      <c r="B145" s="1271"/>
      <c r="C145" s="1271"/>
      <c r="D145" s="1271"/>
      <c r="E145" s="1271"/>
      <c r="F145" s="1920"/>
      <c r="G145" s="1920"/>
      <c r="H145" s="635"/>
      <c r="N145" s="1650"/>
      <c r="P145" s="1650"/>
      <c r="Q145" s="1920"/>
      <c r="R145" s="1920"/>
      <c r="S145" s="1650"/>
      <c r="T145" s="1650"/>
      <c r="U145" s="1650"/>
      <c r="V145" s="1650"/>
      <c r="W145" s="1920"/>
      <c r="X145" s="1650"/>
      <c r="Y145" s="1650"/>
      <c r="Z145" s="828"/>
      <c r="AA145" s="1650"/>
      <c r="AB145" s="1650"/>
      <c r="AC145" s="1650"/>
      <c r="AD145" s="1650"/>
      <c r="AE145" s="1650"/>
      <c r="AF145" s="1916"/>
      <c r="AG145" s="906"/>
      <c r="AH145" s="906"/>
      <c r="AI145" s="906"/>
      <c r="AJ145" s="906"/>
      <c r="AK145" s="1925">
        <v>11</v>
      </c>
    </row>
    <row s="14730" customFormat="1" customHeight="1" ht="11.549999999999999">
      <c r="A146" s="1271"/>
      <c r="B146" s="1271"/>
      <c r="C146" s="1271"/>
      <c r="D146" s="1271"/>
      <c r="E146" s="1271"/>
      <c r="F146" s="1920"/>
      <c r="G146" s="1920"/>
      <c r="H146" s="635"/>
      <c r="N146" s="1650"/>
      <c r="P146" s="1650"/>
      <c r="Q146" s="1920"/>
      <c r="R146" s="1920"/>
      <c r="S146" s="1650"/>
      <c r="T146" s="1650"/>
      <c r="U146" s="1650"/>
      <c r="V146" s="1650"/>
      <c r="W146" s="1920"/>
      <c r="X146" s="1650"/>
      <c r="Y146" s="1650"/>
      <c r="Z146" s="828"/>
      <c r="AA146" s="1650"/>
      <c r="AB146" s="1650"/>
      <c r="AC146" s="1650"/>
      <c r="AD146" s="1650"/>
      <c r="AE146" s="1650"/>
      <c r="AF146" s="1916"/>
      <c r="AG146" s="906"/>
      <c r="AH146" s="906"/>
      <c r="AI146" s="906"/>
      <c r="AJ146" s="906"/>
      <c r="AK146" s="1925">
        <v>11</v>
      </c>
    </row>
    <row s="14730" customFormat="1" customHeight="1" ht="11.549999999999999">
      <c r="A147" s="1271"/>
      <c r="B147" s="1271"/>
      <c r="C147" s="1271"/>
      <c r="D147" s="1271"/>
      <c r="E147" s="1271"/>
      <c r="F147" s="1920"/>
      <c r="G147" s="1920"/>
      <c r="H147" s="635"/>
      <c r="N147" s="1650"/>
      <c r="P147" s="1650"/>
      <c r="Q147" s="1920"/>
      <c r="R147" s="1920"/>
      <c r="S147" s="1650"/>
      <c r="T147" s="1650"/>
      <c r="U147" s="1650"/>
      <c r="V147" s="1650"/>
      <c r="W147" s="1920"/>
      <c r="X147" s="1650"/>
      <c r="Y147" s="1650"/>
      <c r="Z147" s="828"/>
      <c r="AA147" s="1650"/>
      <c r="AB147" s="1650"/>
      <c r="AC147" s="1650"/>
      <c r="AD147" s="1650"/>
      <c r="AE147" s="1650"/>
      <c r="AF147" s="1916"/>
      <c r="AG147" s="906"/>
      <c r="AH147" s="906"/>
      <c r="AI147" s="906"/>
      <c r="AJ147" s="906"/>
      <c r="AK147" s="1925">
        <v>11</v>
      </c>
    </row>
    <row s="14730" customFormat="1" customHeight="1" ht="11.549999999999999">
      <c r="A148" s="1271"/>
      <c r="B148" s="1271"/>
      <c r="C148" s="1271"/>
      <c r="D148" s="1271"/>
      <c r="E148" s="1271"/>
      <c r="F148" s="1920"/>
      <c r="G148" s="1920"/>
      <c r="H148" s="635"/>
      <c r="N148" s="1650"/>
      <c r="P148" s="1650"/>
      <c r="Q148" s="1920"/>
      <c r="R148" s="1920"/>
      <c r="S148" s="1650"/>
      <c r="T148" s="1650"/>
      <c r="U148" s="1650"/>
      <c r="V148" s="1650"/>
      <c r="W148" s="1920"/>
      <c r="X148" s="1650"/>
      <c r="Y148" s="1650"/>
      <c r="Z148" s="828"/>
      <c r="AA148" s="1650"/>
      <c r="AB148" s="1650"/>
      <c r="AC148" s="1650"/>
      <c r="AD148" s="1650"/>
      <c r="AE148" s="1650"/>
      <c r="AF148" s="1916"/>
      <c r="AG148" s="906"/>
      <c r="AH148" s="906"/>
      <c r="AI148" s="906"/>
      <c r="AJ148" s="906"/>
      <c r="AK148" s="1925">
        <v>11</v>
      </c>
    </row>
    <row s="14730" customFormat="1" customHeight="1" ht="11.549999999999999">
      <c r="A149" s="1271"/>
      <c r="B149" s="1271"/>
      <c r="C149" s="1271"/>
      <c r="D149" s="1271"/>
      <c r="E149" s="1271"/>
      <c r="F149" s="1920"/>
      <c r="G149" s="1920"/>
      <c r="H149" s="635"/>
      <c r="N149" s="1650"/>
      <c r="P149" s="1650"/>
      <c r="Q149" s="1920"/>
      <c r="R149" s="1920"/>
      <c r="S149" s="1650"/>
      <c r="T149" s="1650"/>
      <c r="U149" s="1650"/>
      <c r="V149" s="1650"/>
      <c r="W149" s="1920"/>
      <c r="X149" s="1650"/>
      <c r="Y149" s="1650"/>
      <c r="Z149" s="828"/>
      <c r="AA149" s="1650"/>
      <c r="AB149" s="1650"/>
      <c r="AC149" s="1650"/>
      <c r="AD149" s="1650"/>
      <c r="AE149" s="1650"/>
      <c r="AF149" s="1916"/>
      <c r="AG149" s="906"/>
      <c r="AH149" s="906"/>
      <c r="AI149" s="906"/>
      <c r="AJ149" s="906"/>
      <c r="AK149" s="1925">
        <v>11</v>
      </c>
    </row>
    <row s="14730" customFormat="1" customHeight="1" ht="11.549999999999999">
      <c r="A150" s="1271"/>
      <c r="B150" s="1271"/>
      <c r="C150" s="1271"/>
      <c r="D150" s="1271"/>
      <c r="E150" s="1271"/>
      <c r="F150" s="1920"/>
      <c r="G150" s="1920"/>
      <c r="H150" s="635"/>
      <c r="N150" s="1650"/>
      <c r="P150" s="1650"/>
      <c r="Q150" s="1920"/>
      <c r="R150" s="1920"/>
      <c r="S150" s="1650"/>
      <c r="T150" s="1650"/>
      <c r="U150" s="1650"/>
      <c r="V150" s="1650"/>
      <c r="W150" s="1920"/>
      <c r="X150" s="1650"/>
      <c r="Y150" s="1650"/>
      <c r="Z150" s="828"/>
      <c r="AA150" s="1650"/>
      <c r="AB150" s="1650"/>
      <c r="AC150" s="1650"/>
      <c r="AD150" s="1650"/>
      <c r="AE150" s="1650"/>
      <c r="AF150" s="1916"/>
      <c r="AG150" s="906"/>
      <c r="AH150" s="906"/>
      <c r="AI150" s="906"/>
      <c r="AJ150" s="906"/>
      <c r="AK150" s="1925">
        <v>11</v>
      </c>
    </row>
    <row s="14730" customFormat="1" customHeight="1" ht="11.549999999999999">
      <c r="A151" s="1271"/>
      <c r="B151" s="1271"/>
      <c r="C151" s="1271"/>
      <c r="D151" s="1271"/>
      <c r="E151" s="1271"/>
      <c r="F151" s="1920"/>
      <c r="G151" s="1920"/>
      <c r="H151" s="635"/>
      <c r="N151" s="1650"/>
      <c r="P151" s="1650"/>
      <c r="Q151" s="1920"/>
      <c r="R151" s="1920"/>
      <c r="S151" s="1650"/>
      <c r="T151" s="1650"/>
      <c r="U151" s="1650"/>
      <c r="V151" s="1650"/>
      <c r="W151" s="1920"/>
      <c r="X151" s="1650"/>
      <c r="Y151" s="1650"/>
      <c r="Z151" s="828"/>
      <c r="AA151" s="1650"/>
      <c r="AB151" s="1650"/>
      <c r="AC151" s="1650"/>
      <c r="AD151" s="1650"/>
      <c r="AE151" s="1650"/>
      <c r="AF151" s="1916"/>
      <c r="AG151" s="906"/>
      <c r="AH151" s="906"/>
      <c r="AI151" s="906"/>
      <c r="AJ151" s="906"/>
      <c r="AK151" s="1925">
        <v>11</v>
      </c>
    </row>
    <row s="14730" customFormat="1" customHeight="1" ht="11.549999999999999">
      <c r="A152" s="1271"/>
      <c r="B152" s="1271"/>
      <c r="C152" s="1271"/>
      <c r="D152" s="1271"/>
      <c r="E152" s="1271"/>
      <c r="F152" s="1920"/>
      <c r="G152" s="1920"/>
      <c r="H152" s="635"/>
      <c r="N152" s="1650"/>
      <c r="P152" s="1650"/>
      <c r="Q152" s="1920"/>
      <c r="R152" s="1920"/>
      <c r="S152" s="1650"/>
      <c r="T152" s="1650"/>
      <c r="U152" s="1650"/>
      <c r="V152" s="1650"/>
      <c r="W152" s="1920"/>
      <c r="X152" s="1650"/>
      <c r="Y152" s="1650"/>
      <c r="Z152" s="828"/>
      <c r="AA152" s="1650"/>
      <c r="AB152" s="1650"/>
      <c r="AC152" s="1650"/>
      <c r="AD152" s="1650"/>
      <c r="AE152" s="1650"/>
      <c r="AF152" s="1916"/>
      <c r="AG152" s="906"/>
      <c r="AH152" s="906"/>
      <c r="AI152" s="906"/>
      <c r="AJ152" s="906"/>
      <c r="AK152" s="1925">
        <v>11</v>
      </c>
    </row>
    <row s="14730" customFormat="1" customHeight="1" ht="11.549999999999999">
      <c r="A153" s="1271"/>
      <c r="B153" s="1271"/>
      <c r="C153" s="1271"/>
      <c r="D153" s="1271"/>
      <c r="E153" s="1271"/>
      <c r="F153" s="1920"/>
      <c r="G153" s="1920"/>
      <c r="H153" s="635"/>
      <c r="N153" s="1650"/>
      <c r="P153" s="1650"/>
      <c r="Q153" s="1920"/>
      <c r="R153" s="1920"/>
      <c r="S153" s="1650"/>
      <c r="T153" s="1650"/>
      <c r="U153" s="1650"/>
      <c r="V153" s="1650"/>
      <c r="W153" s="1920"/>
      <c r="X153" s="1650"/>
      <c r="Y153" s="1650"/>
      <c r="Z153" s="828"/>
      <c r="AA153" s="1650"/>
      <c r="AB153" s="1650"/>
      <c r="AC153" s="1650"/>
      <c r="AD153" s="1650"/>
      <c r="AE153" s="1650"/>
      <c r="AF153" s="1916"/>
      <c r="AG153" s="906"/>
      <c r="AH153" s="906"/>
      <c r="AI153" s="906"/>
      <c r="AJ153" s="906"/>
      <c r="AK153" s="1925">
        <v>11</v>
      </c>
    </row>
    <row s="14730" customFormat="1" customHeight="1" ht="11.549999999999999">
      <c r="A154" s="1271"/>
      <c r="B154" s="1271"/>
      <c r="C154" s="1271"/>
      <c r="D154" s="1271"/>
      <c r="E154" s="1271"/>
      <c r="F154" s="1920"/>
      <c r="G154" s="1920"/>
      <c r="H154" s="635"/>
      <c r="N154" s="1650"/>
      <c r="P154" s="1650"/>
      <c r="Q154" s="1920"/>
      <c r="R154" s="1920"/>
      <c r="S154" s="1650"/>
      <c r="T154" s="1650"/>
      <c r="U154" s="1650"/>
      <c r="V154" s="1650"/>
      <c r="W154" s="1920"/>
      <c r="X154" s="1650"/>
      <c r="Y154" s="1650"/>
      <c r="Z154" s="828"/>
      <c r="AA154" s="1650"/>
      <c r="AB154" s="1650"/>
      <c r="AC154" s="1650"/>
      <c r="AD154" s="1650"/>
      <c r="AE154" s="1650"/>
      <c r="AF154" s="1916"/>
      <c r="AG154" s="906"/>
      <c r="AH154" s="906"/>
      <c r="AI154" s="906"/>
      <c r="AJ154" s="906"/>
      <c r="AK154" s="1925">
        <v>11</v>
      </c>
    </row>
    <row s="14730" customFormat="1" customHeight="1" ht="11.549999999999999">
      <c r="A155" s="1271"/>
      <c r="B155" s="1271"/>
      <c r="C155" s="1271"/>
      <c r="D155" s="1271"/>
      <c r="E155" s="1271"/>
      <c r="F155" s="1920"/>
      <c r="G155" s="1920"/>
      <c r="H155" s="635"/>
      <c r="N155" s="1650"/>
      <c r="P155" s="1650"/>
      <c r="Q155" s="1920"/>
      <c r="R155" s="1920"/>
      <c r="S155" s="1650"/>
      <c r="T155" s="1650"/>
      <c r="U155" s="1650"/>
      <c r="V155" s="1650"/>
      <c r="W155" s="1920"/>
      <c r="X155" s="1650"/>
      <c r="Y155" s="1650"/>
      <c r="Z155" s="828"/>
      <c r="AA155" s="1650"/>
      <c r="AB155" s="1650"/>
      <c r="AC155" s="1650"/>
      <c r="AD155" s="1650"/>
      <c r="AE155" s="1650"/>
      <c r="AF155" s="1916"/>
      <c r="AG155" s="906"/>
      <c r="AH155" s="906"/>
      <c r="AI155" s="906"/>
      <c r="AJ155" s="906"/>
      <c r="AK155" s="1925">
        <v>11</v>
      </c>
    </row>
    <row s="14730" customFormat="1" customHeight="1" ht="11.549999999999999">
      <c r="A156" s="1271"/>
      <c r="B156" s="1271"/>
      <c r="C156" s="1271"/>
      <c r="D156" s="1271"/>
      <c r="E156" s="1271"/>
      <c r="F156" s="1920"/>
      <c r="G156" s="1920"/>
      <c r="H156" s="635"/>
      <c r="N156" s="1650"/>
      <c r="P156" s="1650"/>
      <c r="Q156" s="1920"/>
      <c r="R156" s="1920"/>
      <c r="S156" s="1650"/>
      <c r="T156" s="1650"/>
      <c r="U156" s="1650"/>
      <c r="V156" s="1650"/>
      <c r="W156" s="1920"/>
      <c r="X156" s="1650"/>
      <c r="Y156" s="1650"/>
      <c r="Z156" s="828"/>
      <c r="AA156" s="1650"/>
      <c r="AB156" s="1650"/>
      <c r="AC156" s="1650"/>
      <c r="AD156" s="1650"/>
      <c r="AE156" s="1650"/>
      <c r="AF156" s="1916"/>
      <c r="AG156" s="906"/>
      <c r="AH156" s="906"/>
      <c r="AI156" s="906"/>
      <c r="AJ156" s="906"/>
      <c r="AK156" s="1925">
        <v>11</v>
      </c>
    </row>
    <row s="14730" customFormat="1" customHeight="1" ht="11.549999999999999">
      <c r="A157" s="1271"/>
      <c r="B157" s="1271"/>
      <c r="C157" s="1271"/>
      <c r="D157" s="1271"/>
      <c r="E157" s="1271"/>
      <c r="F157" s="1920"/>
      <c r="G157" s="1920"/>
      <c r="H157" s="635"/>
      <c r="N157" s="1650"/>
      <c r="P157" s="1650"/>
      <c r="Q157" s="1920"/>
      <c r="R157" s="1920"/>
      <c r="S157" s="1650"/>
      <c r="T157" s="1650"/>
      <c r="U157" s="1650"/>
      <c r="V157" s="1650"/>
      <c r="W157" s="1920"/>
      <c r="X157" s="1650"/>
      <c r="Y157" s="1650"/>
      <c r="Z157" s="828"/>
      <c r="AA157" s="1650"/>
      <c r="AB157" s="1650"/>
      <c r="AC157" s="1650"/>
      <c r="AD157" s="1650"/>
      <c r="AE157" s="1650"/>
      <c r="AF157" s="1916"/>
      <c r="AG157" s="906"/>
      <c r="AH157" s="906"/>
      <c r="AI157" s="906"/>
      <c r="AJ157" s="906"/>
      <c r="AK157" s="1925">
        <v>11</v>
      </c>
    </row>
    <row s="14730" customFormat="1" customHeight="1" ht="11.549999999999999">
      <c r="A158" s="1271"/>
      <c r="B158" s="1271"/>
      <c r="C158" s="1271"/>
      <c r="D158" s="1271"/>
      <c r="E158" s="1271"/>
      <c r="F158" s="1920"/>
      <c r="G158" s="1920"/>
      <c r="H158" s="635"/>
      <c r="N158" s="1650"/>
      <c r="P158" s="1650"/>
      <c r="Q158" s="1920"/>
      <c r="R158" s="1920"/>
      <c r="S158" s="1650"/>
      <c r="T158" s="1650"/>
      <c r="U158" s="1650"/>
      <c r="V158" s="1650"/>
      <c r="W158" s="1920"/>
      <c r="X158" s="1650"/>
      <c r="Y158" s="1650"/>
      <c r="Z158" s="828"/>
      <c r="AA158" s="1650"/>
      <c r="AB158" s="1650"/>
      <c r="AC158" s="1650"/>
      <c r="AD158" s="1650"/>
      <c r="AE158" s="1650"/>
      <c r="AF158" s="1916"/>
      <c r="AG158" s="906"/>
      <c r="AH158" s="906"/>
      <c r="AI158" s="906"/>
      <c r="AJ158" s="906"/>
      <c r="AK158" s="1925">
        <v>11</v>
      </c>
    </row>
    <row s="14730" customFormat="1" customHeight="1" ht="11.549999999999999">
      <c r="A159" s="1271"/>
      <c r="B159" s="1271"/>
      <c r="C159" s="1271"/>
      <c r="D159" s="1271"/>
      <c r="E159" s="1271"/>
      <c r="F159" s="1920"/>
      <c r="G159" s="1920"/>
      <c r="H159" s="635"/>
      <c r="N159" s="1650"/>
      <c r="P159" s="1650"/>
      <c r="Q159" s="1920"/>
      <c r="R159" s="1920"/>
      <c r="S159" s="1650"/>
      <c r="T159" s="1650"/>
      <c r="U159" s="1650"/>
      <c r="V159" s="1650"/>
      <c r="W159" s="1920"/>
      <c r="X159" s="1650"/>
      <c r="Y159" s="1650"/>
      <c r="Z159" s="828"/>
      <c r="AA159" s="1650"/>
      <c r="AB159" s="1650"/>
      <c r="AC159" s="1650"/>
      <c r="AD159" s="1650"/>
      <c r="AE159" s="1650"/>
      <c r="AF159" s="1916"/>
      <c r="AG159" s="906"/>
      <c r="AH159" s="906"/>
      <c r="AI159" s="906"/>
      <c r="AJ159" s="906"/>
      <c r="AK159" s="1925">
        <v>11</v>
      </c>
    </row>
    <row s="14730" customFormat="1" customHeight="1" ht="11.549999999999999">
      <c r="A160" s="1271"/>
      <c r="B160" s="1271"/>
      <c r="C160" s="1271"/>
      <c r="D160" s="1271"/>
      <c r="E160" s="1271"/>
      <c r="F160" s="1920"/>
      <c r="G160" s="1920"/>
      <c r="H160" s="635"/>
      <c r="N160" s="1650"/>
      <c r="P160" s="1650"/>
      <c r="Q160" s="1920"/>
      <c r="R160" s="1920"/>
      <c r="S160" s="1650"/>
      <c r="T160" s="1650"/>
      <c r="U160" s="1650"/>
      <c r="V160" s="1650"/>
      <c r="W160" s="1920"/>
      <c r="X160" s="1650"/>
      <c r="Y160" s="1650"/>
      <c r="Z160" s="828"/>
      <c r="AA160" s="1650"/>
      <c r="AB160" s="1650"/>
      <c r="AC160" s="1650"/>
      <c r="AD160" s="1650"/>
      <c r="AE160" s="1650"/>
      <c r="AF160" s="1916"/>
      <c r="AG160" s="906"/>
      <c r="AH160" s="906"/>
      <c r="AI160" s="906"/>
      <c r="AJ160" s="906"/>
      <c r="AK160" s="1925">
        <v>11</v>
      </c>
    </row>
    <row s="14730" customFormat="1" customHeight="1" ht="11.549999999999999">
      <c r="A161" s="1271"/>
      <c r="B161" s="1271"/>
      <c r="C161" s="1271"/>
      <c r="D161" s="1271"/>
      <c r="E161" s="1271"/>
      <c r="F161" s="1920"/>
      <c r="G161" s="1920"/>
      <c r="H161" s="635"/>
      <c r="N161" s="1650"/>
      <c r="P161" s="1650"/>
      <c r="Q161" s="1920"/>
      <c r="R161" s="1920"/>
      <c r="S161" s="1650"/>
      <c r="T161" s="1650"/>
      <c r="U161" s="1650"/>
      <c r="V161" s="1650"/>
      <c r="W161" s="1920"/>
      <c r="X161" s="1650"/>
      <c r="Y161" s="1650"/>
      <c r="Z161" s="828"/>
      <c r="AA161" s="1650"/>
      <c r="AB161" s="1650"/>
      <c r="AC161" s="1650"/>
      <c r="AD161" s="1650"/>
      <c r="AE161" s="1650"/>
      <c r="AF161" s="1916"/>
      <c r="AG161" s="906"/>
      <c r="AH161" s="906"/>
      <c r="AI161" s="906"/>
      <c r="AJ161" s="906"/>
      <c r="AK161" s="1925">
        <v>11</v>
      </c>
    </row>
    <row s="14730" customFormat="1" customHeight="1" ht="11.549999999999999">
      <c r="A162" s="1271"/>
      <c r="B162" s="1271"/>
      <c r="C162" s="1271"/>
      <c r="D162" s="1271"/>
      <c r="E162" s="1271"/>
      <c r="F162" s="1920"/>
      <c r="G162" s="1920"/>
      <c r="H162" s="635"/>
      <c r="N162" s="1650"/>
      <c r="P162" s="1650"/>
      <c r="Q162" s="1920"/>
      <c r="R162" s="1920"/>
      <c r="S162" s="1650"/>
      <c r="T162" s="1650"/>
      <c r="U162" s="1650"/>
      <c r="V162" s="1650"/>
      <c r="W162" s="1920"/>
      <c r="X162" s="1650"/>
      <c r="Y162" s="1650"/>
      <c r="Z162" s="828"/>
      <c r="AA162" s="1650"/>
      <c r="AB162" s="1650"/>
      <c r="AC162" s="1650"/>
      <c r="AD162" s="1650"/>
      <c r="AE162" s="1650"/>
      <c r="AF162" s="1916"/>
      <c r="AG162" s="906"/>
      <c r="AH162" s="906"/>
      <c r="AI162" s="906"/>
      <c r="AJ162" s="906"/>
      <c r="AK162" s="1925">
        <v>11</v>
      </c>
    </row>
    <row s="14730" customFormat="1" customHeight="1" ht="11.549999999999999">
      <c r="A163" s="1271"/>
      <c r="B163" s="1271"/>
      <c r="C163" s="1271"/>
      <c r="D163" s="1271"/>
      <c r="E163" s="1271"/>
      <c r="F163" s="1920"/>
      <c r="G163" s="1920"/>
      <c r="H163" s="635"/>
      <c r="N163" s="1650"/>
      <c r="P163" s="1650"/>
      <c r="Q163" s="1920"/>
      <c r="R163" s="1920"/>
      <c r="S163" s="1650"/>
      <c r="T163" s="1650"/>
      <c r="U163" s="1650"/>
      <c r="V163" s="1650"/>
      <c r="W163" s="1920"/>
      <c r="X163" s="1650"/>
      <c r="Y163" s="1650"/>
      <c r="Z163" s="828"/>
      <c r="AA163" s="1650"/>
      <c r="AB163" s="1650"/>
      <c r="AC163" s="1650"/>
      <c r="AD163" s="1650"/>
      <c r="AE163" s="1650"/>
      <c r="AF163" s="1916"/>
      <c r="AG163" s="906"/>
      <c r="AH163" s="906"/>
      <c r="AI163" s="906"/>
      <c r="AJ163" s="906"/>
      <c r="AK163" s="1925">
        <v>11</v>
      </c>
    </row>
    <row s="14730" customFormat="1" customHeight="1" ht="11.549999999999999">
      <c r="A164" s="1271"/>
      <c r="B164" s="1271"/>
      <c r="C164" s="1271"/>
      <c r="D164" s="1271"/>
      <c r="E164" s="1271"/>
      <c r="F164" s="1920"/>
      <c r="G164" s="1920"/>
      <c r="H164" s="635"/>
      <c r="N164" s="1650"/>
      <c r="P164" s="1650"/>
      <c r="Q164" s="1920"/>
      <c r="R164" s="1920"/>
      <c r="S164" s="1650"/>
      <c r="T164" s="1650"/>
      <c r="U164" s="1650"/>
      <c r="V164" s="1650"/>
      <c r="W164" s="1920"/>
      <c r="X164" s="1650"/>
      <c r="Y164" s="1650"/>
      <c r="Z164" s="828"/>
      <c r="AA164" s="1650"/>
      <c r="AB164" s="1650"/>
      <c r="AC164" s="1650"/>
      <c r="AD164" s="1650"/>
      <c r="AE164" s="1650"/>
      <c r="AF164" s="1916"/>
      <c r="AG164" s="906"/>
      <c r="AH164" s="906"/>
      <c r="AI164" s="906"/>
      <c r="AJ164" s="906"/>
      <c r="AK164" s="1925">
        <v>11</v>
      </c>
    </row>
    <row s="14730" customFormat="1" customHeight="1" ht="11.549999999999999">
      <c r="A165" s="1271"/>
      <c r="B165" s="1271"/>
      <c r="C165" s="1271"/>
      <c r="D165" s="1271"/>
      <c r="E165" s="1271"/>
      <c r="F165" s="1920"/>
      <c r="G165" s="1920"/>
      <c r="H165" s="635"/>
      <c r="N165" s="1650"/>
      <c r="P165" s="1650"/>
      <c r="Q165" s="1920"/>
      <c r="R165" s="1920"/>
      <c r="S165" s="1650"/>
      <c r="T165" s="1650"/>
      <c r="U165" s="1650"/>
      <c r="V165" s="1650"/>
      <c r="W165" s="1920"/>
      <c r="X165" s="1650"/>
      <c r="Y165" s="1650"/>
      <c r="Z165" s="828"/>
      <c r="AA165" s="1650"/>
      <c r="AB165" s="1650"/>
      <c r="AC165" s="1650"/>
      <c r="AD165" s="1650"/>
      <c r="AE165" s="1650"/>
      <c r="AF165" s="1916"/>
      <c r="AG165" s="906"/>
      <c r="AH165" s="906"/>
      <c r="AI165" s="906"/>
      <c r="AJ165" s="906"/>
      <c r="AK165" s="1925">
        <v>11</v>
      </c>
    </row>
    <row s="14730" customFormat="1" customHeight="1" ht="11.549999999999999">
      <c r="A166" s="1271"/>
      <c r="B166" s="1271"/>
      <c r="C166" s="1271"/>
      <c r="D166" s="1271"/>
      <c r="E166" s="1271"/>
      <c r="F166" s="1920"/>
      <c r="G166" s="1920"/>
      <c r="H166" s="635"/>
      <c r="N166" s="1650"/>
      <c r="P166" s="1650"/>
      <c r="Q166" s="1920"/>
      <c r="R166" s="1920"/>
      <c r="S166" s="1650"/>
      <c r="T166" s="1650"/>
      <c r="U166" s="1650"/>
      <c r="V166" s="1650"/>
      <c r="W166" s="1920"/>
      <c r="X166" s="1650"/>
      <c r="Y166" s="1650"/>
      <c r="Z166" s="828"/>
      <c r="AA166" s="1650"/>
      <c r="AB166" s="1650"/>
      <c r="AC166" s="1650"/>
      <c r="AD166" s="1650"/>
      <c r="AE166" s="1650"/>
      <c r="AF166" s="1916"/>
      <c r="AG166" s="906"/>
      <c r="AH166" s="906"/>
      <c r="AI166" s="906"/>
      <c r="AJ166" s="906"/>
      <c r="AK166" s="1925">
        <v>11</v>
      </c>
    </row>
    <row s="14730" customFormat="1" customHeight="1" ht="11.549999999999999">
      <c r="A167" s="1271"/>
      <c r="B167" s="1271"/>
      <c r="C167" s="1271"/>
      <c r="D167" s="1271"/>
      <c r="E167" s="1271"/>
      <c r="F167" s="1920"/>
      <c r="G167" s="1920"/>
      <c r="H167" s="635"/>
      <c r="N167" s="1650"/>
      <c r="P167" s="1650"/>
      <c r="Q167" s="1920"/>
      <c r="R167" s="1920"/>
      <c r="S167" s="1650"/>
      <c r="T167" s="1650"/>
      <c r="U167" s="1650"/>
      <c r="V167" s="1650"/>
      <c r="W167" s="1920"/>
      <c r="X167" s="1650"/>
      <c r="Y167" s="1650"/>
      <c r="Z167" s="828"/>
      <c r="AA167" s="1650"/>
      <c r="AB167" s="1650"/>
      <c r="AC167" s="1650"/>
      <c r="AD167" s="1650"/>
      <c r="AE167" s="1650"/>
      <c r="AF167" s="1916"/>
      <c r="AG167" s="906"/>
      <c r="AH167" s="906"/>
      <c r="AI167" s="906"/>
      <c r="AJ167" s="906"/>
      <c r="AK167" s="1925">
        <v>11</v>
      </c>
    </row>
    <row s="14730" customFormat="1" customHeight="1" ht="11.549999999999999">
      <c r="A168" s="1271"/>
      <c r="B168" s="1271"/>
      <c r="C168" s="1271"/>
      <c r="D168" s="1271"/>
      <c r="E168" s="1271"/>
      <c r="F168" s="1920"/>
      <c r="G168" s="1920"/>
      <c r="H168" s="635"/>
      <c r="N168" s="1650"/>
      <c r="P168" s="1650"/>
      <c r="Q168" s="1920"/>
      <c r="R168" s="1920"/>
      <c r="S168" s="1650"/>
      <c r="T168" s="1650"/>
      <c r="U168" s="1650"/>
      <c r="V168" s="1650"/>
      <c r="W168" s="1920"/>
      <c r="X168" s="1650"/>
      <c r="Y168" s="1650"/>
      <c r="Z168" s="828"/>
      <c r="AA168" s="1650"/>
      <c r="AB168" s="1650"/>
      <c r="AC168" s="1650"/>
      <c r="AD168" s="1650"/>
      <c r="AE168" s="1650"/>
      <c r="AF168" s="1916"/>
      <c r="AG168" s="906"/>
      <c r="AH168" s="906"/>
      <c r="AI168" s="906"/>
      <c r="AJ168" s="906"/>
      <c r="AK168" s="1925">
        <v>11</v>
      </c>
    </row>
    <row s="14730" customFormat="1" customHeight="1" ht="11.549999999999999">
      <c r="A169" s="1271"/>
      <c r="B169" s="1271"/>
      <c r="C169" s="1271"/>
      <c r="D169" s="1271"/>
      <c r="E169" s="1271"/>
      <c r="F169" s="1920"/>
      <c r="G169" s="1920"/>
      <c r="H169" s="635"/>
      <c r="N169" s="1650"/>
      <c r="P169" s="1650"/>
      <c r="Q169" s="1920"/>
      <c r="R169" s="1920"/>
      <c r="S169" s="1650"/>
      <c r="T169" s="1650"/>
      <c r="U169" s="1650"/>
      <c r="V169" s="1650"/>
      <c r="W169" s="1920"/>
      <c r="X169" s="1650"/>
      <c r="Y169" s="1650"/>
      <c r="Z169" s="828"/>
      <c r="AA169" s="1650"/>
      <c r="AB169" s="1650"/>
      <c r="AC169" s="1650"/>
      <c r="AD169" s="1650"/>
      <c r="AE169" s="1650"/>
      <c r="AF169" s="1916"/>
      <c r="AG169" s="906"/>
      <c r="AH169" s="906"/>
      <c r="AI169" s="906"/>
      <c r="AJ169" s="906"/>
      <c r="AK169" s="1925">
        <v>11</v>
      </c>
    </row>
    <row s="14730" customFormat="1" customHeight="1" ht="11.549999999999999">
      <c r="A170" s="1271"/>
      <c r="B170" s="1271"/>
      <c r="C170" s="1271"/>
      <c r="D170" s="1271"/>
      <c r="E170" s="1271"/>
      <c r="F170" s="1920"/>
      <c r="G170" s="1920"/>
      <c r="H170" s="635"/>
      <c r="N170" s="1650"/>
      <c r="P170" s="1650"/>
      <c r="Q170" s="1920"/>
      <c r="R170" s="1920"/>
      <c r="S170" s="1650"/>
      <c r="T170" s="1650"/>
      <c r="U170" s="1650"/>
      <c r="V170" s="1650"/>
      <c r="W170" s="1920"/>
      <c r="X170" s="1650"/>
      <c r="Y170" s="1650"/>
      <c r="Z170" s="828"/>
      <c r="AA170" s="1650"/>
      <c r="AB170" s="1650"/>
      <c r="AC170" s="1650"/>
      <c r="AD170" s="1650"/>
      <c r="AE170" s="1650"/>
      <c r="AF170" s="1916"/>
      <c r="AG170" s="906"/>
      <c r="AH170" s="906"/>
      <c r="AI170" s="906"/>
      <c r="AJ170" s="906"/>
      <c r="AK170" s="1925">
        <v>11</v>
      </c>
    </row>
    <row s="14730" customFormat="1" customHeight="1" ht="11.549999999999999">
      <c r="A171" s="1271"/>
      <c r="B171" s="1271"/>
      <c r="C171" s="1271"/>
      <c r="D171" s="1271"/>
      <c r="E171" s="1271"/>
      <c r="F171" s="1920"/>
      <c r="G171" s="1920"/>
      <c r="H171" s="635"/>
      <c r="N171" s="1650"/>
      <c r="P171" s="1650"/>
      <c r="Q171" s="1920"/>
      <c r="R171" s="1920"/>
      <c r="S171" s="1650"/>
      <c r="T171" s="1650"/>
      <c r="U171" s="1650"/>
      <c r="V171" s="1650"/>
      <c r="W171" s="1920"/>
      <c r="X171" s="1650"/>
      <c r="Y171" s="1650"/>
      <c r="Z171" s="828"/>
      <c r="AA171" s="1650"/>
      <c r="AB171" s="1650"/>
      <c r="AC171" s="1650"/>
      <c r="AD171" s="1650"/>
      <c r="AE171" s="1650"/>
      <c r="AF171" s="1916"/>
      <c r="AG171" s="906"/>
      <c r="AH171" s="906"/>
      <c r="AI171" s="906"/>
      <c r="AJ171" s="906"/>
      <c r="AK171" s="1925">
        <v>11</v>
      </c>
    </row>
    <row s="14730" customFormat="1" customHeight="1" ht="11.549999999999999">
      <c r="A172" s="1271"/>
      <c r="B172" s="1271"/>
      <c r="C172" s="1271"/>
      <c r="D172" s="1271"/>
      <c r="E172" s="1271"/>
      <c r="F172" s="1920"/>
      <c r="G172" s="1920"/>
      <c r="H172" s="635"/>
      <c r="N172" s="1650"/>
      <c r="P172" s="1650"/>
      <c r="Q172" s="1920"/>
      <c r="R172" s="1920"/>
      <c r="S172" s="1650"/>
      <c r="T172" s="1650"/>
      <c r="U172" s="1650"/>
      <c r="V172" s="1650"/>
      <c r="W172" s="1920"/>
      <c r="X172" s="1650"/>
      <c r="Y172" s="1650"/>
      <c r="Z172" s="828"/>
      <c r="AA172" s="1650"/>
      <c r="AB172" s="1650"/>
      <c r="AC172" s="1650"/>
      <c r="AD172" s="1650"/>
      <c r="AE172" s="1650"/>
      <c r="AF172" s="1916"/>
      <c r="AG172" s="906"/>
      <c r="AH172" s="906"/>
      <c r="AI172" s="906"/>
      <c r="AJ172" s="906"/>
      <c r="AK172" s="1925">
        <v>11</v>
      </c>
    </row>
    <row s="14730" customFormat="1" customHeight="1" ht="11.549999999999999">
      <c r="A173" s="1271"/>
      <c r="B173" s="1271"/>
      <c r="C173" s="1271"/>
      <c r="D173" s="1271"/>
      <c r="E173" s="1271"/>
      <c r="F173" s="1920"/>
      <c r="G173" s="1920"/>
      <c r="H173" s="635"/>
      <c r="N173" s="1650"/>
      <c r="P173" s="1650"/>
      <c r="Q173" s="1920"/>
      <c r="R173" s="1920"/>
      <c r="S173" s="1650"/>
      <c r="T173" s="1650"/>
      <c r="U173" s="1650"/>
      <c r="V173" s="1650"/>
      <c r="W173" s="1920"/>
      <c r="X173" s="1650"/>
      <c r="Y173" s="1650"/>
      <c r="Z173" s="828"/>
      <c r="AA173" s="1650"/>
      <c r="AB173" s="1650"/>
      <c r="AC173" s="1650"/>
      <c r="AD173" s="1650"/>
      <c r="AE173" s="1650"/>
      <c r="AF173" s="1916"/>
      <c r="AG173" s="906"/>
      <c r="AH173" s="906"/>
      <c r="AI173" s="906"/>
      <c r="AJ173" s="906"/>
      <c r="AK173" s="1925">
        <v>11</v>
      </c>
    </row>
    <row s="14730" customFormat="1" customHeight="1" ht="11.549999999999999">
      <c r="A174" s="1271"/>
      <c r="B174" s="1271"/>
      <c r="C174" s="1271"/>
      <c r="D174" s="1271"/>
      <c r="E174" s="1271"/>
      <c r="F174" s="1920"/>
      <c r="G174" s="1920"/>
      <c r="H174" s="635"/>
      <c r="N174" s="1650"/>
      <c r="P174" s="1650"/>
      <c r="Q174" s="1920"/>
      <c r="R174" s="1920"/>
      <c r="S174" s="1650"/>
      <c r="T174" s="1650"/>
      <c r="U174" s="1650"/>
      <c r="V174" s="1650"/>
      <c r="W174" s="1920"/>
      <c r="X174" s="1650"/>
      <c r="Y174" s="1650"/>
      <c r="Z174" s="828"/>
      <c r="AA174" s="1650"/>
      <c r="AB174" s="1650"/>
      <c r="AC174" s="1650"/>
      <c r="AD174" s="1650"/>
      <c r="AE174" s="1650"/>
      <c r="AF174" s="1916"/>
      <c r="AG174" s="906"/>
      <c r="AH174" s="906"/>
      <c r="AI174" s="906"/>
      <c r="AJ174" s="906"/>
      <c r="AK174" s="1925">
        <v>11</v>
      </c>
    </row>
    <row s="14730" customFormat="1" customHeight="1" ht="11.549999999999999">
      <c r="A175" s="1271"/>
      <c r="B175" s="1271"/>
      <c r="C175" s="1271"/>
      <c r="D175" s="1271"/>
      <c r="E175" s="1271"/>
      <c r="F175" s="1920"/>
      <c r="G175" s="1920"/>
      <c r="H175" s="635"/>
      <c r="N175" s="1650"/>
      <c r="P175" s="1650"/>
      <c r="Q175" s="1920"/>
      <c r="R175" s="1920"/>
      <c r="S175" s="1650"/>
      <c r="T175" s="1650"/>
      <c r="U175" s="1650"/>
      <c r="V175" s="1650"/>
      <c r="W175" s="1920"/>
      <c r="X175" s="1650"/>
      <c r="Y175" s="1650"/>
      <c r="Z175" s="828"/>
      <c r="AA175" s="1650"/>
      <c r="AB175" s="1650"/>
      <c r="AC175" s="1650"/>
      <c r="AD175" s="1650"/>
      <c r="AE175" s="1650"/>
      <c r="AF175" s="1916"/>
      <c r="AG175" s="906"/>
      <c r="AH175" s="906"/>
      <c r="AI175" s="906"/>
      <c r="AJ175" s="906"/>
      <c r="AK175" s="1925">
        <v>11</v>
      </c>
    </row>
    <row s="14730" customFormat="1" customHeight="1" ht="11.549999999999999">
      <c r="A176" s="1271"/>
      <c r="B176" s="1271"/>
      <c r="C176" s="1271"/>
      <c r="D176" s="1271"/>
      <c r="E176" s="1271"/>
      <c r="F176" s="1920"/>
      <c r="G176" s="1920"/>
      <c r="H176" s="635"/>
      <c r="N176" s="1650"/>
      <c r="P176" s="1650"/>
      <c r="Q176" s="1920"/>
      <c r="R176" s="1920"/>
      <c r="S176" s="1650"/>
      <c r="T176" s="1650"/>
      <c r="U176" s="1650"/>
      <c r="V176" s="1650"/>
      <c r="W176" s="1920"/>
      <c r="X176" s="1650"/>
      <c r="Y176" s="1650"/>
      <c r="Z176" s="828"/>
      <c r="AA176" s="1650"/>
      <c r="AB176" s="1650"/>
      <c r="AC176" s="1650"/>
      <c r="AD176" s="1650"/>
      <c r="AE176" s="1650"/>
      <c r="AF176" s="1916"/>
      <c r="AG176" s="906"/>
      <c r="AH176" s="906"/>
      <c r="AI176" s="906"/>
      <c r="AJ176" s="906"/>
      <c r="AK176" s="1925">
        <v>11</v>
      </c>
    </row>
    <row s="14730" customFormat="1" customHeight="1" ht="11.549999999999999">
      <c r="A177" s="1271"/>
      <c r="B177" s="1271"/>
      <c r="C177" s="1271"/>
      <c r="D177" s="1271"/>
      <c r="E177" s="1271"/>
      <c r="F177" s="1920"/>
      <c r="G177" s="1920"/>
      <c r="H177" s="635"/>
      <c r="N177" s="1650"/>
      <c r="P177" s="1650"/>
      <c r="Q177" s="1920"/>
      <c r="R177" s="1920"/>
      <c r="S177" s="1650"/>
      <c r="T177" s="1650"/>
      <c r="U177" s="1650"/>
      <c r="V177" s="1650"/>
      <c r="W177" s="1920"/>
      <c r="X177" s="1650"/>
      <c r="Y177" s="1650"/>
      <c r="Z177" s="828"/>
      <c r="AA177" s="1650"/>
      <c r="AB177" s="1650"/>
      <c r="AC177" s="1650"/>
      <c r="AD177" s="1650"/>
      <c r="AE177" s="1650"/>
      <c r="AF177" s="1916"/>
      <c r="AG177" s="906"/>
      <c r="AH177" s="906"/>
      <c r="AI177" s="906"/>
      <c r="AJ177" s="906"/>
      <c r="AK177" s="1925">
        <v>11</v>
      </c>
    </row>
    <row s="14730" customFormat="1" customHeight="1" ht="11.549999999999999">
      <c r="A178" s="1271"/>
      <c r="B178" s="1271"/>
      <c r="C178" s="1271"/>
      <c r="D178" s="1271"/>
      <c r="E178" s="1271"/>
      <c r="F178" s="1920"/>
      <c r="G178" s="1920"/>
      <c r="H178" s="635"/>
      <c r="N178" s="1650"/>
      <c r="P178" s="1650"/>
      <c r="Q178" s="1920"/>
      <c r="R178" s="1920"/>
      <c r="S178" s="1650"/>
      <c r="T178" s="1650"/>
      <c r="U178" s="1650"/>
      <c r="V178" s="1650"/>
      <c r="W178" s="1920"/>
      <c r="X178" s="1650"/>
      <c r="Y178" s="1650"/>
      <c r="Z178" s="828"/>
      <c r="AA178" s="1650"/>
      <c r="AB178" s="1650"/>
      <c r="AC178" s="1650"/>
      <c r="AD178" s="1650"/>
      <c r="AE178" s="1650"/>
      <c r="AF178" s="1916"/>
      <c r="AG178" s="906"/>
      <c r="AH178" s="906"/>
      <c r="AI178" s="906"/>
      <c r="AJ178" s="906"/>
      <c r="AK178" s="1925">
        <v>11</v>
      </c>
    </row>
    <row s="14730" customFormat="1" customHeight="1" ht="11.549999999999999">
      <c r="A179" s="1271"/>
      <c r="B179" s="1271"/>
      <c r="C179" s="1271"/>
      <c r="D179" s="1271"/>
      <c r="E179" s="1271"/>
      <c r="F179" s="1920"/>
      <c r="G179" s="1920"/>
      <c r="H179" s="635"/>
      <c r="N179" s="1650"/>
      <c r="P179" s="1650"/>
      <c r="Q179" s="1920"/>
      <c r="R179" s="1920"/>
      <c r="S179" s="1650"/>
      <c r="T179" s="1650"/>
      <c r="U179" s="1650"/>
      <c r="V179" s="1650"/>
      <c r="W179" s="1920"/>
      <c r="X179" s="1650"/>
      <c r="Y179" s="1650"/>
      <c r="Z179" s="828"/>
      <c r="AA179" s="1650"/>
      <c r="AB179" s="1650"/>
      <c r="AC179" s="1650"/>
      <c r="AD179" s="1650"/>
      <c r="AE179" s="1650"/>
      <c r="AF179" s="1916"/>
      <c r="AG179" s="906"/>
      <c r="AH179" s="906"/>
      <c r="AI179" s="906"/>
      <c r="AJ179" s="906"/>
      <c r="AK179" s="1925">
        <v>11</v>
      </c>
    </row>
    <row s="14730" customFormat="1" customHeight="1" ht="11.549999999999999">
      <c r="A180" s="1271"/>
      <c r="B180" s="1271"/>
      <c r="C180" s="1271"/>
      <c r="D180" s="1271"/>
      <c r="E180" s="1271"/>
      <c r="F180" s="1920"/>
      <c r="G180" s="1920"/>
      <c r="H180" s="635"/>
      <c r="N180" s="1650"/>
      <c r="P180" s="1650"/>
      <c r="Q180" s="1920"/>
      <c r="R180" s="1920"/>
      <c r="S180" s="1650"/>
      <c r="T180" s="1650"/>
      <c r="U180" s="1650"/>
      <c r="V180" s="1650"/>
      <c r="W180" s="1920"/>
      <c r="X180" s="1650"/>
      <c r="Y180" s="1650"/>
      <c r="Z180" s="828"/>
      <c r="AA180" s="1650"/>
      <c r="AB180" s="1650"/>
      <c r="AC180" s="1650"/>
      <c r="AD180" s="1650"/>
      <c r="AE180" s="1650"/>
      <c r="AF180" s="1916"/>
      <c r="AG180" s="906"/>
      <c r="AH180" s="906"/>
      <c r="AI180" s="906"/>
      <c r="AJ180" s="906"/>
      <c r="AK180" s="1925">
        <v>11</v>
      </c>
    </row>
    <row s="14730" customFormat="1" customHeight="1" ht="11.549999999999999">
      <c r="A181" s="1271"/>
      <c r="B181" s="1271"/>
      <c r="C181" s="1271"/>
      <c r="D181" s="1271"/>
      <c r="E181" s="1271"/>
      <c r="F181" s="1920"/>
      <c r="G181" s="1920"/>
      <c r="H181" s="635"/>
      <c r="N181" s="1650"/>
      <c r="P181" s="1650"/>
      <c r="Q181" s="1920"/>
      <c r="R181" s="1920"/>
      <c r="S181" s="1650"/>
      <c r="T181" s="1650"/>
      <c r="U181" s="1650"/>
      <c r="V181" s="1650"/>
      <c r="W181" s="1920"/>
      <c r="X181" s="1650"/>
      <c r="Y181" s="1650"/>
      <c r="Z181" s="828"/>
      <c r="AA181" s="1650"/>
      <c r="AB181" s="1650"/>
      <c r="AC181" s="1650"/>
      <c r="AD181" s="1650"/>
      <c r="AE181" s="1650"/>
      <c r="AF181" s="1916"/>
      <c r="AG181" s="906"/>
      <c r="AH181" s="906"/>
      <c r="AI181" s="906"/>
      <c r="AJ181" s="906"/>
      <c r="AK181" s="1925">
        <v>11</v>
      </c>
    </row>
    <row s="14730" customFormat="1" customHeight="1" ht="11.549999999999999">
      <c r="A182" s="1271"/>
      <c r="B182" s="1271"/>
      <c r="C182" s="1271"/>
      <c r="D182" s="1271"/>
      <c r="E182" s="1271"/>
      <c r="F182" s="1920"/>
      <c r="G182" s="1920"/>
      <c r="H182" s="635"/>
      <c r="N182" s="1650"/>
      <c r="P182" s="1650"/>
      <c r="Q182" s="1920"/>
      <c r="R182" s="1920"/>
      <c r="S182" s="1650"/>
      <c r="T182" s="1650"/>
      <c r="U182" s="1650"/>
      <c r="V182" s="1650"/>
      <c r="W182" s="1920"/>
      <c r="X182" s="1650"/>
      <c r="Y182" s="1650"/>
      <c r="Z182" s="828"/>
      <c r="AA182" s="1650"/>
      <c r="AB182" s="1650"/>
      <c r="AC182" s="1650"/>
      <c r="AD182" s="1650"/>
      <c r="AE182" s="1650"/>
      <c r="AF182" s="1916"/>
      <c r="AG182" s="906"/>
      <c r="AH182" s="906"/>
      <c r="AI182" s="906"/>
      <c r="AJ182" s="906"/>
      <c r="AK182" s="1925">
        <v>11</v>
      </c>
    </row>
    <row s="14730" customFormat="1" customHeight="1" ht="11.549999999999999">
      <c r="A183" s="1271"/>
      <c r="B183" s="1271"/>
      <c r="C183" s="1271"/>
      <c r="D183" s="1271"/>
      <c r="E183" s="1271"/>
      <c r="F183" s="1920"/>
      <c r="G183" s="1920"/>
      <c r="H183" s="635"/>
      <c r="N183" s="1650"/>
      <c r="P183" s="1650"/>
      <c r="Q183" s="1920"/>
      <c r="R183" s="1920"/>
      <c r="S183" s="1650"/>
      <c r="T183" s="1650"/>
      <c r="U183" s="1650"/>
      <c r="V183" s="1650"/>
      <c r="W183" s="1920"/>
      <c r="X183" s="1650"/>
      <c r="Y183" s="1650"/>
      <c r="Z183" s="828"/>
      <c r="AA183" s="1650"/>
      <c r="AB183" s="1650"/>
      <c r="AC183" s="1650"/>
      <c r="AD183" s="1650"/>
      <c r="AE183" s="1650"/>
      <c r="AF183" s="1916"/>
      <c r="AG183" s="906"/>
      <c r="AH183" s="906"/>
      <c r="AI183" s="906"/>
      <c r="AJ183" s="906"/>
      <c r="AK183" s="1925">
        <v>11</v>
      </c>
    </row>
    <row s="14730" customFormat="1" customHeight="1" ht="11.549999999999999">
      <c r="A184" s="1271"/>
      <c r="B184" s="1271"/>
      <c r="C184" s="1271"/>
      <c r="D184" s="1271"/>
      <c r="E184" s="1271"/>
      <c r="F184" s="1920"/>
      <c r="G184" s="1920"/>
      <c r="H184" s="635"/>
      <c r="N184" s="1650"/>
      <c r="P184" s="1650"/>
      <c r="Q184" s="1920"/>
      <c r="R184" s="1920"/>
      <c r="S184" s="1650"/>
      <c r="T184" s="1650"/>
      <c r="U184" s="1650"/>
      <c r="V184" s="1650"/>
      <c r="W184" s="1920"/>
      <c r="X184" s="1650"/>
      <c r="Y184" s="1650"/>
      <c r="Z184" s="828"/>
      <c r="AA184" s="1650"/>
      <c r="AB184" s="1650"/>
      <c r="AC184" s="1650"/>
      <c r="AD184" s="1650"/>
      <c r="AE184" s="1650"/>
      <c r="AF184" s="1916"/>
      <c r="AG184" s="906"/>
      <c r="AH184" s="906"/>
      <c r="AI184" s="906"/>
      <c r="AJ184" s="906"/>
      <c r="AK184" s="1925">
        <v>11</v>
      </c>
    </row>
    <row s="14730" customFormat="1" customHeight="1" ht="11.549999999999999">
      <c r="A185" s="1271"/>
      <c r="B185" s="1271"/>
      <c r="C185" s="1271"/>
      <c r="D185" s="1271"/>
      <c r="E185" s="1271"/>
      <c r="F185" s="1920"/>
      <c r="G185" s="1920"/>
      <c r="H185" s="635"/>
      <c r="N185" s="1650"/>
      <c r="P185" s="1650"/>
      <c r="Q185" s="1920"/>
      <c r="R185" s="1920"/>
      <c r="S185" s="1650"/>
      <c r="T185" s="1650"/>
      <c r="U185" s="1650"/>
      <c r="V185" s="1650"/>
      <c r="W185" s="1920"/>
      <c r="X185" s="1650"/>
      <c r="Y185" s="1650"/>
      <c r="Z185" s="828"/>
      <c r="AA185" s="1650"/>
      <c r="AB185" s="1650"/>
      <c r="AC185" s="1650"/>
      <c r="AD185" s="1650"/>
      <c r="AE185" s="1650"/>
      <c r="AF185" s="1916"/>
      <c r="AG185" s="906"/>
      <c r="AH185" s="906"/>
      <c r="AI185" s="906"/>
      <c r="AJ185" s="906"/>
      <c r="AK185" s="1925">
        <v>11</v>
      </c>
    </row>
    <row s="14730" customFormat="1" customHeight="1" ht="11.549999999999999">
      <c r="A186" s="1271"/>
      <c r="B186" s="1271"/>
      <c r="C186" s="1271"/>
      <c r="D186" s="1271"/>
      <c r="E186" s="1271"/>
      <c r="F186" s="1920"/>
      <c r="G186" s="1920"/>
      <c r="H186" s="635"/>
      <c r="N186" s="1650"/>
      <c r="P186" s="1650"/>
      <c r="Q186" s="1920"/>
      <c r="R186" s="1920"/>
      <c r="S186" s="1650"/>
      <c r="T186" s="1650"/>
      <c r="U186" s="1650"/>
      <c r="V186" s="1650"/>
      <c r="W186" s="1920"/>
      <c r="X186" s="1650"/>
      <c r="Y186" s="1650"/>
      <c r="Z186" s="828"/>
      <c r="AA186" s="1650"/>
      <c r="AB186" s="1650"/>
      <c r="AC186" s="1650"/>
      <c r="AD186" s="1650"/>
      <c r="AE186" s="1650"/>
      <c r="AF186" s="1916"/>
      <c r="AG186" s="906"/>
      <c r="AH186" s="906"/>
      <c r="AI186" s="906"/>
      <c r="AJ186" s="906"/>
      <c r="AK186" s="1925">
        <v>11</v>
      </c>
    </row>
    <row s="14730" customFormat="1" customHeight="1" ht="11.549999999999999">
      <c r="A187" s="1271"/>
      <c r="B187" s="1271"/>
      <c r="C187" s="1271"/>
      <c r="D187" s="1271"/>
      <c r="E187" s="1271"/>
      <c r="F187" s="1920"/>
      <c r="G187" s="1920"/>
      <c r="H187" s="635"/>
      <c r="N187" s="1650"/>
      <c r="P187" s="1650"/>
      <c r="Q187" s="1920"/>
      <c r="R187" s="1920"/>
      <c r="S187" s="1650"/>
      <c r="T187" s="1650"/>
      <c r="U187" s="1650"/>
      <c r="V187" s="1650"/>
      <c r="W187" s="1920"/>
      <c r="X187" s="1650"/>
      <c r="Y187" s="1650"/>
      <c r="Z187" s="828"/>
      <c r="AA187" s="1650"/>
      <c r="AB187" s="1650"/>
      <c r="AC187" s="1650"/>
      <c r="AD187" s="1650"/>
      <c r="AE187" s="1650"/>
      <c r="AF187" s="1916"/>
      <c r="AG187" s="906"/>
      <c r="AH187" s="906"/>
      <c r="AI187" s="906"/>
      <c r="AJ187" s="906"/>
      <c r="AK187" s="1925">
        <v>11</v>
      </c>
    </row>
    <row s="14730" customFormat="1" customHeight="1" ht="11.549999999999999">
      <c r="A188" s="1271"/>
      <c r="B188" s="1271"/>
      <c r="C188" s="1271"/>
      <c r="D188" s="1271"/>
      <c r="E188" s="1271"/>
      <c r="F188" s="1920"/>
      <c r="G188" s="1920"/>
      <c r="H188" s="635"/>
      <c r="N188" s="1650"/>
      <c r="P188" s="1650"/>
      <c r="Q188" s="1920"/>
      <c r="R188" s="1920"/>
      <c r="S188" s="1650"/>
      <c r="T188" s="1650"/>
      <c r="U188" s="1650"/>
      <c r="V188" s="1650"/>
      <c r="W188" s="1920"/>
      <c r="X188" s="1650"/>
      <c r="Y188" s="1650"/>
      <c r="Z188" s="828"/>
      <c r="AA188" s="1650"/>
      <c r="AB188" s="1650"/>
      <c r="AC188" s="1650"/>
      <c r="AD188" s="1650"/>
      <c r="AE188" s="1650"/>
      <c r="AF188" s="1916"/>
      <c r="AG188" s="906"/>
      <c r="AH188" s="906"/>
      <c r="AI188" s="906"/>
      <c r="AJ188" s="906"/>
      <c r="AK188" s="1925">
        <v>11</v>
      </c>
    </row>
    <row s="14730" customFormat="1" customHeight="1" ht="11.549999999999999">
      <c r="A189" s="1271"/>
      <c r="B189" s="1271"/>
      <c r="C189" s="1271"/>
      <c r="D189" s="1271"/>
      <c r="E189" s="1271"/>
      <c r="F189" s="1920"/>
      <c r="G189" s="1920"/>
      <c r="H189" s="635"/>
      <c r="N189" s="1650"/>
      <c r="P189" s="1650"/>
      <c r="Q189" s="1920"/>
      <c r="R189" s="1920"/>
      <c r="S189" s="1650"/>
      <c r="T189" s="1650"/>
      <c r="U189" s="1650"/>
      <c r="V189" s="1650"/>
      <c r="W189" s="1920"/>
      <c r="X189" s="1650"/>
      <c r="Y189" s="1650"/>
      <c r="Z189" s="828"/>
      <c r="AA189" s="1650"/>
      <c r="AB189" s="1650"/>
      <c r="AC189" s="1650"/>
      <c r="AD189" s="1650"/>
      <c r="AE189" s="1650"/>
      <c r="AF189" s="1916"/>
      <c r="AG189" s="906"/>
      <c r="AH189" s="906"/>
      <c r="AI189" s="906"/>
      <c r="AJ189" s="906"/>
      <c r="AK189" s="1925">
        <v>11</v>
      </c>
    </row>
    <row customHeight="1" ht="11.549999999999999">
      <c r="AK190" s="1915">
        <v>11</v>
      </c>
    </row>
    <row customHeight="1" ht="11.549999999999999">
      <c r="AK191" s="1915">
        <v>11</v>
      </c>
    </row>
    <row customHeight="1" ht="11.549999999999999">
      <c r="AK192" s="1915">
        <v>11</v>
      </c>
    </row>
    <row customHeight="1" ht="11.549999999999999">
      <c r="A193" s="1274"/>
      <c r="B193" s="1274"/>
      <c r="C193" s="1274"/>
      <c r="D193" s="1274"/>
      <c r="E193" s="1274"/>
      <c r="F193" s="1915"/>
      <c r="H193" s="1915"/>
      <c r="N193" s="1915"/>
      <c r="P193" s="1915"/>
      <c r="S193" s="1915"/>
      <c r="T193" s="1915"/>
      <c r="U193" s="1915"/>
      <c r="V193" s="1915"/>
      <c r="X193" s="1915"/>
      <c r="Y193" s="1915"/>
      <c r="Z193" s="1915"/>
      <c r="AA193" s="1915"/>
      <c r="AB193" s="1915"/>
      <c r="AC193" s="1915"/>
      <c r="AD193" s="1915"/>
      <c r="AE193" s="1915"/>
      <c r="AF193" s="1915"/>
      <c r="AG193" s="1915"/>
      <c r="AH193" s="1915"/>
      <c r="AI193" s="1915"/>
      <c r="AJ193" s="1915"/>
      <c r="AK193" s="1915">
        <v>11</v>
      </c>
    </row>
    <row customHeight="1" ht="11.549999999999999">
      <c r="A194" s="1274"/>
      <c r="B194" s="1274"/>
      <c r="C194" s="1274"/>
      <c r="D194" s="1274"/>
      <c r="E194" s="1274"/>
      <c r="F194" s="1915"/>
      <c r="H194" s="1915"/>
      <c r="N194" s="1915"/>
      <c r="P194" s="1915"/>
      <c r="S194" s="1915"/>
      <c r="T194" s="1915"/>
      <c r="U194" s="1915"/>
      <c r="V194" s="1915"/>
      <c r="X194" s="1915"/>
      <c r="Y194" s="1915"/>
      <c r="Z194" s="1915"/>
      <c r="AA194" s="1915"/>
      <c r="AB194" s="1915"/>
      <c r="AC194" s="1915"/>
      <c r="AD194" s="1915"/>
      <c r="AE194" s="1915"/>
      <c r="AF194" s="1915"/>
      <c r="AG194" s="1915"/>
      <c r="AH194" s="1915"/>
      <c r="AI194" s="1915"/>
      <c r="AJ194" s="1915"/>
      <c r="AK194" s="1915">
        <v>11</v>
      </c>
    </row>
    <row customHeight="1" ht="11.549999999999999">
      <c r="A195" s="1274"/>
      <c r="B195" s="1274"/>
      <c r="C195" s="1274"/>
      <c r="D195" s="1274"/>
      <c r="E195" s="1274"/>
      <c r="F195" s="1915"/>
      <c r="H195" s="1915"/>
      <c r="N195" s="1915"/>
      <c r="P195" s="1915"/>
      <c r="S195" s="1915"/>
      <c r="T195" s="1915"/>
      <c r="U195" s="1915"/>
      <c r="V195" s="1915"/>
      <c r="X195" s="1915"/>
      <c r="Y195" s="1915"/>
      <c r="Z195" s="1915"/>
      <c r="AA195" s="1915"/>
      <c r="AB195" s="1915"/>
      <c r="AC195" s="1915"/>
      <c r="AD195" s="1915"/>
      <c r="AE195" s="1915"/>
      <c r="AF195" s="1915"/>
      <c r="AG195" s="1915"/>
      <c r="AH195" s="1915"/>
      <c r="AI195" s="1915"/>
      <c r="AJ195" s="1915"/>
      <c r="AK195" s="1915">
        <v>11</v>
      </c>
    </row>
    <row customHeight="1" ht="11.549999999999999">
      <c r="A196" s="1274"/>
      <c r="B196" s="1274"/>
      <c r="C196" s="1274"/>
      <c r="D196" s="1274"/>
      <c r="E196" s="1274"/>
      <c r="F196" s="1915"/>
      <c r="H196" s="1915"/>
      <c r="N196" s="1915"/>
      <c r="P196" s="1915"/>
      <c r="S196" s="1915"/>
      <c r="T196" s="1915"/>
      <c r="U196" s="1915"/>
      <c r="V196" s="1915"/>
      <c r="X196" s="1915"/>
      <c r="Y196" s="1915"/>
      <c r="Z196" s="1915"/>
      <c r="AA196" s="1915"/>
      <c r="AB196" s="1915"/>
      <c r="AC196" s="1915"/>
      <c r="AD196" s="1915"/>
      <c r="AE196" s="1915"/>
      <c r="AF196" s="1915"/>
      <c r="AG196" s="1915"/>
      <c r="AH196" s="1915"/>
      <c r="AI196" s="1915"/>
      <c r="AJ196" s="1915"/>
      <c r="AK196" s="1915">
        <v>11</v>
      </c>
    </row>
    <row customHeight="1" ht="11.549999999999999">
      <c r="A197" s="1274"/>
      <c r="B197" s="1274"/>
      <c r="C197" s="1274"/>
      <c r="D197" s="1274"/>
      <c r="E197" s="1274"/>
      <c r="F197" s="1915"/>
      <c r="H197" s="1915"/>
      <c r="N197" s="1915"/>
      <c r="P197" s="1915"/>
      <c r="S197" s="1915"/>
      <c r="T197" s="1915"/>
      <c r="U197" s="1915"/>
      <c r="V197" s="1915"/>
      <c r="X197" s="1915"/>
      <c r="Y197" s="1915"/>
      <c r="Z197" s="1915"/>
      <c r="AA197" s="1915"/>
      <c r="AB197" s="1915"/>
      <c r="AC197" s="1915"/>
      <c r="AD197" s="1915"/>
      <c r="AE197" s="1915"/>
      <c r="AF197" s="1915"/>
      <c r="AG197" s="1915"/>
      <c r="AH197" s="1915"/>
      <c r="AI197" s="1915"/>
      <c r="AJ197" s="1915"/>
      <c r="AK197" s="1915">
        <v>11</v>
      </c>
    </row>
    <row customHeight="1" ht="11.549999999999999">
      <c r="A198" s="1274"/>
      <c r="B198" s="1274"/>
      <c r="C198" s="1274"/>
      <c r="D198" s="1274"/>
      <c r="E198" s="1274"/>
      <c r="F198" s="1915"/>
      <c r="H198" s="1915"/>
      <c r="N198" s="1915"/>
      <c r="P198" s="1915"/>
      <c r="S198" s="1915"/>
      <c r="T198" s="1915"/>
      <c r="U198" s="1915"/>
      <c r="V198" s="1915"/>
      <c r="X198" s="1915"/>
      <c r="Y198" s="1915"/>
      <c r="Z198" s="1915"/>
      <c r="AA198" s="1915"/>
      <c r="AB198" s="1915"/>
      <c r="AC198" s="1915"/>
      <c r="AD198" s="1915"/>
      <c r="AE198" s="1915"/>
      <c r="AF198" s="1915"/>
      <c r="AG198" s="1915"/>
      <c r="AH198" s="1915"/>
      <c r="AI198" s="1915"/>
      <c r="AJ198" s="1915"/>
      <c r="AK198" s="1915">
        <v>11</v>
      </c>
    </row>
    <row customHeight="1" ht="11.549999999999999">
      <c r="A199" s="1274"/>
      <c r="B199" s="1274"/>
      <c r="C199" s="1274"/>
      <c r="D199" s="1274"/>
      <c r="E199" s="1274"/>
      <c r="F199" s="1915"/>
      <c r="H199" s="1915"/>
      <c r="N199" s="1915"/>
      <c r="P199" s="1915"/>
      <c r="S199" s="1915"/>
      <c r="T199" s="1915"/>
      <c r="U199" s="1915"/>
      <c r="V199" s="1915"/>
      <c r="X199" s="1915"/>
      <c r="Y199" s="1915"/>
      <c r="Z199" s="1915"/>
      <c r="AA199" s="1915"/>
      <c r="AB199" s="1915"/>
      <c r="AC199" s="1915"/>
      <c r="AD199" s="1915"/>
      <c r="AE199" s="1915"/>
      <c r="AF199" s="1915"/>
      <c r="AG199" s="1915"/>
      <c r="AH199" s="1915"/>
      <c r="AI199" s="1915"/>
      <c r="AJ199" s="1915"/>
      <c r="AK199" s="1915">
        <v>11</v>
      </c>
    </row>
    <row customHeight="1" ht="11.549999999999999">
      <c r="A200" s="1274"/>
      <c r="B200" s="1274"/>
      <c r="C200" s="1274"/>
      <c r="D200" s="1274"/>
      <c r="E200" s="1274"/>
      <c r="F200" s="1915"/>
      <c r="H200" s="1915"/>
      <c r="N200" s="1915"/>
      <c r="P200" s="1915"/>
      <c r="S200" s="1915"/>
      <c r="T200" s="1915"/>
      <c r="U200" s="1915"/>
      <c r="V200" s="1915"/>
      <c r="X200" s="1915"/>
      <c r="Y200" s="1915"/>
      <c r="Z200" s="1915"/>
      <c r="AA200" s="1915"/>
      <c r="AB200" s="1915"/>
      <c r="AC200" s="1915"/>
      <c r="AD200" s="1915"/>
      <c r="AE200" s="1915"/>
      <c r="AF200" s="1915"/>
      <c r="AG200" s="1915"/>
      <c r="AH200" s="1915"/>
      <c r="AI200" s="1915"/>
      <c r="AJ200" s="1915"/>
      <c r="AK200" s="1915">
        <v>11</v>
      </c>
    </row>
    <row customHeight="1" ht="11.549999999999999">
      <c r="A201" s="1274"/>
      <c r="B201" s="1274"/>
      <c r="C201" s="1274"/>
      <c r="D201" s="1274"/>
      <c r="E201" s="1274"/>
      <c r="F201" s="1915"/>
      <c r="H201" s="1915"/>
      <c r="N201" s="1915"/>
      <c r="P201" s="1915"/>
      <c r="S201" s="1915"/>
      <c r="T201" s="1915"/>
      <c r="U201" s="1915"/>
      <c r="V201" s="1915"/>
      <c r="X201" s="1915"/>
      <c r="Y201" s="1915"/>
      <c r="Z201" s="1915"/>
      <c r="AA201" s="1915"/>
      <c r="AB201" s="1915"/>
      <c r="AC201" s="1915"/>
      <c r="AD201" s="1915"/>
      <c r="AE201" s="1915"/>
      <c r="AF201" s="1915"/>
      <c r="AG201" s="1915"/>
      <c r="AH201" s="1915"/>
      <c r="AI201" s="1915"/>
      <c r="AJ201" s="1915"/>
      <c r="AK201" s="1915">
        <v>11</v>
      </c>
    </row>
    <row customHeight="1" ht="11.549999999999999">
      <c r="A202" s="1274"/>
      <c r="B202" s="1274"/>
      <c r="C202" s="1274"/>
      <c r="D202" s="1274"/>
      <c r="E202" s="1274"/>
      <c r="F202" s="1915"/>
      <c r="H202" s="1915"/>
      <c r="N202" s="1915"/>
      <c r="P202" s="1915"/>
      <c r="S202" s="1915"/>
      <c r="T202" s="1915"/>
      <c r="U202" s="1915"/>
      <c r="V202" s="1915"/>
      <c r="X202" s="1915"/>
      <c r="Y202" s="1915"/>
      <c r="Z202" s="1915"/>
      <c r="AA202" s="1915"/>
      <c r="AB202" s="1915"/>
      <c r="AC202" s="1915"/>
      <c r="AD202" s="1915"/>
      <c r="AE202" s="1915"/>
      <c r="AF202" s="1915"/>
      <c r="AG202" s="1915"/>
      <c r="AH202" s="1915"/>
      <c r="AI202" s="1915"/>
      <c r="AJ202" s="1915"/>
      <c r="AK202" s="1915">
        <v>11</v>
      </c>
    </row>
    <row customHeight="1" ht="11.549999999999999">
      <c r="A203" s="1274"/>
      <c r="B203" s="1274"/>
      <c r="C203" s="1274"/>
      <c r="D203" s="1274"/>
      <c r="E203" s="1274"/>
      <c r="F203" s="1915"/>
      <c r="H203" s="1915"/>
      <c r="N203" s="1915"/>
      <c r="P203" s="1915"/>
      <c r="S203" s="1915"/>
      <c r="T203" s="1915"/>
      <c r="U203" s="1915"/>
      <c r="V203" s="1915"/>
      <c r="X203" s="1915"/>
      <c r="Y203" s="1915"/>
      <c r="Z203" s="1915"/>
      <c r="AA203" s="1915"/>
      <c r="AB203" s="1915"/>
      <c r="AC203" s="1915"/>
      <c r="AD203" s="1915"/>
      <c r="AE203" s="1915"/>
      <c r="AF203" s="1915"/>
      <c r="AG203" s="1915"/>
      <c r="AH203" s="1915"/>
      <c r="AI203" s="1915"/>
      <c r="AJ203" s="1915"/>
      <c r="AK203" s="1915">
        <v>11</v>
      </c>
    </row>
    <row customHeight="1" ht="12.75" hidden="1">
      <c r="A204" s="1271" t="s">
        <v>83</v>
      </c>
      <c r="B204" s="1271" t="s">
        <v>150</v>
      </c>
      <c r="C204" s="1271" t="s">
        <v>150</v>
      </c>
      <c r="D204" s="1271" t="s">
        <v>150</v>
      </c>
      <c r="E204" s="1271" t="s">
        <v>150</v>
      </c>
      <c r="F204" s="1919">
        <v>16</v>
      </c>
      <c r="G204" s="1920">
        <v>0</v>
      </c>
      <c r="H204" s="1919">
        <v>3</v>
      </c>
      <c r="I204" s="1915">
        <v>7</v>
      </c>
      <c r="J204" s="1915">
        <v>56</v>
      </c>
      <c r="K204" s="1915">
        <v>10</v>
      </c>
      <c r="L204" s="1915">
        <v>40</v>
      </c>
      <c r="M204" s="1915">
        <v>40</v>
      </c>
      <c r="N204" s="1650">
        <v>9</v>
      </c>
      <c r="O204" s="1915">
        <v>102</v>
      </c>
      <c r="P204" s="1650">
        <v>9</v>
      </c>
      <c r="Q204" s="1920">
        <v>5</v>
      </c>
      <c r="R204" s="1920">
        <v>3</v>
      </c>
      <c r="S204" s="1650">
        <v>3</v>
      </c>
      <c r="T204" s="1650">
        <v>3</v>
      </c>
      <c r="U204" s="1650">
        <v>3</v>
      </c>
      <c r="V204" s="1650">
        <v>3</v>
      </c>
      <c r="W204" s="1920">
        <v>10</v>
      </c>
      <c r="X204" s="1650">
        <v>34</v>
      </c>
      <c r="Y204" s="1650">
        <v>9</v>
      </c>
      <c r="Z204" s="828">
        <v>8</v>
      </c>
      <c r="AA204" s="1650">
        <v>8</v>
      </c>
      <c r="AB204" s="1650">
        <v>8</v>
      </c>
      <c r="AC204" s="1650">
        <v>8</v>
      </c>
      <c r="AD204" s="1650">
        <v>8</v>
      </c>
      <c r="AE204" s="1650">
        <v>8</v>
      </c>
      <c r="AF204" s="1916">
        <v>8</v>
      </c>
      <c r="AG204" s="1916">
        <v>8</v>
      </c>
      <c r="AH204" s="1916">
        <v>8</v>
      </c>
      <c r="AI204" s="1916">
        <v>8</v>
      </c>
      <c r="AJ204" s="1916">
        <v>8</v>
      </c>
      <c r="AK204" s="1915">
        <v>11</v>
      </c>
    </row>
  </sheetData>
  <sheetProtection sort="0" autoFilter="0" insertRows="0" insertColumns="1" deleteRows="0" deleteColumns="0"/>
  <mergeCells count="7">
    <mergeCell ref="I6:M6"/>
    <mergeCell ref="I7:M7"/>
    <mergeCell ref="J10:K10"/>
    <mergeCell ref="O10:O14"/>
    <mergeCell ref="J11:K11"/>
    <mergeCell ref="J12:K12"/>
    <mergeCell ref="I13:K13"/>
  </mergeCells>
  <dataValidations count="4">
    <dataValidation type="decimal" allowBlank="1" showErrorMessage="1" errorTitle="Ошибка" error="Допускается ввод только неотрицательных чисел!" sqref="L32:M33 L19:M29 L16:M16 L2:M2">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M17">
      <formula1>900</formula1>
    </dataValidation>
    <dataValidation type="whole" allowBlank="1" showErrorMessage="1" errorTitle="Ошибка" error="Допускается ввод только неотрицательных целых чисел!" sqref="L30:M31">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M15 L34:M3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7F62A56-6888-01E6-FD08-005826920CBC}" mc:Ignorable="x14ac xr xr2 xr3">
  <sheetPr>
    <tabColor theme="9" tint="-0.25"/>
  </sheetPr>
  <dimension ref="A1:W16"/>
  <sheetViews>
    <sheetView topLeftCell="A1" showGridLines="0" zoomScale="90" workbookViewId="0">
      <selection activeCell="A1" sqref="A1"/>
    </sheetView>
  </sheetViews>
  <sheetFormatPr defaultColWidth="10.57421875" customHeight="1" defaultRowHeight="14.25"/>
  <cols>
    <col min="1" max="4" style="14077" width="10.57421875" hidden="1"/>
    <col min="5" max="5" style="14976" width="9.140625" hidden="1" customWidth="1"/>
    <col min="6" max="7" style="14157" width="9.140625" hidden="1" customWidth="1"/>
    <col min="8" max="8" style="14977" width="3.00390625" customWidth="1"/>
    <col min="9" max="9" style="14077" width="6.00390625" customWidth="1"/>
    <col min="10" max="10" style="14077" width="63.00390625" customWidth="1"/>
    <col min="11" max="11" style="14077" width="9.00390625" customWidth="1"/>
    <col min="12" max="12" style="14077" width="39.00390625" customWidth="1"/>
    <col min="13" max="13" style="14077" width="89.00390625" customWidth="1"/>
    <col min="14" max="14" style="14077" width="10.00390625" customWidth="1"/>
    <col min="15" max="16" style="14247" width="10.00390625" customWidth="1"/>
    <col min="17" max="22" style="14077" width="10.00390625" customWidth="1"/>
    <col min="23" max="23" style="14077" width="10.57421875" hidden="1"/>
  </cols>
  <sheetData>
    <row customHeight="1" ht="22.5" hidden="1">
      <c r="S1" s="539"/>
      <c r="T1" s="539"/>
      <c r="V1" s="539"/>
      <c r="W1" s="1915" t="s">
        <v>14</v>
      </c>
    </row>
    <row customHeight="1" ht="22.5" hidden="1">
      <c r="B2" s="2337" t="s">
        <v>695</v>
      </c>
      <c r="C2" s="2337" t="s">
        <v>696</v>
      </c>
      <c r="D2" s="2336" t="s">
        <v>635</v>
      </c>
      <c r="E2" s="2342">
        <f>I2-3</f>
        <v>-3</v>
      </c>
      <c r="F2" s="2342">
        <f>J2</f>
        <v>0</v>
      </c>
      <c r="H2" s="2014" t="s">
        <v>454</v>
      </c>
      <c r="I2" s="2308"/>
      <c r="J2" s="1966"/>
      <c r="K2" s="2302" t="s">
        <v>311</v>
      </c>
      <c r="L2" s="1448"/>
      <c r="M2" s="581"/>
      <c r="N2" s="1908"/>
      <c r="P2" s="1915"/>
      <c r="W2" s="1915">
        <v>0</v>
      </c>
    </row>
    <row customHeight="1" ht="14.25" hidden="1">
      <c r="W3" s="1915">
        <v>0</v>
      </c>
    </row>
    <row customHeight="1" ht="6.3">
      <c r="H4" s="660"/>
      <c r="I4" s="741"/>
      <c r="J4" s="741"/>
      <c r="K4" s="741"/>
      <c r="L4" s="369"/>
      <c r="M4" s="369"/>
      <c r="W4" s="1915">
        <v>6</v>
      </c>
    </row>
    <row customHeight="1" ht="50.25">
      <c r="H5" s="660"/>
      <c r="I5" s="2532" t="s">
        <v>697</v>
      </c>
      <c r="J5" s="2532"/>
      <c r="K5" s="2532"/>
      <c r="L5" s="2532"/>
      <c r="M5" s="550"/>
      <c r="W5" s="1915">
        <v>48</v>
      </c>
    </row>
    <row customHeight="1" ht="18">
      <c r="H6" s="660"/>
      <c r="I6" s="2533" t="str">
        <f>IF(org=0,"Не определено",org)</f>
        <v>МУП г. Азова "Теплоэнерго"</v>
      </c>
      <c r="J6" s="2533"/>
      <c r="K6" s="2533"/>
      <c r="L6" s="2533"/>
      <c r="M6" s="550"/>
      <c r="W6" s="1915">
        <v>17</v>
      </c>
    </row>
    <row customHeight="1" ht="14.699999999999998">
      <c r="H7" s="660"/>
      <c r="I7" s="741"/>
      <c r="J7" s="747"/>
      <c r="K7" s="747"/>
      <c r="L7" s="1036"/>
      <c r="M7" s="477"/>
      <c r="W7" s="1915">
        <v>14</v>
      </c>
    </row>
    <row customHeight="1" ht="14.699999999999998">
      <c r="H8" s="660"/>
      <c r="I8" s="2670" t="s">
        <v>305</v>
      </c>
      <c r="J8" s="2671"/>
      <c r="K8" s="2671"/>
      <c r="L8" s="2672"/>
      <c r="M8" s="2673" t="s">
        <v>306</v>
      </c>
      <c r="W8" s="1915">
        <v>14</v>
      </c>
    </row>
    <row customHeight="1" ht="35.699999999999996">
      <c r="E9" s="2335" t="s">
        <v>626</v>
      </c>
      <c r="F9" s="2335" t="s">
        <v>632</v>
      </c>
      <c r="H9" s="660"/>
      <c r="I9" s="2309" t="s">
        <v>89</v>
      </c>
      <c r="J9" s="2310" t="s">
        <v>307</v>
      </c>
      <c r="K9" s="2348" t="s">
        <v>574</v>
      </c>
      <c r="L9" s="2349" t="s">
        <v>308</v>
      </c>
      <c r="M9" s="2673"/>
      <c r="W9" s="1915">
        <v>34</v>
      </c>
    </row>
    <row customHeight="1" ht="35.699999999999996">
      <c r="B10" s="2337" t="s">
        <v>698</v>
      </c>
      <c r="C10" s="2337" t="s">
        <v>699</v>
      </c>
      <c r="D10" s="2336" t="s">
        <v>635</v>
      </c>
      <c r="E10" s="2340" t="s">
        <v>636</v>
      </c>
      <c r="F10" s="2340" t="s">
        <v>636</v>
      </c>
      <c r="H10" s="660"/>
      <c r="I10" s="2308" t="s">
        <v>110</v>
      </c>
      <c r="J10" s="2170" t="s">
        <v>700</v>
      </c>
      <c r="K10" s="2302" t="s">
        <v>311</v>
      </c>
      <c r="L10" s="1102"/>
      <c r="M10" s="581" t="s">
        <v>701</v>
      </c>
      <c r="W10" s="1915">
        <v>34</v>
      </c>
    </row>
    <row customHeight="1" ht="50.25">
      <c r="B11" s="2337" t="s">
        <v>702</v>
      </c>
      <c r="C11" s="2337" t="s">
        <v>703</v>
      </c>
      <c r="D11" s="2336" t="s">
        <v>635</v>
      </c>
      <c r="E11" s="2340" t="s">
        <v>636</v>
      </c>
      <c r="F11" s="2340" t="s">
        <v>636</v>
      </c>
      <c r="H11" s="660"/>
      <c r="I11" s="2308" t="s">
        <v>111</v>
      </c>
      <c r="J11" s="2170" t="s">
        <v>704</v>
      </c>
      <c r="K11" s="2302" t="s">
        <v>311</v>
      </c>
      <c r="L11" s="1102"/>
      <c r="M11" s="581" t="s">
        <v>701</v>
      </c>
      <c r="W11" s="1915">
        <v>48</v>
      </c>
    </row>
    <row customHeight="1" ht="48.29999999999999">
      <c r="B12" s="2337" t="s">
        <v>705</v>
      </c>
      <c r="C12" s="2337" t="s">
        <v>706</v>
      </c>
      <c r="D12" s="2336" t="s">
        <v>635</v>
      </c>
      <c r="E12" s="2340" t="s">
        <v>636</v>
      </c>
      <c r="F12" s="2340" t="s">
        <v>636</v>
      </c>
      <c r="H12" s="1972"/>
      <c r="I12" s="2308" t="s">
        <v>91</v>
      </c>
      <c r="J12" s="2315" t="s">
        <v>707</v>
      </c>
      <c r="K12" s="2302" t="s">
        <v>311</v>
      </c>
      <c r="L12" s="1102"/>
      <c r="M12" s="581" t="s">
        <v>708</v>
      </c>
      <c r="N12" s="1908"/>
      <c r="P12" s="1915"/>
      <c r="W12" s="1915">
        <v>46</v>
      </c>
    </row>
    <row customHeight="1" ht="14.699999999999998">
      <c r="E13" s="627"/>
      <c r="H13" s="660"/>
      <c r="I13" s="631"/>
      <c r="J13" s="935" t="s">
        <v>709</v>
      </c>
      <c r="K13" s="855"/>
      <c r="L13" s="498"/>
      <c r="M13" s="581"/>
      <c r="W13" s="1915">
        <v>14</v>
      </c>
    </row>
    <row customHeight="1" ht="14.699999999999998">
      <c r="E14" s="627"/>
      <c r="H14" s="660"/>
      <c r="I14" s="1341"/>
      <c r="J14" s="1961"/>
      <c r="K14" s="1962"/>
      <c r="L14" s="1963"/>
      <c r="M14" s="2312"/>
      <c r="W14" s="1915">
        <v>14</v>
      </c>
    </row>
    <row customHeight="1" ht="14.699999999999998">
      <c r="I15" s="1965"/>
      <c r="J15" s="2669"/>
      <c r="K15" s="2669"/>
      <c r="L15" s="2669"/>
      <c r="M15" s="2669"/>
      <c r="W15" s="1915">
        <v>14</v>
      </c>
    </row>
    <row customHeight="1" ht="21" hidden="1">
      <c r="A16" s="2314" t="s">
        <v>83</v>
      </c>
      <c r="B16" s="1915">
        <v>9</v>
      </c>
      <c r="C16" s="1915">
        <v>9</v>
      </c>
      <c r="D16" s="1915">
        <v>9</v>
      </c>
      <c r="E16" s="2314" t="s">
        <v>149</v>
      </c>
      <c r="F16" s="2339" t="s">
        <v>149</v>
      </c>
      <c r="G16" s="2341"/>
      <c r="H16" s="628">
        <v>3</v>
      </c>
      <c r="I16" s="1915">
        <v>6</v>
      </c>
      <c r="J16" s="1915">
        <v>63</v>
      </c>
      <c r="K16" s="1915">
        <v>9</v>
      </c>
      <c r="L16" s="1915">
        <v>39</v>
      </c>
      <c r="M16" s="1915">
        <v>89</v>
      </c>
      <c r="N16" s="1915">
        <v>10</v>
      </c>
      <c r="O16" s="1908">
        <v>10</v>
      </c>
      <c r="P16" s="1908">
        <v>10</v>
      </c>
      <c r="Q16" s="1915">
        <v>10</v>
      </c>
      <c r="R16" s="1915">
        <v>10</v>
      </c>
      <c r="S16" s="1915">
        <v>10</v>
      </c>
      <c r="T16" s="1915">
        <v>10</v>
      </c>
      <c r="U16" s="1915">
        <v>10</v>
      </c>
      <c r="V16" s="1915">
        <v>10</v>
      </c>
      <c r="W16" s="1915">
        <v>23</v>
      </c>
    </row>
  </sheetData>
  <sheetProtection formatColumns="0" formatRows="0" sort="0" autoFilter="0" insertRows="0" insertColumns="1" deleteRows="0" deleteColumns="0"/>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sqref="M10 J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DFCABEC-1468-DCA8-F698-61902A8DF016}" mc:Ignorable="x14ac xr xr2 xr3">
  <sheetPr>
    <tabColor theme="9" tint="-0.25"/>
  </sheetPr>
  <dimension ref="A1:AF217"/>
  <sheetViews>
    <sheetView topLeftCell="A1" showGridLines="0" zoomScale="90" workbookViewId="0">
      <selection activeCell="A1" sqref="A1"/>
    </sheetView>
  </sheetViews>
  <sheetFormatPr defaultColWidth="9.140625" customHeight="1" defaultRowHeight="11.25"/>
  <cols>
    <col min="1" max="1" style="15501" width="10.7109375" hidden="1" customWidth="1"/>
    <col min="2" max="2" style="14157" width="16.8515625" hidden="1" customWidth="1"/>
    <col min="3" max="3" style="14158" width="5.57421875" hidden="1" customWidth="1"/>
    <col min="4" max="4" style="14077" width="3.00390625" customWidth="1"/>
    <col min="5" max="5" style="14077" width="7.00390625" customWidth="1"/>
    <col min="6" max="6" style="14077" width="56.00390625" customWidth="1"/>
    <col min="7" max="7" style="14077" width="10.00390625" customWidth="1"/>
    <col min="8" max="8" style="14077" width="40.7109375" hidden="1" customWidth="1"/>
    <col min="9" max="9" style="14077" width="40.00390625" customWidth="1"/>
    <col min="10" max="10" style="14077" width="102.00390625" customWidth="1"/>
    <col min="11" max="11" style="14157" width="9.00390625" customWidth="1"/>
    <col min="12" max="12" style="14158" width="5.00390625" customWidth="1"/>
    <col min="13" max="13" style="14158" width="3.00390625" customWidth="1"/>
    <col min="14" max="17" style="14157" width="3.00390625" customWidth="1"/>
    <col min="18" max="18" style="14158" width="10.00390625" customWidth="1"/>
    <col min="19" max="19" style="14157" width="34.00390625" customWidth="1"/>
    <col min="20" max="20" style="14157" width="9.00390625" customWidth="1"/>
    <col min="21" max="21" style="15502" width="8.00390625" customWidth="1"/>
    <col min="22" max="26" style="14157" width="8.00390625" customWidth="1"/>
    <col min="27" max="31" style="14041" width="8.00390625" customWidth="1"/>
    <col min="32" max="32" style="14077" width="10.421875" hidden="1" customWidth="1"/>
  </cols>
  <sheetData>
    <row s="14157" customFormat="1" customHeight="1" ht="22.5" hidden="1">
      <c r="A1" s="1271"/>
      <c r="C1" s="1920"/>
      <c r="D1" s="821"/>
      <c r="H1" s="1444">
        <v>4</v>
      </c>
      <c r="I1" s="1444">
        <v>4</v>
      </c>
      <c r="L1" s="1920"/>
      <c r="M1" s="1920"/>
      <c r="R1" s="1920"/>
      <c r="AF1" s="1444" t="s">
        <v>14</v>
      </c>
    </row>
    <row s="14157" customFormat="1" customHeight="1" ht="22.5" hidden="1">
      <c r="A2" s="1271"/>
      <c r="C2" s="1920"/>
      <c r="D2" s="822"/>
      <c r="E2" s="1921"/>
      <c r="F2" s="824"/>
      <c r="G2" s="1923" t="s">
        <v>560</v>
      </c>
      <c r="H2" s="825"/>
      <c r="I2" s="825"/>
      <c r="J2" s="826" t="s">
        <v>710</v>
      </c>
      <c r="K2" s="827"/>
      <c r="L2" s="1920"/>
      <c r="M2" s="1920"/>
      <c r="R2" s="1920"/>
      <c r="U2" s="828"/>
      <c r="AA2" s="1916"/>
      <c r="AB2" s="1916"/>
      <c r="AC2" s="1916"/>
      <c r="AD2" s="1916"/>
      <c r="AE2" s="1916"/>
      <c r="AF2" s="1444">
        <v>0</v>
      </c>
    </row>
    <row customHeight="1" ht="11.25" hidden="1">
      <c r="AF3" s="1915">
        <v>0</v>
      </c>
    </row>
    <row s="14041" customFormat="1" customHeight="1" ht="11.25" hidden="1">
      <c r="A4" s="1271"/>
      <c r="B4" s="1444"/>
      <c r="C4" s="1920"/>
      <c r="D4" s="646"/>
      <c r="J4" s="1916">
        <v>4</v>
      </c>
      <c r="K4" s="1444"/>
      <c r="L4" s="1920"/>
      <c r="M4" s="1920"/>
      <c r="N4" s="1444"/>
      <c r="O4" s="1444"/>
      <c r="P4" s="1444"/>
      <c r="Q4" s="1444"/>
      <c r="R4" s="1920"/>
      <c r="S4" s="1444"/>
      <c r="T4" s="1444"/>
      <c r="U4" s="828"/>
      <c r="V4" s="1444"/>
      <c r="W4" s="1444"/>
      <c r="X4" s="1444"/>
      <c r="Y4" s="1444"/>
      <c r="Z4" s="1444"/>
      <c r="AF4" s="1916">
        <v>0</v>
      </c>
    </row>
    <row customHeight="1" ht="11.549999999999999">
      <c r="AF5" s="1915">
        <v>11</v>
      </c>
    </row>
    <row customHeight="1" ht="31.5">
      <c r="E6" s="2591" t="s">
        <v>711</v>
      </c>
      <c r="F6" s="2591"/>
      <c r="G6" s="2591"/>
      <c r="H6" s="2591"/>
      <c r="I6" s="2591"/>
      <c r="J6" s="840"/>
      <c r="AF6" s="1915">
        <v>30</v>
      </c>
    </row>
    <row customHeight="1" ht="11.549999999999999">
      <c r="E7" s="2533" t="str">
        <f>IF(org=0,"Не определено",org)</f>
        <v>МУП г. Азова "Теплоэнерго"</v>
      </c>
      <c r="F7" s="2533"/>
      <c r="G7" s="2533"/>
      <c r="H7" s="2533"/>
      <c r="I7" s="2533"/>
      <c r="AF7" s="1915">
        <v>11</v>
      </c>
    </row>
    <row customHeight="1" ht="11.549999999999999">
      <c r="E8" s="1419"/>
      <c r="F8" s="1419"/>
      <c r="G8" s="1419"/>
      <c r="H8" s="1419"/>
      <c r="I8" s="1419"/>
      <c r="AF8" s="1915">
        <v>11</v>
      </c>
    </row>
    <row s="14158" customFormat="1" customHeight="1" ht="4.2">
      <c r="A9" s="1451"/>
      <c r="D9" s="1926"/>
      <c r="H9" s="1173"/>
      <c r="I9" s="1173" t="s">
        <v>118</v>
      </c>
      <c r="AF9" s="1920">
        <v>4</v>
      </c>
    </row>
    <row customHeight="1" ht="11.549999999999999">
      <c r="E10" s="995"/>
      <c r="F10" s="2651" t="s">
        <v>106</v>
      </c>
      <c r="G10" s="2652"/>
      <c r="H10" s="1836" t="str">
        <f>IF(H9="","",INDEX(DIFFERENTIATION_UNMERGE_VD,MATCH(H9,DIFFERENTIATION_ID_DIFF,0)))</f>
        <v/>
      </c>
      <c r="I10" s="1836">
        <f>IF(I9="","",INDEX(DIFFERENTIATION_UNMERGE_VD,MATCH(I9,DIFFERENTIATION_ID_DIFF,0)))</f>
        <v>0</v>
      </c>
      <c r="J10" s="2411"/>
      <c r="AF10" s="1915">
        <v>11</v>
      </c>
    </row>
    <row customHeight="1" ht="11.549999999999999">
      <c r="E11" s="995"/>
      <c r="F11" s="2651" t="s">
        <v>572</v>
      </c>
      <c r="G11" s="2652"/>
      <c r="H11" s="1836" t="str">
        <f>IF(H9="","",INDEX(DIFFERENTIATION_UNMERGE_AREA,MATCH(H9,DIFFERENTIATION_ID_DIFF,0)))</f>
        <v/>
      </c>
      <c r="I11" s="1836" t="str">
        <f>IF(I9="","",INDEX(DIFFERENTIATION_UNMERGE_AREA,MATCH(I9,DIFFERENTIATION_ID_DIFF,0)))</f>
        <v/>
      </c>
      <c r="J11" s="2411"/>
      <c r="AF11" s="1915">
        <v>11</v>
      </c>
    </row>
    <row customHeight="1" ht="1.05">
      <c r="E12" s="1946"/>
      <c r="F12" s="2674" t="s">
        <v>573</v>
      </c>
      <c r="G12" s="2675"/>
      <c r="H12" s="1947" t="str">
        <f>IF(H9="","",INDEX(DIFFERENTIATION_UNMERGE_SYSTEM,MATCH(H9,DIFFERENTIATION_ID_DIFF,0)))</f>
        <v/>
      </c>
      <c r="I12" s="1947" t="str">
        <f>IF(I9="","",INDEX(DIFFERENTIATION_UNMERGE_SYSTEM,MATCH(I9,DIFFERENTIATION_ID_DIFF,0)))</f>
        <v>без дифференциации</v>
      </c>
      <c r="J12" s="2411"/>
      <c r="AF12" s="1915">
        <v>1</v>
      </c>
    </row>
    <row customHeight="1" ht="11.549999999999999">
      <c r="E13" s="2653" t="s">
        <v>305</v>
      </c>
      <c r="F13" s="2654"/>
      <c r="G13" s="2654"/>
      <c r="H13" s="1835"/>
      <c r="I13" s="1835"/>
      <c r="J13" s="2411"/>
      <c r="AF13" s="1915">
        <v>11</v>
      </c>
    </row>
    <row customHeight="1" ht="24">
      <c r="E14" s="1923" t="s">
        <v>89</v>
      </c>
      <c r="F14" s="1918" t="s">
        <v>307</v>
      </c>
      <c r="G14" s="1918" t="s">
        <v>574</v>
      </c>
      <c r="H14" s="1918" t="s">
        <v>308</v>
      </c>
      <c r="I14" s="1918" t="s">
        <v>308</v>
      </c>
      <c r="J14" s="2411"/>
      <c r="AF14" s="1915">
        <v>23</v>
      </c>
    </row>
    <row customHeight="1" ht="19.95">
      <c r="D15" s="1922"/>
      <c r="E15" s="1914" t="s">
        <v>110</v>
      </c>
      <c r="F15" s="991" t="s">
        <v>712</v>
      </c>
      <c r="G15" s="1930" t="s">
        <v>560</v>
      </c>
      <c r="H15" s="841"/>
      <c r="I15" s="841"/>
      <c r="J15" s="573" t="s">
        <v>713</v>
      </c>
      <c r="K15" s="827" t="s">
        <v>638</v>
      </c>
      <c r="AF15" s="1915">
        <v>19</v>
      </c>
    </row>
    <row customHeight="1" ht="35.699999999999996">
      <c r="D16" s="1922"/>
      <c r="E16" s="1914" t="s">
        <v>111</v>
      </c>
      <c r="F16" s="991" t="s">
        <v>714</v>
      </c>
      <c r="G16" s="1930" t="s">
        <v>560</v>
      </c>
      <c r="H16" s="842">
        <f>SUM(H17,H20:H32)</f>
        <v>0</v>
      </c>
      <c r="I16" s="842">
        <f>SUM(I17,I20,I23,I26,I29:I32)</f>
        <v>0</v>
      </c>
      <c r="J16" s="573" t="s">
        <v>715</v>
      </c>
      <c r="K16" s="827" t="s">
        <v>638</v>
      </c>
      <c r="AF16" s="1915">
        <v>34</v>
      </c>
    </row>
    <row customHeight="1" ht="19.95">
      <c r="D17" s="1922"/>
      <c r="E17" s="1948" t="s">
        <v>716</v>
      </c>
      <c r="F17" s="1238" t="s">
        <v>717</v>
      </c>
      <c r="G17" s="1927" t="s">
        <v>560</v>
      </c>
      <c r="H17" s="841"/>
      <c r="I17" s="841"/>
      <c r="J17" s="573" t="s">
        <v>718</v>
      </c>
      <c r="K17" s="827"/>
      <c r="AF17" s="1915">
        <v>19</v>
      </c>
    </row>
    <row customHeight="1" ht="24">
      <c r="D18" s="1922"/>
      <c r="E18" s="1948" t="s">
        <v>719</v>
      </c>
      <c r="F18" s="1934" t="s">
        <v>720</v>
      </c>
      <c r="G18" s="1927" t="s">
        <v>560</v>
      </c>
      <c r="H18" s="841"/>
      <c r="I18" s="841"/>
      <c r="J18" s="573" t="s">
        <v>721</v>
      </c>
      <c r="K18" s="827"/>
      <c r="AF18" s="1915">
        <v>23</v>
      </c>
    </row>
    <row customHeight="1" ht="35.699999999999996">
      <c r="D19" s="1922"/>
      <c r="E19" s="1948" t="s">
        <v>722</v>
      </c>
      <c r="F19" s="1934" t="s">
        <v>723</v>
      </c>
      <c r="G19" s="1927" t="s">
        <v>560</v>
      </c>
      <c r="H19" s="841"/>
      <c r="I19" s="841"/>
      <c r="J19" s="573"/>
      <c r="K19" s="827"/>
      <c r="AF19" s="1915">
        <v>34</v>
      </c>
    </row>
    <row customHeight="1" ht="19.95">
      <c r="D20" s="1922"/>
      <c r="E20" s="1948" t="s">
        <v>312</v>
      </c>
      <c r="F20" s="1238" t="s">
        <v>724</v>
      </c>
      <c r="G20" s="1927" t="s">
        <v>560</v>
      </c>
      <c r="H20" s="841"/>
      <c r="I20" s="841"/>
      <c r="J20" s="573" t="s">
        <v>725</v>
      </c>
      <c r="K20" s="827"/>
      <c r="AF20" s="1915">
        <v>19</v>
      </c>
    </row>
    <row customHeight="1" ht="19.95">
      <c r="D21" s="1922"/>
      <c r="E21" s="1948" t="s">
        <v>726</v>
      </c>
      <c r="F21" s="1934" t="s">
        <v>727</v>
      </c>
      <c r="G21" s="1927" t="s">
        <v>560</v>
      </c>
      <c r="H21" s="841"/>
      <c r="I21" s="841"/>
      <c r="J21" s="573"/>
      <c r="K21" s="827"/>
      <c r="AF21" s="1915">
        <v>19</v>
      </c>
    </row>
    <row customHeight="1" ht="19.95">
      <c r="D22" s="1922"/>
      <c r="E22" s="1948" t="s">
        <v>728</v>
      </c>
      <c r="F22" s="1934" t="s">
        <v>729</v>
      </c>
      <c r="G22" s="1927" t="s">
        <v>560</v>
      </c>
      <c r="H22" s="841"/>
      <c r="I22" s="841"/>
      <c r="J22" s="573"/>
      <c r="K22" s="827"/>
      <c r="AF22" s="1915">
        <v>19</v>
      </c>
    </row>
    <row customHeight="1" ht="24">
      <c r="D23" s="1922"/>
      <c r="E23" s="1948" t="s">
        <v>315</v>
      </c>
      <c r="F23" s="1238" t="s">
        <v>730</v>
      </c>
      <c r="G23" s="1927" t="s">
        <v>560</v>
      </c>
      <c r="H23" s="841"/>
      <c r="I23" s="841"/>
      <c r="J23" s="573" t="s">
        <v>731</v>
      </c>
      <c r="K23" s="827"/>
      <c r="AF23" s="1915">
        <v>23</v>
      </c>
    </row>
    <row customHeight="1" ht="19.95">
      <c r="D24" s="1922"/>
      <c r="E24" s="1948" t="s">
        <v>732</v>
      </c>
      <c r="F24" s="1934" t="s">
        <v>733</v>
      </c>
      <c r="G24" s="1927" t="s">
        <v>560</v>
      </c>
      <c r="H24" s="841"/>
      <c r="I24" s="841"/>
      <c r="J24" s="573"/>
      <c r="K24" s="827"/>
      <c r="AF24" s="1915">
        <v>19</v>
      </c>
    </row>
    <row customHeight="1" ht="35.699999999999996">
      <c r="D25" s="1922"/>
      <c r="E25" s="1948" t="s">
        <v>734</v>
      </c>
      <c r="F25" s="1934" t="s">
        <v>735</v>
      </c>
      <c r="G25" s="1927" t="s">
        <v>560</v>
      </c>
      <c r="H25" s="841"/>
      <c r="I25" s="841"/>
      <c r="J25" s="573"/>
      <c r="K25" s="827"/>
      <c r="AF25" s="1915">
        <v>34</v>
      </c>
    </row>
    <row customHeight="1" ht="24">
      <c r="D26" s="1922"/>
      <c r="E26" s="1948" t="s">
        <v>736</v>
      </c>
      <c r="F26" s="1238" t="s">
        <v>737</v>
      </c>
      <c r="G26" s="1927" t="s">
        <v>560</v>
      </c>
      <c r="H26" s="841"/>
      <c r="I26" s="841"/>
      <c r="J26" s="573" t="s">
        <v>738</v>
      </c>
      <c r="K26" s="827"/>
      <c r="AF26" s="1915">
        <v>23</v>
      </c>
    </row>
    <row customHeight="1" ht="19.95">
      <c r="D27" s="1922"/>
      <c r="E27" s="1959" t="s">
        <v>739</v>
      </c>
      <c r="F27" s="1934" t="s">
        <v>740</v>
      </c>
      <c r="G27" s="1938" t="s">
        <v>560</v>
      </c>
      <c r="H27" s="1960"/>
      <c r="I27" s="1960"/>
      <c r="J27" s="573"/>
      <c r="K27" s="827"/>
      <c r="AF27" s="1915">
        <v>19</v>
      </c>
    </row>
    <row customHeight="1" ht="19.95">
      <c r="D28" s="1922"/>
      <c r="E28" s="1959" t="s">
        <v>741</v>
      </c>
      <c r="F28" s="1934" t="s">
        <v>742</v>
      </c>
      <c r="G28" s="1938" t="s">
        <v>560</v>
      </c>
      <c r="H28" s="1960"/>
      <c r="I28" s="1960"/>
      <c r="J28" s="573"/>
      <c r="K28" s="827"/>
      <c r="AF28" s="1915">
        <v>19</v>
      </c>
    </row>
    <row customHeight="1" ht="19.95">
      <c r="D29" s="1922"/>
      <c r="E29" s="1959" t="s">
        <v>743</v>
      </c>
      <c r="F29" s="1238" t="s">
        <v>744</v>
      </c>
      <c r="G29" s="1938" t="s">
        <v>560</v>
      </c>
      <c r="H29" s="1960"/>
      <c r="I29" s="1960"/>
      <c r="J29" s="573"/>
      <c r="K29" s="827"/>
      <c r="AF29" s="1915">
        <v>19</v>
      </c>
    </row>
    <row customHeight="1" ht="19.95">
      <c r="D30" s="1922"/>
      <c r="E30" s="1959" t="s">
        <v>745</v>
      </c>
      <c r="F30" s="1238" t="s">
        <v>746</v>
      </c>
      <c r="G30" s="1938" t="s">
        <v>560</v>
      </c>
      <c r="H30" s="1960"/>
      <c r="I30" s="1960"/>
      <c r="J30" s="573"/>
      <c r="K30" s="827"/>
      <c r="AF30" s="1915">
        <v>19</v>
      </c>
    </row>
    <row customHeight="1" ht="19.95">
      <c r="D31" s="1922"/>
      <c r="E31" s="1959" t="s">
        <v>747</v>
      </c>
      <c r="F31" s="1238" t="s">
        <v>748</v>
      </c>
      <c r="G31" s="1938" t="s">
        <v>560</v>
      </c>
      <c r="H31" s="1960"/>
      <c r="I31" s="1960"/>
      <c r="J31" s="573"/>
      <c r="K31" s="827"/>
      <c r="AF31" s="1915">
        <v>19</v>
      </c>
    </row>
    <row s="14157" customFormat="1" customHeight="1" ht="35.699999999999996">
      <c r="A32" s="1271"/>
      <c r="C32" s="1920"/>
      <c r="D32" s="1922"/>
      <c r="E32" s="1959" t="s">
        <v>749</v>
      </c>
      <c r="F32" s="1238" t="s">
        <v>750</v>
      </c>
      <c r="G32" s="1928" t="s">
        <v>560</v>
      </c>
      <c r="H32" s="863">
        <f>SUM(H33:H34)</f>
        <v>0</v>
      </c>
      <c r="I32" s="863">
        <f>SUM(I33:I34)</f>
        <v>0</v>
      </c>
      <c r="J32" s="573" t="s">
        <v>751</v>
      </c>
      <c r="K32" s="827"/>
      <c r="L32" s="1920"/>
      <c r="M32" s="1920"/>
      <c r="R32" s="1920"/>
      <c r="U32" s="828"/>
      <c r="AA32" s="1916"/>
      <c r="AB32" s="1916"/>
      <c r="AC32" s="1916"/>
      <c r="AD32" s="1916"/>
      <c r="AE32" s="1916"/>
      <c r="AF32" s="1444">
        <v>34</v>
      </c>
    </row>
    <row s="14158" customFormat="1" customHeight="1" ht="1.05">
      <c r="A33" s="1451"/>
      <c r="D33" s="832"/>
      <c r="E33" s="1086" t="str">
        <f>E32&amp;".0"</f>
        <v>2.8.0</v>
      </c>
      <c r="F33" s="1275"/>
      <c r="G33" s="835"/>
      <c r="H33" s="1276"/>
      <c r="I33" s="1276"/>
      <c r="J33" s="1277"/>
      <c r="AF33" s="1920">
        <v>1</v>
      </c>
    </row>
    <row s="14157" customFormat="1" customHeight="1" ht="19.95">
      <c r="A34" s="1271"/>
      <c r="C34" s="1920"/>
      <c r="D34" s="1917"/>
      <c r="E34" s="854"/>
      <c r="F34" s="1950" t="s">
        <v>585</v>
      </c>
      <c r="G34" s="856"/>
      <c r="H34" s="857"/>
      <c r="I34" s="857"/>
      <c r="J34" s="585" t="s">
        <v>752</v>
      </c>
      <c r="K34" s="827"/>
      <c r="L34" s="1920"/>
      <c r="M34" s="1920"/>
      <c r="R34" s="1920"/>
      <c r="U34" s="828"/>
      <c r="AA34" s="1916"/>
      <c r="AB34" s="1916"/>
      <c r="AC34" s="1916"/>
      <c r="AD34" s="1916"/>
      <c r="AE34" s="1916"/>
      <c r="AF34" s="1444">
        <v>19</v>
      </c>
    </row>
    <row customHeight="1" ht="60">
      <c r="D35" s="1922"/>
      <c r="E35" s="1959" t="s">
        <v>753</v>
      </c>
      <c r="F35" s="1238" t="s">
        <v>754</v>
      </c>
      <c r="G35" s="1938" t="s">
        <v>560</v>
      </c>
      <c r="H35" s="1960"/>
      <c r="I35" s="1960"/>
      <c r="J35" s="573" t="s">
        <v>755</v>
      </c>
      <c r="K35" s="827"/>
      <c r="AF35" s="1915">
        <v>57</v>
      </c>
    </row>
    <row s="14157" customFormat="1" customHeight="1" ht="24">
      <c r="A36" s="1273" t="s">
        <v>586</v>
      </c>
      <c r="C36" s="1920"/>
      <c r="D36" s="1922"/>
      <c r="E36" s="1948" t="s">
        <v>91</v>
      </c>
      <c r="F36" s="991" t="s">
        <v>756</v>
      </c>
      <c r="G36" s="1927" t="s">
        <v>560</v>
      </c>
      <c r="H36" s="841"/>
      <c r="I36" s="841"/>
      <c r="J36" s="573" t="s">
        <v>757</v>
      </c>
      <c r="K36" s="827"/>
      <c r="L36" s="1920"/>
      <c r="M36" s="1920"/>
      <c r="R36" s="1920"/>
      <c r="U36" s="828"/>
      <c r="AA36" s="1916"/>
      <c r="AB36" s="1916"/>
      <c r="AC36" s="1916"/>
      <c r="AD36" s="1916"/>
      <c r="AE36" s="1916"/>
      <c r="AF36" s="1444">
        <v>23</v>
      </c>
    </row>
    <row s="14157" customFormat="1" customHeight="1" ht="35.699999999999996">
      <c r="A37" s="1273"/>
      <c r="C37" s="1920"/>
      <c r="D37" s="1922"/>
      <c r="E37" s="1948" t="s">
        <v>329</v>
      </c>
      <c r="F37" s="1238" t="s">
        <v>758</v>
      </c>
      <c r="G37" s="1938"/>
      <c r="H37" s="841"/>
      <c r="I37" s="841"/>
      <c r="J37" s="573"/>
      <c r="K37" s="827"/>
      <c r="L37" s="1920"/>
      <c r="M37" s="1920"/>
      <c r="R37" s="1920"/>
      <c r="U37" s="828"/>
      <c r="AA37" s="1916"/>
      <c r="AB37" s="1916"/>
      <c r="AC37" s="1916"/>
      <c r="AD37" s="1916"/>
      <c r="AE37" s="1916"/>
      <c r="AF37" s="1444">
        <v>34</v>
      </c>
    </row>
    <row s="14157" customFormat="1" customHeight="1" ht="19.95">
      <c r="A38" s="1271"/>
      <c r="C38" s="1920"/>
      <c r="D38" s="859"/>
      <c r="E38" s="1948" t="s">
        <v>92</v>
      </c>
      <c r="F38" s="991" t="s">
        <v>759</v>
      </c>
      <c r="G38" s="1927" t="s">
        <v>560</v>
      </c>
      <c r="H38" s="841"/>
      <c r="I38" s="841"/>
      <c r="J38" s="573" t="s">
        <v>760</v>
      </c>
      <c r="K38" s="827"/>
      <c r="L38" s="1920"/>
      <c r="M38" s="1920"/>
      <c r="R38" s="1920"/>
      <c r="U38" s="828"/>
      <c r="AA38" s="1916"/>
      <c r="AB38" s="1916"/>
      <c r="AC38" s="1916"/>
      <c r="AD38" s="1916"/>
      <c r="AE38" s="1916"/>
      <c r="AF38" s="1444">
        <v>19</v>
      </c>
    </row>
    <row s="14157" customFormat="1" customHeight="1" ht="24">
      <c r="A39" s="1271"/>
      <c r="C39" s="1920"/>
      <c r="D39" s="859"/>
      <c r="E39" s="1948" t="s">
        <v>761</v>
      </c>
      <c r="F39" s="1238" t="s">
        <v>762</v>
      </c>
      <c r="G39" s="1938" t="s">
        <v>560</v>
      </c>
      <c r="H39" s="841"/>
      <c r="I39" s="841"/>
      <c r="J39" s="573" t="s">
        <v>763</v>
      </c>
      <c r="K39" s="827"/>
      <c r="L39" s="1920"/>
      <c r="M39" s="1920"/>
      <c r="R39" s="1920"/>
      <c r="U39" s="828"/>
      <c r="AA39" s="1916"/>
      <c r="AB39" s="1916"/>
      <c r="AC39" s="1916"/>
      <c r="AD39" s="1916"/>
      <c r="AE39" s="1916"/>
      <c r="AF39" s="1444">
        <v>23</v>
      </c>
    </row>
    <row s="14157" customFormat="1" customHeight="1" ht="24">
      <c r="A40" s="1271"/>
      <c r="C40" s="1920"/>
      <c r="D40" s="1922"/>
      <c r="E40" s="1948" t="s">
        <v>764</v>
      </c>
      <c r="F40" s="1934" t="s">
        <v>765</v>
      </c>
      <c r="G40" s="1927" t="s">
        <v>560</v>
      </c>
      <c r="H40" s="841"/>
      <c r="I40" s="841"/>
      <c r="J40" s="573" t="s">
        <v>766</v>
      </c>
      <c r="K40" s="827"/>
      <c r="L40" s="1920"/>
      <c r="M40" s="1920"/>
      <c r="R40" s="1920"/>
      <c r="U40" s="828"/>
      <c r="AA40" s="1916"/>
      <c r="AB40" s="1916"/>
      <c r="AC40" s="1916"/>
      <c r="AD40" s="1916"/>
      <c r="AE40" s="1916"/>
      <c r="AF40" s="1444">
        <v>23</v>
      </c>
    </row>
    <row s="14157" customFormat="1" customHeight="1" ht="24">
      <c r="A41" s="1271"/>
      <c r="C41" s="1920"/>
      <c r="D41" s="1922"/>
      <c r="E41" s="1948" t="s">
        <v>767</v>
      </c>
      <c r="F41" s="1934" t="s">
        <v>768</v>
      </c>
      <c r="G41" s="1927" t="s">
        <v>560</v>
      </c>
      <c r="H41" s="841"/>
      <c r="I41" s="841"/>
      <c r="J41" s="573" t="s">
        <v>769</v>
      </c>
      <c r="K41" s="827"/>
      <c r="L41" s="1920"/>
      <c r="M41" s="1920"/>
      <c r="R41" s="1920"/>
      <c r="U41" s="828"/>
      <c r="AA41" s="1916"/>
      <c r="AB41" s="1916"/>
      <c r="AC41" s="1916"/>
      <c r="AD41" s="1916"/>
      <c r="AE41" s="1916"/>
      <c r="AF41" s="1444">
        <v>23</v>
      </c>
    </row>
    <row s="14157" customFormat="1" customHeight="1" ht="24">
      <c r="A42" s="1271"/>
      <c r="C42" s="1920"/>
      <c r="D42" s="1922"/>
      <c r="E42" s="1948" t="s">
        <v>770</v>
      </c>
      <c r="F42" s="1934" t="s">
        <v>771</v>
      </c>
      <c r="G42" s="1927" t="s">
        <v>560</v>
      </c>
      <c r="H42" s="841"/>
      <c r="I42" s="841"/>
      <c r="J42" s="573" t="s">
        <v>772</v>
      </c>
      <c r="K42" s="827"/>
      <c r="L42" s="1920"/>
      <c r="M42" s="1920"/>
      <c r="R42" s="1920"/>
      <c r="U42" s="828"/>
      <c r="AA42" s="1916"/>
      <c r="AB42" s="1916"/>
      <c r="AC42" s="1916"/>
      <c r="AD42" s="1916"/>
      <c r="AE42" s="1916"/>
      <c r="AF42" s="1444">
        <v>23</v>
      </c>
    </row>
    <row s="14157" customFormat="1" customHeight="1" ht="35.699999999999996">
      <c r="A43" s="1271"/>
      <c r="C43" s="1920" t="s">
        <v>596</v>
      </c>
      <c r="D43" s="1922"/>
      <c r="E43" s="1948" t="s">
        <v>112</v>
      </c>
      <c r="F43" s="991" t="s">
        <v>637</v>
      </c>
      <c r="G43" s="1930" t="s">
        <v>773</v>
      </c>
      <c r="H43" s="685"/>
      <c r="I43" s="685"/>
      <c r="J43" s="573" t="s">
        <v>774</v>
      </c>
      <c r="K43" s="827"/>
      <c r="L43" s="1920"/>
      <c r="M43" s="1920"/>
      <c r="R43" s="1920"/>
      <c r="U43" s="828"/>
      <c r="AA43" s="1916"/>
      <c r="AB43" s="1916"/>
      <c r="AC43" s="1916"/>
      <c r="AD43" s="1916"/>
      <c r="AE43" s="1916"/>
      <c r="AF43" s="1444">
        <v>34</v>
      </c>
    </row>
    <row s="14157" customFormat="1" customHeight="1" ht="35.699999999999996">
      <c r="A44" s="1271"/>
      <c r="C44" s="1920"/>
      <c r="D44" s="1922"/>
      <c r="E44" s="1948" t="s">
        <v>93</v>
      </c>
      <c r="F44" s="991" t="s">
        <v>775</v>
      </c>
      <c r="G44" s="1927" t="s">
        <v>776</v>
      </c>
      <c r="H44" s="829"/>
      <c r="I44" s="829"/>
      <c r="J44" s="573" t="s">
        <v>777</v>
      </c>
      <c r="K44" s="827"/>
      <c r="L44" s="1920"/>
      <c r="M44" s="1920"/>
      <c r="R44" s="1920"/>
      <c r="U44" s="828"/>
      <c r="AA44" s="1916"/>
      <c r="AB44" s="1916"/>
      <c r="AC44" s="1916"/>
      <c r="AD44" s="1916"/>
      <c r="AE44" s="1916"/>
      <c r="AF44" s="1444">
        <v>34</v>
      </c>
    </row>
    <row s="14157" customFormat="1" customHeight="1" ht="24">
      <c r="A45" s="1271"/>
      <c r="C45" s="1920"/>
      <c r="D45" s="1922"/>
      <c r="E45" s="1948" t="s">
        <v>94</v>
      </c>
      <c r="F45" s="991" t="s">
        <v>778</v>
      </c>
      <c r="G45" s="1938" t="s">
        <v>779</v>
      </c>
      <c r="H45" s="829"/>
      <c r="I45" s="829"/>
      <c r="J45" s="573" t="s">
        <v>780</v>
      </c>
      <c r="K45" s="827"/>
      <c r="L45" s="1920"/>
      <c r="M45" s="1920"/>
      <c r="R45" s="1920"/>
      <c r="U45" s="828"/>
      <c r="AA45" s="1916"/>
      <c r="AB45" s="1916"/>
      <c r="AC45" s="1916"/>
      <c r="AD45" s="1916"/>
      <c r="AE45" s="1916"/>
      <c r="AF45" s="1444">
        <v>23</v>
      </c>
    </row>
    <row s="14157" customFormat="1" customHeight="1" ht="19.95">
      <c r="A46" s="1271"/>
      <c r="C46" s="1920"/>
      <c r="D46" s="1922"/>
      <c r="E46" s="1948" t="s">
        <v>113</v>
      </c>
      <c r="F46" s="991" t="s">
        <v>781</v>
      </c>
      <c r="G46" s="1927" t="s">
        <v>598</v>
      </c>
      <c r="H46" s="861"/>
      <c r="I46" s="861"/>
      <c r="J46" s="573"/>
      <c r="K46" s="827"/>
      <c r="L46" s="1920"/>
      <c r="M46" s="1920"/>
      <c r="R46" s="1920"/>
      <c r="U46" s="828"/>
      <c r="AA46" s="1916"/>
      <c r="AB46" s="1916"/>
      <c r="AC46" s="1916"/>
      <c r="AD46" s="1916"/>
      <c r="AE46" s="1916"/>
      <c r="AF46" s="1444">
        <v>19</v>
      </c>
    </row>
    <row customHeight="1" ht="11.549999999999999">
      <c r="D47" s="1922"/>
      <c r="AF47" s="1915">
        <v>11</v>
      </c>
    </row>
    <row s="14730" customFormat="1" customHeight="1" ht="11.549999999999999">
      <c r="A48" s="1271"/>
      <c r="B48" s="1920"/>
      <c r="C48" s="1920"/>
      <c r="D48" s="635"/>
      <c r="K48" s="1444"/>
      <c r="L48" s="1920"/>
      <c r="M48" s="1920"/>
      <c r="N48" s="1444"/>
      <c r="O48" s="1444"/>
      <c r="P48" s="1444"/>
      <c r="Q48" s="1444"/>
      <c r="R48" s="1920"/>
      <c r="S48" s="1444"/>
      <c r="T48" s="1444"/>
      <c r="U48" s="828"/>
      <c r="V48" s="1444"/>
      <c r="W48" s="1444"/>
      <c r="X48" s="1444"/>
      <c r="Y48" s="1444"/>
      <c r="Z48" s="1444"/>
      <c r="AA48" s="1916"/>
      <c r="AB48" s="850"/>
      <c r="AC48" s="850"/>
      <c r="AD48" s="850"/>
      <c r="AE48" s="850"/>
      <c r="AF48" s="1925">
        <v>11</v>
      </c>
    </row>
    <row s="14730" customFormat="1" customHeight="1" ht="11.549999999999999">
      <c r="A49" s="1271"/>
      <c r="B49" s="1920"/>
      <c r="C49" s="1920"/>
      <c r="D49" s="635"/>
      <c r="K49" s="1444"/>
      <c r="L49" s="1920"/>
      <c r="M49" s="1920"/>
      <c r="N49" s="1444"/>
      <c r="O49" s="1444"/>
      <c r="P49" s="1444"/>
      <c r="Q49" s="1444"/>
      <c r="R49" s="1920"/>
      <c r="S49" s="1444"/>
      <c r="T49" s="1444"/>
      <c r="U49" s="828"/>
      <c r="V49" s="1444"/>
      <c r="W49" s="1444"/>
      <c r="X49" s="1444"/>
      <c r="Y49" s="1444"/>
      <c r="Z49" s="1444"/>
      <c r="AA49" s="1916"/>
      <c r="AB49" s="850"/>
      <c r="AC49" s="850"/>
      <c r="AD49" s="850"/>
      <c r="AE49" s="850"/>
      <c r="AF49" s="1925">
        <v>11</v>
      </c>
    </row>
    <row s="14730" customFormat="1" customHeight="1" ht="11.549999999999999">
      <c r="A50" s="1271"/>
      <c r="B50" s="1920"/>
      <c r="C50" s="1920"/>
      <c r="D50" s="635"/>
      <c r="H50" s="850"/>
      <c r="I50" s="850"/>
      <c r="K50" s="1444"/>
      <c r="L50" s="1920"/>
      <c r="M50" s="1920"/>
      <c r="N50" s="1444"/>
      <c r="O50" s="1444"/>
      <c r="P50" s="1444"/>
      <c r="Q50" s="1444"/>
      <c r="R50" s="1920"/>
      <c r="S50" s="1444"/>
      <c r="T50" s="1444"/>
      <c r="U50" s="828"/>
      <c r="V50" s="1444"/>
      <c r="W50" s="1444"/>
      <c r="X50" s="1444"/>
      <c r="Y50" s="1444"/>
      <c r="Z50" s="1444"/>
      <c r="AA50" s="1916"/>
      <c r="AB50" s="850"/>
      <c r="AC50" s="850"/>
      <c r="AD50" s="850"/>
      <c r="AE50" s="850"/>
      <c r="AF50" s="1925">
        <v>11</v>
      </c>
    </row>
    <row s="14730" customFormat="1" customHeight="1" ht="11.549999999999999">
      <c r="A51" s="1271"/>
      <c r="B51" s="1920"/>
      <c r="C51" s="1920"/>
      <c r="D51" s="635"/>
      <c r="K51" s="1444"/>
      <c r="L51" s="1920"/>
      <c r="M51" s="1920"/>
      <c r="N51" s="1444"/>
      <c r="O51" s="1444"/>
      <c r="P51" s="1444"/>
      <c r="Q51" s="1444"/>
      <c r="R51" s="1920"/>
      <c r="S51" s="1444"/>
      <c r="T51" s="1444"/>
      <c r="U51" s="828"/>
      <c r="V51" s="1444"/>
      <c r="W51" s="1444"/>
      <c r="X51" s="1444"/>
      <c r="Y51" s="1444"/>
      <c r="Z51" s="1444"/>
      <c r="AA51" s="1916"/>
      <c r="AB51" s="850"/>
      <c r="AC51" s="850"/>
      <c r="AD51" s="850"/>
      <c r="AE51" s="850"/>
      <c r="AF51" s="1925">
        <v>11</v>
      </c>
    </row>
    <row s="14730" customFormat="1" customHeight="1" ht="11.549999999999999">
      <c r="A52" s="1271"/>
      <c r="B52" s="1920"/>
      <c r="C52" s="1920"/>
      <c r="D52" s="635"/>
      <c r="K52" s="1444"/>
      <c r="L52" s="1920"/>
      <c r="M52" s="1920"/>
      <c r="N52" s="1444"/>
      <c r="O52" s="1444"/>
      <c r="P52" s="1444"/>
      <c r="Q52" s="1444"/>
      <c r="R52" s="1920"/>
      <c r="S52" s="1444"/>
      <c r="T52" s="1444"/>
      <c r="U52" s="828"/>
      <c r="V52" s="1444"/>
      <c r="W52" s="1444"/>
      <c r="X52" s="1444"/>
      <c r="Y52" s="1444"/>
      <c r="Z52" s="1444"/>
      <c r="AA52" s="1916"/>
      <c r="AB52" s="850"/>
      <c r="AC52" s="850"/>
      <c r="AD52" s="850"/>
      <c r="AE52" s="850"/>
      <c r="AF52" s="1925">
        <v>11</v>
      </c>
    </row>
    <row s="14730" customFormat="1" customHeight="1" ht="11.549999999999999">
      <c r="A53" s="1271"/>
      <c r="B53" s="1920"/>
      <c r="C53" s="1920"/>
      <c r="D53" s="635"/>
      <c r="K53" s="1444"/>
      <c r="L53" s="1920"/>
      <c r="M53" s="1920"/>
      <c r="N53" s="1444"/>
      <c r="O53" s="1444"/>
      <c r="P53" s="1444"/>
      <c r="Q53" s="1444"/>
      <c r="R53" s="1920"/>
      <c r="S53" s="1444"/>
      <c r="T53" s="1444"/>
      <c r="U53" s="828"/>
      <c r="V53" s="1444"/>
      <c r="W53" s="1444"/>
      <c r="X53" s="1444"/>
      <c r="Y53" s="1444"/>
      <c r="Z53" s="1444"/>
      <c r="AA53" s="1916"/>
      <c r="AB53" s="850"/>
      <c r="AC53" s="850"/>
      <c r="AD53" s="850"/>
      <c r="AE53" s="850"/>
      <c r="AF53" s="1925">
        <v>11</v>
      </c>
    </row>
    <row s="14730" customFormat="1" customHeight="1" ht="11.549999999999999">
      <c r="A54" s="1271"/>
      <c r="B54" s="1920"/>
      <c r="C54" s="1920"/>
      <c r="D54" s="635"/>
      <c r="K54" s="1444"/>
      <c r="L54" s="1920"/>
      <c r="M54" s="1920"/>
      <c r="N54" s="1444"/>
      <c r="O54" s="1444"/>
      <c r="P54" s="1444"/>
      <c r="Q54" s="1444"/>
      <c r="R54" s="1920"/>
      <c r="S54" s="1444"/>
      <c r="T54" s="1444"/>
      <c r="U54" s="828"/>
      <c r="V54" s="1444"/>
      <c r="W54" s="1444"/>
      <c r="X54" s="1444"/>
      <c r="Y54" s="1444"/>
      <c r="Z54" s="1444"/>
      <c r="AA54" s="1916"/>
      <c r="AB54" s="850"/>
      <c r="AC54" s="850"/>
      <c r="AD54" s="850"/>
      <c r="AE54" s="850"/>
      <c r="AF54" s="1925">
        <v>11</v>
      </c>
    </row>
    <row s="14730" customFormat="1" customHeight="1" ht="11.549999999999999">
      <c r="A55" s="1271"/>
      <c r="B55" s="1920"/>
      <c r="C55" s="1920"/>
      <c r="D55" s="635"/>
      <c r="K55" s="1444"/>
      <c r="L55" s="1920"/>
      <c r="M55" s="1920"/>
      <c r="N55" s="1444"/>
      <c r="O55" s="1444"/>
      <c r="P55" s="1444"/>
      <c r="Q55" s="1444"/>
      <c r="R55" s="1920"/>
      <c r="S55" s="1444"/>
      <c r="T55" s="1444"/>
      <c r="U55" s="828"/>
      <c r="V55" s="1444"/>
      <c r="W55" s="1444"/>
      <c r="X55" s="1444"/>
      <c r="Y55" s="1444"/>
      <c r="Z55" s="1444"/>
      <c r="AA55" s="1916"/>
      <c r="AB55" s="850"/>
      <c r="AC55" s="850"/>
      <c r="AD55" s="850"/>
      <c r="AE55" s="850"/>
      <c r="AF55" s="1925">
        <v>11</v>
      </c>
    </row>
    <row s="14730" customFormat="1" customHeight="1" ht="11.549999999999999">
      <c r="A56" s="1271"/>
      <c r="B56" s="1920"/>
      <c r="C56" s="1920"/>
      <c r="D56" s="635"/>
      <c r="K56" s="1444"/>
      <c r="L56" s="1920"/>
      <c r="M56" s="1920"/>
      <c r="N56" s="1444"/>
      <c r="O56" s="1444"/>
      <c r="P56" s="1444"/>
      <c r="Q56" s="1444"/>
      <c r="R56" s="1920"/>
      <c r="S56" s="1444"/>
      <c r="T56" s="1444"/>
      <c r="U56" s="828"/>
      <c r="V56" s="1444"/>
      <c r="W56" s="1444"/>
      <c r="X56" s="1444"/>
      <c r="Y56" s="1444"/>
      <c r="Z56" s="1444"/>
      <c r="AA56" s="1916"/>
      <c r="AB56" s="850"/>
      <c r="AC56" s="850"/>
      <c r="AD56" s="850"/>
      <c r="AE56" s="850"/>
      <c r="AF56" s="1925">
        <v>11</v>
      </c>
    </row>
    <row s="14730" customFormat="1" customHeight="1" ht="11.549999999999999">
      <c r="A57" s="1271"/>
      <c r="B57" s="1920"/>
      <c r="C57" s="1920"/>
      <c r="D57" s="635"/>
      <c r="K57" s="1444"/>
      <c r="L57" s="1920"/>
      <c r="M57" s="1920"/>
      <c r="N57" s="1444"/>
      <c r="O57" s="1444"/>
      <c r="P57" s="1444"/>
      <c r="Q57" s="1444"/>
      <c r="R57" s="1920"/>
      <c r="S57" s="1444"/>
      <c r="T57" s="1444"/>
      <c r="U57" s="828"/>
      <c r="V57" s="1444"/>
      <c r="W57" s="1444"/>
      <c r="X57" s="1444"/>
      <c r="Y57" s="1444"/>
      <c r="Z57" s="1444"/>
      <c r="AA57" s="1916"/>
      <c r="AB57" s="850"/>
      <c r="AC57" s="850"/>
      <c r="AD57" s="850"/>
      <c r="AE57" s="850"/>
      <c r="AF57" s="1925">
        <v>11</v>
      </c>
    </row>
    <row s="14730" customFormat="1" customHeight="1" ht="11.549999999999999">
      <c r="A58" s="1271"/>
      <c r="B58" s="1920"/>
      <c r="C58" s="1920"/>
      <c r="D58" s="635"/>
      <c r="K58" s="1444"/>
      <c r="L58" s="1920"/>
      <c r="M58" s="1920"/>
      <c r="N58" s="1444"/>
      <c r="O58" s="1444"/>
      <c r="P58" s="1444"/>
      <c r="Q58" s="1444"/>
      <c r="R58" s="1920"/>
      <c r="S58" s="1444"/>
      <c r="T58" s="1444"/>
      <c r="U58" s="828"/>
      <c r="V58" s="1444"/>
      <c r="W58" s="1444"/>
      <c r="X58" s="1444"/>
      <c r="Y58" s="1444"/>
      <c r="Z58" s="1444"/>
      <c r="AA58" s="1916"/>
      <c r="AB58" s="850"/>
      <c r="AC58" s="850"/>
      <c r="AD58" s="850"/>
      <c r="AE58" s="850"/>
      <c r="AF58" s="1925">
        <v>11</v>
      </c>
    </row>
    <row s="14730" customFormat="1" customHeight="1" ht="11.549999999999999">
      <c r="A59" s="1271"/>
      <c r="B59" s="1920"/>
      <c r="C59" s="1920"/>
      <c r="D59" s="635"/>
      <c r="K59" s="1444"/>
      <c r="L59" s="1920"/>
      <c r="M59" s="1920"/>
      <c r="N59" s="1444"/>
      <c r="O59" s="1444"/>
      <c r="P59" s="1444"/>
      <c r="Q59" s="1444"/>
      <c r="R59" s="1920"/>
      <c r="S59" s="1444"/>
      <c r="T59" s="1444"/>
      <c r="U59" s="828"/>
      <c r="V59" s="1444"/>
      <c r="W59" s="1444"/>
      <c r="X59" s="1444"/>
      <c r="Y59" s="1444"/>
      <c r="Z59" s="1444"/>
      <c r="AA59" s="1916"/>
      <c r="AB59" s="850"/>
      <c r="AC59" s="850"/>
      <c r="AD59" s="850"/>
      <c r="AE59" s="850"/>
      <c r="AF59" s="1925">
        <v>11</v>
      </c>
    </row>
    <row s="14730" customFormat="1" customHeight="1" ht="11.549999999999999">
      <c r="A60" s="1271"/>
      <c r="B60" s="1920"/>
      <c r="C60" s="1920"/>
      <c r="D60" s="635"/>
      <c r="K60" s="1444"/>
      <c r="L60" s="1920"/>
      <c r="M60" s="1920"/>
      <c r="N60" s="1444"/>
      <c r="O60" s="1444"/>
      <c r="P60" s="1444"/>
      <c r="Q60" s="1444"/>
      <c r="R60" s="1920"/>
      <c r="S60" s="1444"/>
      <c r="T60" s="1444"/>
      <c r="U60" s="828"/>
      <c r="V60" s="1444"/>
      <c r="W60" s="1444"/>
      <c r="X60" s="1444"/>
      <c r="Y60" s="1444"/>
      <c r="Z60" s="1444"/>
      <c r="AA60" s="1916"/>
      <c r="AB60" s="850"/>
      <c r="AC60" s="850"/>
      <c r="AD60" s="850"/>
      <c r="AE60" s="850"/>
      <c r="AF60" s="1925">
        <v>11</v>
      </c>
    </row>
    <row s="14730" customFormat="1" customHeight="1" ht="11.549999999999999">
      <c r="A61" s="1271"/>
      <c r="B61" s="1920"/>
      <c r="C61" s="1920"/>
      <c r="D61" s="635"/>
      <c r="K61" s="1444"/>
      <c r="L61" s="1920"/>
      <c r="M61" s="1920"/>
      <c r="N61" s="1444"/>
      <c r="O61" s="1444"/>
      <c r="P61" s="1444"/>
      <c r="Q61" s="1444"/>
      <c r="R61" s="1920"/>
      <c r="S61" s="1444"/>
      <c r="T61" s="1444"/>
      <c r="U61" s="828"/>
      <c r="V61" s="1444"/>
      <c r="W61" s="1444"/>
      <c r="X61" s="1444"/>
      <c r="Y61" s="1444"/>
      <c r="Z61" s="1444"/>
      <c r="AA61" s="1916"/>
      <c r="AB61" s="850"/>
      <c r="AC61" s="850"/>
      <c r="AD61" s="850"/>
      <c r="AE61" s="850"/>
      <c r="AF61" s="1925">
        <v>11</v>
      </c>
    </row>
    <row s="14730" customFormat="1" customHeight="1" ht="11.549999999999999">
      <c r="A62" s="1271"/>
      <c r="B62" s="1920"/>
      <c r="C62" s="1920"/>
      <c r="D62" s="635"/>
      <c r="K62" s="1444"/>
      <c r="L62" s="1920"/>
      <c r="M62" s="1920"/>
      <c r="N62" s="1444"/>
      <c r="O62" s="1444"/>
      <c r="P62" s="1444"/>
      <c r="Q62" s="1444"/>
      <c r="R62" s="1920"/>
      <c r="S62" s="1444"/>
      <c r="T62" s="1444"/>
      <c r="U62" s="828"/>
      <c r="V62" s="1444"/>
      <c r="W62" s="1444"/>
      <c r="X62" s="1444"/>
      <c r="Y62" s="1444"/>
      <c r="Z62" s="1444"/>
      <c r="AA62" s="1916"/>
      <c r="AB62" s="850"/>
      <c r="AC62" s="850"/>
      <c r="AD62" s="850"/>
      <c r="AE62" s="850"/>
      <c r="AF62" s="1925">
        <v>11</v>
      </c>
    </row>
    <row s="14730" customFormat="1" customHeight="1" ht="11.549999999999999">
      <c r="A63" s="1271"/>
      <c r="B63" s="1920"/>
      <c r="C63" s="1920"/>
      <c r="D63" s="635"/>
      <c r="K63" s="1444"/>
      <c r="L63" s="1920"/>
      <c r="M63" s="1920"/>
      <c r="N63" s="1444"/>
      <c r="O63" s="1444"/>
      <c r="P63" s="1444"/>
      <c r="Q63" s="1444"/>
      <c r="R63" s="1920"/>
      <c r="S63" s="1444"/>
      <c r="T63" s="1444"/>
      <c r="U63" s="828"/>
      <c r="V63" s="1444"/>
      <c r="W63" s="1444"/>
      <c r="X63" s="1444"/>
      <c r="Y63" s="1444"/>
      <c r="Z63" s="1444"/>
      <c r="AA63" s="1916"/>
      <c r="AB63" s="850"/>
      <c r="AC63" s="850"/>
      <c r="AD63" s="850"/>
      <c r="AE63" s="850"/>
      <c r="AF63" s="1925">
        <v>11</v>
      </c>
    </row>
    <row s="14730" customFormat="1" customHeight="1" ht="11.549999999999999">
      <c r="A64" s="1271"/>
      <c r="B64" s="1920"/>
      <c r="C64" s="1920"/>
      <c r="D64" s="635"/>
      <c r="K64" s="1444"/>
      <c r="L64" s="1920"/>
      <c r="M64" s="1920"/>
      <c r="N64" s="1444"/>
      <c r="O64" s="1444"/>
      <c r="P64" s="1444"/>
      <c r="Q64" s="1444"/>
      <c r="R64" s="1920"/>
      <c r="S64" s="1444"/>
      <c r="T64" s="1444"/>
      <c r="U64" s="828"/>
      <c r="V64" s="1444"/>
      <c r="W64" s="1444"/>
      <c r="X64" s="1444"/>
      <c r="Y64" s="1444"/>
      <c r="Z64" s="1444"/>
      <c r="AA64" s="1916"/>
      <c r="AB64" s="850"/>
      <c r="AC64" s="850"/>
      <c r="AD64" s="850"/>
      <c r="AE64" s="850"/>
      <c r="AF64" s="1925">
        <v>11</v>
      </c>
    </row>
    <row s="14730" customFormat="1" customHeight="1" ht="11.549999999999999">
      <c r="A65" s="1271"/>
      <c r="B65" s="1920"/>
      <c r="C65" s="1920"/>
      <c r="D65" s="635"/>
      <c r="K65" s="1444"/>
      <c r="L65" s="1920"/>
      <c r="M65" s="1920"/>
      <c r="N65" s="1444"/>
      <c r="O65" s="1444"/>
      <c r="P65" s="1444"/>
      <c r="Q65" s="1444"/>
      <c r="R65" s="1920"/>
      <c r="S65" s="1444"/>
      <c r="T65" s="1444"/>
      <c r="U65" s="828"/>
      <c r="V65" s="1444"/>
      <c r="W65" s="1444"/>
      <c r="X65" s="1444"/>
      <c r="Y65" s="1444"/>
      <c r="Z65" s="1444"/>
      <c r="AA65" s="1916"/>
      <c r="AB65" s="850"/>
      <c r="AC65" s="850"/>
      <c r="AD65" s="850"/>
      <c r="AE65" s="850"/>
      <c r="AF65" s="1925">
        <v>11</v>
      </c>
    </row>
    <row s="14730" customFormat="1" customHeight="1" ht="11.549999999999999">
      <c r="A66" s="1271"/>
      <c r="B66" s="1920"/>
      <c r="C66" s="1920"/>
      <c r="D66" s="635"/>
      <c r="K66" s="1444"/>
      <c r="L66" s="1920"/>
      <c r="M66" s="1920"/>
      <c r="N66" s="1444"/>
      <c r="O66" s="1444"/>
      <c r="P66" s="1444"/>
      <c r="Q66" s="1444"/>
      <c r="R66" s="1920"/>
      <c r="S66" s="1444"/>
      <c r="T66" s="1444"/>
      <c r="U66" s="828"/>
      <c r="V66" s="1444"/>
      <c r="W66" s="1444"/>
      <c r="X66" s="1444"/>
      <c r="Y66" s="1444"/>
      <c r="Z66" s="1444"/>
      <c r="AA66" s="1916"/>
      <c r="AB66" s="850"/>
      <c r="AC66" s="850"/>
      <c r="AD66" s="850"/>
      <c r="AE66" s="850"/>
      <c r="AF66" s="1925">
        <v>11</v>
      </c>
    </row>
    <row s="14730" customFormat="1" customHeight="1" ht="11.549999999999999">
      <c r="A67" s="1271"/>
      <c r="B67" s="1920"/>
      <c r="C67" s="1920"/>
      <c r="D67" s="635"/>
      <c r="K67" s="1444"/>
      <c r="L67" s="1920"/>
      <c r="M67" s="1920"/>
      <c r="N67" s="1444"/>
      <c r="O67" s="1444"/>
      <c r="P67" s="1444"/>
      <c r="Q67" s="1444"/>
      <c r="R67" s="1920"/>
      <c r="S67" s="1444"/>
      <c r="T67" s="1444"/>
      <c r="U67" s="828"/>
      <c r="V67" s="1444"/>
      <c r="W67" s="1444"/>
      <c r="X67" s="1444"/>
      <c r="Y67" s="1444"/>
      <c r="Z67" s="1444"/>
      <c r="AA67" s="1916"/>
      <c r="AB67" s="850"/>
      <c r="AC67" s="850"/>
      <c r="AD67" s="850"/>
      <c r="AE67" s="850"/>
      <c r="AF67" s="1925">
        <v>11</v>
      </c>
    </row>
    <row s="14730" customFormat="1" customHeight="1" ht="11.549999999999999">
      <c r="A68" s="1271"/>
      <c r="B68" s="1920"/>
      <c r="C68" s="1920"/>
      <c r="D68" s="635"/>
      <c r="K68" s="1444"/>
      <c r="L68" s="1920"/>
      <c r="M68" s="1920"/>
      <c r="N68" s="1444"/>
      <c r="O68" s="1444"/>
      <c r="P68" s="1444"/>
      <c r="Q68" s="1444"/>
      <c r="R68" s="1920"/>
      <c r="S68" s="1444"/>
      <c r="T68" s="1444"/>
      <c r="U68" s="828"/>
      <c r="V68" s="1444"/>
      <c r="W68" s="1444"/>
      <c r="X68" s="1444"/>
      <c r="Y68" s="1444"/>
      <c r="Z68" s="1444"/>
      <c r="AA68" s="1916"/>
      <c r="AB68" s="850"/>
      <c r="AC68" s="850"/>
      <c r="AD68" s="850"/>
      <c r="AE68" s="850"/>
      <c r="AF68" s="1925">
        <v>11</v>
      </c>
    </row>
    <row s="14730" customFormat="1" customHeight="1" ht="11.549999999999999">
      <c r="A69" s="1271"/>
      <c r="B69" s="1920"/>
      <c r="C69" s="1920"/>
      <c r="D69" s="635"/>
      <c r="K69" s="1444"/>
      <c r="L69" s="1920"/>
      <c r="M69" s="1920"/>
      <c r="N69" s="1444"/>
      <c r="O69" s="1444"/>
      <c r="P69" s="1444"/>
      <c r="Q69" s="1444"/>
      <c r="R69" s="1920"/>
      <c r="S69" s="1444"/>
      <c r="T69" s="1444"/>
      <c r="U69" s="828"/>
      <c r="V69" s="1444"/>
      <c r="W69" s="1444"/>
      <c r="X69" s="1444"/>
      <c r="Y69" s="1444"/>
      <c r="Z69" s="1444"/>
      <c r="AA69" s="1916"/>
      <c r="AB69" s="850"/>
      <c r="AC69" s="850"/>
      <c r="AD69" s="850"/>
      <c r="AE69" s="850"/>
      <c r="AF69" s="1925">
        <v>11</v>
      </c>
    </row>
    <row s="14730" customFormat="1" customHeight="1" ht="11.549999999999999">
      <c r="A70" s="1271"/>
      <c r="B70" s="1920"/>
      <c r="C70" s="1920"/>
      <c r="D70" s="635"/>
      <c r="K70" s="1444"/>
      <c r="L70" s="1920"/>
      <c r="M70" s="1920"/>
      <c r="N70" s="1444"/>
      <c r="O70" s="1444"/>
      <c r="P70" s="1444"/>
      <c r="Q70" s="1444"/>
      <c r="R70" s="1920"/>
      <c r="S70" s="1444"/>
      <c r="T70" s="1444"/>
      <c r="U70" s="828"/>
      <c r="V70" s="1444"/>
      <c r="W70" s="1444"/>
      <c r="X70" s="1444"/>
      <c r="Y70" s="1444"/>
      <c r="Z70" s="1444"/>
      <c r="AA70" s="1916"/>
      <c r="AB70" s="850"/>
      <c r="AC70" s="850"/>
      <c r="AD70" s="850"/>
      <c r="AE70" s="850"/>
      <c r="AF70" s="1925">
        <v>11</v>
      </c>
    </row>
    <row s="14730" customFormat="1" customHeight="1" ht="11.549999999999999">
      <c r="A71" s="1271"/>
      <c r="B71" s="1920"/>
      <c r="C71" s="1920"/>
      <c r="D71" s="635"/>
      <c r="K71" s="1444"/>
      <c r="L71" s="1920"/>
      <c r="M71" s="1920"/>
      <c r="N71" s="1444"/>
      <c r="O71" s="1444"/>
      <c r="P71" s="1444"/>
      <c r="Q71" s="1444"/>
      <c r="R71" s="1920"/>
      <c r="S71" s="1444"/>
      <c r="T71" s="1444"/>
      <c r="U71" s="828"/>
      <c r="V71" s="1444"/>
      <c r="W71" s="1444"/>
      <c r="X71" s="1444"/>
      <c r="Y71" s="1444"/>
      <c r="Z71" s="1444"/>
      <c r="AA71" s="1916"/>
      <c r="AB71" s="850"/>
      <c r="AC71" s="850"/>
      <c r="AD71" s="850"/>
      <c r="AE71" s="850"/>
      <c r="AF71" s="1925">
        <v>11</v>
      </c>
    </row>
    <row s="14730" customFormat="1" customHeight="1" ht="11.549999999999999">
      <c r="A72" s="1271"/>
      <c r="B72" s="1920"/>
      <c r="C72" s="1920"/>
      <c r="D72" s="635"/>
      <c r="K72" s="1444"/>
      <c r="L72" s="1920"/>
      <c r="M72" s="1920"/>
      <c r="N72" s="1444"/>
      <c r="O72" s="1444"/>
      <c r="P72" s="1444"/>
      <c r="Q72" s="1444"/>
      <c r="R72" s="1920"/>
      <c r="S72" s="1444"/>
      <c r="T72" s="1444"/>
      <c r="U72" s="828"/>
      <c r="V72" s="1444"/>
      <c r="W72" s="1444"/>
      <c r="X72" s="1444"/>
      <c r="Y72" s="1444"/>
      <c r="Z72" s="1444"/>
      <c r="AA72" s="1916"/>
      <c r="AB72" s="850"/>
      <c r="AC72" s="850"/>
      <c r="AD72" s="850"/>
      <c r="AE72" s="850"/>
      <c r="AF72" s="1925">
        <v>11</v>
      </c>
    </row>
    <row s="14730" customFormat="1" customHeight="1" ht="11.549999999999999">
      <c r="A73" s="1271"/>
      <c r="B73" s="1920"/>
      <c r="C73" s="1920"/>
      <c r="D73" s="635"/>
      <c r="K73" s="1444"/>
      <c r="L73" s="1920"/>
      <c r="M73" s="1920"/>
      <c r="N73" s="1444"/>
      <c r="O73" s="1444"/>
      <c r="P73" s="1444"/>
      <c r="Q73" s="1444"/>
      <c r="R73" s="1920"/>
      <c r="S73" s="1444"/>
      <c r="T73" s="1444"/>
      <c r="U73" s="828"/>
      <c r="V73" s="1444"/>
      <c r="W73" s="1444"/>
      <c r="X73" s="1444"/>
      <c r="Y73" s="1444"/>
      <c r="Z73" s="1444"/>
      <c r="AA73" s="1916"/>
      <c r="AB73" s="850"/>
      <c r="AC73" s="850"/>
      <c r="AD73" s="850"/>
      <c r="AE73" s="850"/>
      <c r="AF73" s="1925">
        <v>11</v>
      </c>
    </row>
    <row s="14730" customFormat="1" customHeight="1" ht="11.549999999999999">
      <c r="A74" s="1271"/>
      <c r="B74" s="1920"/>
      <c r="C74" s="1920"/>
      <c r="D74" s="635"/>
      <c r="K74" s="1444"/>
      <c r="L74" s="1920"/>
      <c r="M74" s="1920"/>
      <c r="N74" s="1444"/>
      <c r="O74" s="1444"/>
      <c r="P74" s="1444"/>
      <c r="Q74" s="1444"/>
      <c r="R74" s="1920"/>
      <c r="S74" s="1444"/>
      <c r="T74" s="1444"/>
      <c r="U74" s="828"/>
      <c r="V74" s="1444"/>
      <c r="W74" s="1444"/>
      <c r="X74" s="1444"/>
      <c r="Y74" s="1444"/>
      <c r="Z74" s="1444"/>
      <c r="AA74" s="1916"/>
      <c r="AB74" s="850"/>
      <c r="AC74" s="850"/>
      <c r="AD74" s="850"/>
      <c r="AE74" s="850"/>
      <c r="AF74" s="1925">
        <v>11</v>
      </c>
    </row>
    <row s="14730" customFormat="1" customHeight="1" ht="11.549999999999999">
      <c r="A75" s="1271"/>
      <c r="B75" s="1920"/>
      <c r="C75" s="1920"/>
      <c r="D75" s="635"/>
      <c r="K75" s="1444"/>
      <c r="L75" s="1920"/>
      <c r="M75" s="1920"/>
      <c r="N75" s="1444"/>
      <c r="O75" s="1444"/>
      <c r="P75" s="1444"/>
      <c r="Q75" s="1444"/>
      <c r="R75" s="1920"/>
      <c r="S75" s="1444"/>
      <c r="T75" s="1444"/>
      <c r="U75" s="828"/>
      <c r="V75" s="1444"/>
      <c r="W75" s="1444"/>
      <c r="X75" s="1444"/>
      <c r="Y75" s="1444"/>
      <c r="Z75" s="1444"/>
      <c r="AA75" s="1916"/>
      <c r="AB75" s="850"/>
      <c r="AC75" s="850"/>
      <c r="AD75" s="850"/>
      <c r="AE75" s="850"/>
      <c r="AF75" s="1925">
        <v>11</v>
      </c>
    </row>
    <row s="14730" customFormat="1" customHeight="1" ht="11.549999999999999">
      <c r="A76" s="1271"/>
      <c r="B76" s="1920"/>
      <c r="C76" s="1920"/>
      <c r="D76" s="635"/>
      <c r="K76" s="1444"/>
      <c r="L76" s="1920"/>
      <c r="M76" s="1920"/>
      <c r="N76" s="1444"/>
      <c r="O76" s="1444"/>
      <c r="P76" s="1444"/>
      <c r="Q76" s="1444"/>
      <c r="R76" s="1920"/>
      <c r="S76" s="1444"/>
      <c r="T76" s="1444"/>
      <c r="U76" s="828"/>
      <c r="V76" s="1444"/>
      <c r="W76" s="1444"/>
      <c r="X76" s="1444"/>
      <c r="Y76" s="1444"/>
      <c r="Z76" s="1444"/>
      <c r="AA76" s="1916"/>
      <c r="AB76" s="850"/>
      <c r="AC76" s="850"/>
      <c r="AD76" s="850"/>
      <c r="AE76" s="850"/>
      <c r="AF76" s="1925">
        <v>11</v>
      </c>
    </row>
    <row s="14730" customFormat="1" customHeight="1" ht="11.549999999999999">
      <c r="A77" s="1271"/>
      <c r="B77" s="1920"/>
      <c r="C77" s="1920"/>
      <c r="D77" s="635"/>
      <c r="K77" s="1444"/>
      <c r="L77" s="1920"/>
      <c r="M77" s="1920"/>
      <c r="N77" s="1444"/>
      <c r="O77" s="1444"/>
      <c r="P77" s="1444"/>
      <c r="Q77" s="1444"/>
      <c r="R77" s="1920"/>
      <c r="S77" s="1444"/>
      <c r="T77" s="1444"/>
      <c r="U77" s="828"/>
      <c r="V77" s="1444"/>
      <c r="W77" s="1444"/>
      <c r="X77" s="1444"/>
      <c r="Y77" s="1444"/>
      <c r="Z77" s="1444"/>
      <c r="AA77" s="1916"/>
      <c r="AB77" s="850"/>
      <c r="AC77" s="850"/>
      <c r="AD77" s="850"/>
      <c r="AE77" s="850"/>
      <c r="AF77" s="1925">
        <v>11</v>
      </c>
    </row>
    <row s="14730" customFormat="1" customHeight="1" ht="11.549999999999999">
      <c r="A78" s="1271"/>
      <c r="B78" s="1920"/>
      <c r="C78" s="1920"/>
      <c r="D78" s="635"/>
      <c r="K78" s="1444"/>
      <c r="L78" s="1920"/>
      <c r="M78" s="1920"/>
      <c r="N78" s="1444"/>
      <c r="O78" s="1444"/>
      <c r="P78" s="1444"/>
      <c r="Q78" s="1444"/>
      <c r="R78" s="1920"/>
      <c r="S78" s="1444"/>
      <c r="T78" s="1444"/>
      <c r="U78" s="828"/>
      <c r="V78" s="1444"/>
      <c r="W78" s="1444"/>
      <c r="X78" s="1444"/>
      <c r="Y78" s="1444"/>
      <c r="Z78" s="1444"/>
      <c r="AA78" s="1916"/>
      <c r="AB78" s="850"/>
      <c r="AC78" s="850"/>
      <c r="AD78" s="850"/>
      <c r="AE78" s="850"/>
      <c r="AF78" s="1925">
        <v>11</v>
      </c>
    </row>
    <row s="14730" customFormat="1" customHeight="1" ht="11.549999999999999">
      <c r="A79" s="1271"/>
      <c r="B79" s="1920"/>
      <c r="C79" s="1920"/>
      <c r="D79" s="635"/>
      <c r="K79" s="1444"/>
      <c r="L79" s="1920"/>
      <c r="M79" s="1920"/>
      <c r="N79" s="1444"/>
      <c r="O79" s="1444"/>
      <c r="P79" s="1444"/>
      <c r="Q79" s="1444"/>
      <c r="R79" s="1920"/>
      <c r="S79" s="1444"/>
      <c r="T79" s="1444"/>
      <c r="U79" s="828"/>
      <c r="V79" s="1444"/>
      <c r="W79" s="1444"/>
      <c r="X79" s="1444"/>
      <c r="Y79" s="1444"/>
      <c r="Z79" s="1444"/>
      <c r="AA79" s="1916"/>
      <c r="AB79" s="850"/>
      <c r="AC79" s="850"/>
      <c r="AD79" s="850"/>
      <c r="AE79" s="850"/>
      <c r="AF79" s="1925">
        <v>11</v>
      </c>
    </row>
    <row s="14730" customFormat="1" customHeight="1" ht="11.549999999999999">
      <c r="A80" s="1271"/>
      <c r="B80" s="1920"/>
      <c r="C80" s="1920"/>
      <c r="D80" s="635"/>
      <c r="K80" s="1444"/>
      <c r="L80" s="1920"/>
      <c r="M80" s="1920"/>
      <c r="N80" s="1444"/>
      <c r="O80" s="1444"/>
      <c r="P80" s="1444"/>
      <c r="Q80" s="1444"/>
      <c r="R80" s="1920"/>
      <c r="S80" s="1444"/>
      <c r="T80" s="1444"/>
      <c r="U80" s="828"/>
      <c r="V80" s="1444"/>
      <c r="W80" s="1444"/>
      <c r="X80" s="1444"/>
      <c r="Y80" s="1444"/>
      <c r="Z80" s="1444"/>
      <c r="AA80" s="1916"/>
      <c r="AB80" s="850"/>
      <c r="AC80" s="850"/>
      <c r="AD80" s="850"/>
      <c r="AE80" s="850"/>
      <c r="AF80" s="1925">
        <v>11</v>
      </c>
    </row>
    <row s="14730" customFormat="1" customHeight="1" ht="11.549999999999999">
      <c r="A81" s="1271"/>
      <c r="B81" s="1920"/>
      <c r="C81" s="1920"/>
      <c r="D81" s="635"/>
      <c r="K81" s="1444"/>
      <c r="L81" s="1920"/>
      <c r="M81" s="1920"/>
      <c r="N81" s="1444"/>
      <c r="O81" s="1444"/>
      <c r="P81" s="1444"/>
      <c r="Q81" s="1444"/>
      <c r="R81" s="1920"/>
      <c r="S81" s="1444"/>
      <c r="T81" s="1444"/>
      <c r="U81" s="828"/>
      <c r="V81" s="1444"/>
      <c r="W81" s="1444"/>
      <c r="X81" s="1444"/>
      <c r="Y81" s="1444"/>
      <c r="Z81" s="1444"/>
      <c r="AA81" s="1916"/>
      <c r="AB81" s="850"/>
      <c r="AC81" s="850"/>
      <c r="AD81" s="850"/>
      <c r="AE81" s="850"/>
      <c r="AF81" s="1925">
        <v>11</v>
      </c>
    </row>
    <row s="14730" customFormat="1" customHeight="1" ht="11.549999999999999">
      <c r="A82" s="1271"/>
      <c r="B82" s="1920"/>
      <c r="C82" s="1920"/>
      <c r="D82" s="635"/>
      <c r="K82" s="1444"/>
      <c r="L82" s="1920"/>
      <c r="M82" s="1920"/>
      <c r="N82" s="1444"/>
      <c r="O82" s="1444"/>
      <c r="P82" s="1444"/>
      <c r="Q82" s="1444"/>
      <c r="R82" s="1920"/>
      <c r="S82" s="1444"/>
      <c r="T82" s="1444"/>
      <c r="U82" s="828"/>
      <c r="V82" s="1444"/>
      <c r="W82" s="1444"/>
      <c r="X82" s="1444"/>
      <c r="Y82" s="1444"/>
      <c r="Z82" s="1444"/>
      <c r="AA82" s="1916"/>
      <c r="AB82" s="850"/>
      <c r="AC82" s="850"/>
      <c r="AD82" s="850"/>
      <c r="AE82" s="850"/>
      <c r="AF82" s="1925">
        <v>11</v>
      </c>
    </row>
    <row s="14730" customFormat="1" customHeight="1" ht="11.549999999999999">
      <c r="A83" s="1271"/>
      <c r="B83" s="1920"/>
      <c r="C83" s="1920"/>
      <c r="D83" s="635"/>
      <c r="K83" s="1444"/>
      <c r="L83" s="1920"/>
      <c r="M83" s="1920"/>
      <c r="N83" s="1444"/>
      <c r="O83" s="1444"/>
      <c r="P83" s="1444"/>
      <c r="Q83" s="1444"/>
      <c r="R83" s="1920"/>
      <c r="S83" s="1444"/>
      <c r="T83" s="1444"/>
      <c r="U83" s="828"/>
      <c r="V83" s="1444"/>
      <c r="W83" s="1444"/>
      <c r="X83" s="1444"/>
      <c r="Y83" s="1444"/>
      <c r="Z83" s="1444"/>
      <c r="AA83" s="1916"/>
      <c r="AB83" s="850"/>
      <c r="AC83" s="850"/>
      <c r="AD83" s="850"/>
      <c r="AE83" s="850"/>
      <c r="AF83" s="1925">
        <v>11</v>
      </c>
    </row>
    <row s="14730" customFormat="1" customHeight="1" ht="11.549999999999999">
      <c r="A84" s="1271"/>
      <c r="B84" s="1920"/>
      <c r="C84" s="1920"/>
      <c r="D84" s="635"/>
      <c r="K84" s="1444"/>
      <c r="L84" s="1920"/>
      <c r="M84" s="1920"/>
      <c r="N84" s="1444"/>
      <c r="O84" s="1444"/>
      <c r="P84" s="1444"/>
      <c r="Q84" s="1444"/>
      <c r="R84" s="1920"/>
      <c r="S84" s="1444"/>
      <c r="T84" s="1444"/>
      <c r="U84" s="828"/>
      <c r="V84" s="1444"/>
      <c r="W84" s="1444"/>
      <c r="X84" s="1444"/>
      <c r="Y84" s="1444"/>
      <c r="Z84" s="1444"/>
      <c r="AA84" s="1916"/>
      <c r="AB84" s="850"/>
      <c r="AC84" s="850"/>
      <c r="AD84" s="850"/>
      <c r="AE84" s="850"/>
      <c r="AF84" s="1925">
        <v>11</v>
      </c>
    </row>
    <row s="14730" customFormat="1" customHeight="1" ht="11.549999999999999">
      <c r="A85" s="1271"/>
      <c r="B85" s="1920"/>
      <c r="C85" s="1920"/>
      <c r="D85" s="635"/>
      <c r="K85" s="1444"/>
      <c r="L85" s="1920"/>
      <c r="M85" s="1920"/>
      <c r="N85" s="1444"/>
      <c r="O85" s="1444"/>
      <c r="P85" s="1444"/>
      <c r="Q85" s="1444"/>
      <c r="R85" s="1920"/>
      <c r="S85" s="1444"/>
      <c r="T85" s="1444"/>
      <c r="U85" s="828"/>
      <c r="V85" s="1444"/>
      <c r="W85" s="1444"/>
      <c r="X85" s="1444"/>
      <c r="Y85" s="1444"/>
      <c r="Z85" s="1444"/>
      <c r="AA85" s="1916"/>
      <c r="AB85" s="850"/>
      <c r="AC85" s="850"/>
      <c r="AD85" s="850"/>
      <c r="AE85" s="850"/>
      <c r="AF85" s="1925">
        <v>11</v>
      </c>
    </row>
    <row s="14730" customFormat="1" customHeight="1" ht="11.549999999999999">
      <c r="A86" s="1271"/>
      <c r="B86" s="1920"/>
      <c r="C86" s="1920"/>
      <c r="D86" s="635"/>
      <c r="K86" s="1444"/>
      <c r="L86" s="1920"/>
      <c r="M86" s="1920"/>
      <c r="N86" s="1444"/>
      <c r="O86" s="1444"/>
      <c r="P86" s="1444"/>
      <c r="Q86" s="1444"/>
      <c r="R86" s="1920"/>
      <c r="S86" s="1444"/>
      <c r="T86" s="1444"/>
      <c r="U86" s="828"/>
      <c r="V86" s="1444"/>
      <c r="W86" s="1444"/>
      <c r="X86" s="1444"/>
      <c r="Y86" s="1444"/>
      <c r="Z86" s="1444"/>
      <c r="AA86" s="1916"/>
      <c r="AB86" s="850"/>
      <c r="AC86" s="850"/>
      <c r="AD86" s="850"/>
      <c r="AE86" s="850"/>
      <c r="AF86" s="1925">
        <v>11</v>
      </c>
    </row>
    <row s="14730" customFormat="1" customHeight="1" ht="11.549999999999999">
      <c r="A87" s="1271"/>
      <c r="B87" s="1920"/>
      <c r="C87" s="1920"/>
      <c r="D87" s="635"/>
      <c r="K87" s="1444"/>
      <c r="L87" s="1920"/>
      <c r="M87" s="1920"/>
      <c r="N87" s="1444"/>
      <c r="O87" s="1444"/>
      <c r="P87" s="1444"/>
      <c r="Q87" s="1444"/>
      <c r="R87" s="1920"/>
      <c r="S87" s="1444"/>
      <c r="T87" s="1444"/>
      <c r="U87" s="828"/>
      <c r="V87" s="1444"/>
      <c r="W87" s="1444"/>
      <c r="X87" s="1444"/>
      <c r="Y87" s="1444"/>
      <c r="Z87" s="1444"/>
      <c r="AA87" s="1916"/>
      <c r="AB87" s="850"/>
      <c r="AC87" s="850"/>
      <c r="AD87" s="850"/>
      <c r="AE87" s="850"/>
      <c r="AF87" s="1925">
        <v>11</v>
      </c>
    </row>
    <row s="14730" customFormat="1" customHeight="1" ht="11.549999999999999">
      <c r="A88" s="1271"/>
      <c r="B88" s="1920"/>
      <c r="C88" s="1920"/>
      <c r="D88" s="635"/>
      <c r="K88" s="1444"/>
      <c r="L88" s="1920"/>
      <c r="M88" s="1920"/>
      <c r="N88" s="1444"/>
      <c r="O88" s="1444"/>
      <c r="P88" s="1444"/>
      <c r="Q88" s="1444"/>
      <c r="R88" s="1920"/>
      <c r="S88" s="1444"/>
      <c r="T88" s="1444"/>
      <c r="U88" s="828"/>
      <c r="V88" s="1444"/>
      <c r="W88" s="1444"/>
      <c r="X88" s="1444"/>
      <c r="Y88" s="1444"/>
      <c r="Z88" s="1444"/>
      <c r="AA88" s="1916"/>
      <c r="AB88" s="850"/>
      <c r="AC88" s="850"/>
      <c r="AD88" s="850"/>
      <c r="AE88" s="850"/>
      <c r="AF88" s="1925">
        <v>11</v>
      </c>
    </row>
    <row s="14730" customFormat="1" customHeight="1" ht="11.549999999999999">
      <c r="A89" s="1271"/>
      <c r="B89" s="1920"/>
      <c r="C89" s="1920"/>
      <c r="D89" s="635"/>
      <c r="K89" s="1444"/>
      <c r="L89" s="1920"/>
      <c r="M89" s="1920"/>
      <c r="N89" s="1444"/>
      <c r="O89" s="1444"/>
      <c r="P89" s="1444"/>
      <c r="Q89" s="1444"/>
      <c r="R89" s="1920"/>
      <c r="S89" s="1444"/>
      <c r="T89" s="1444"/>
      <c r="U89" s="828"/>
      <c r="V89" s="1444"/>
      <c r="W89" s="1444"/>
      <c r="X89" s="1444"/>
      <c r="Y89" s="1444"/>
      <c r="Z89" s="1444"/>
      <c r="AA89" s="1916"/>
      <c r="AB89" s="850"/>
      <c r="AC89" s="850"/>
      <c r="AD89" s="850"/>
      <c r="AE89" s="850"/>
      <c r="AF89" s="1925">
        <v>11</v>
      </c>
    </row>
    <row s="14730" customFormat="1" customHeight="1" ht="11.549999999999999">
      <c r="A90" s="1271"/>
      <c r="B90" s="1920"/>
      <c r="C90" s="1920"/>
      <c r="D90" s="635"/>
      <c r="K90" s="1444"/>
      <c r="L90" s="1920"/>
      <c r="M90" s="1920"/>
      <c r="N90" s="1444"/>
      <c r="O90" s="1444"/>
      <c r="P90" s="1444"/>
      <c r="Q90" s="1444"/>
      <c r="R90" s="1920"/>
      <c r="S90" s="1444"/>
      <c r="T90" s="1444"/>
      <c r="U90" s="828"/>
      <c r="V90" s="1444"/>
      <c r="W90" s="1444"/>
      <c r="X90" s="1444"/>
      <c r="Y90" s="1444"/>
      <c r="Z90" s="1444"/>
      <c r="AA90" s="1916"/>
      <c r="AB90" s="850"/>
      <c r="AC90" s="850"/>
      <c r="AD90" s="850"/>
      <c r="AE90" s="850"/>
      <c r="AF90" s="1925">
        <v>11</v>
      </c>
    </row>
    <row s="14730" customFormat="1" customHeight="1" ht="11.549999999999999">
      <c r="A91" s="1271"/>
      <c r="B91" s="1920"/>
      <c r="C91" s="1920"/>
      <c r="D91" s="635"/>
      <c r="K91" s="1444"/>
      <c r="L91" s="1920"/>
      <c r="M91" s="1920"/>
      <c r="N91" s="1444"/>
      <c r="O91" s="1444"/>
      <c r="P91" s="1444"/>
      <c r="Q91" s="1444"/>
      <c r="R91" s="1920"/>
      <c r="S91" s="1444"/>
      <c r="T91" s="1444"/>
      <c r="U91" s="828"/>
      <c r="V91" s="1444"/>
      <c r="W91" s="1444"/>
      <c r="X91" s="1444"/>
      <c r="Y91" s="1444"/>
      <c r="Z91" s="1444"/>
      <c r="AA91" s="1916"/>
      <c r="AB91" s="850"/>
      <c r="AC91" s="850"/>
      <c r="AD91" s="850"/>
      <c r="AE91" s="850"/>
      <c r="AF91" s="1925">
        <v>11</v>
      </c>
    </row>
    <row s="14730" customFormat="1" customHeight="1" ht="11.549999999999999">
      <c r="A92" s="1271"/>
      <c r="B92" s="1920"/>
      <c r="C92" s="1920"/>
      <c r="D92" s="635"/>
      <c r="K92" s="1444"/>
      <c r="L92" s="1920"/>
      <c r="M92" s="1920"/>
      <c r="N92" s="1444"/>
      <c r="O92" s="1444"/>
      <c r="P92" s="1444"/>
      <c r="Q92" s="1444"/>
      <c r="R92" s="1920"/>
      <c r="S92" s="1444"/>
      <c r="T92" s="1444"/>
      <c r="U92" s="828"/>
      <c r="V92" s="1444"/>
      <c r="W92" s="1444"/>
      <c r="X92" s="1444"/>
      <c r="Y92" s="1444"/>
      <c r="Z92" s="1444"/>
      <c r="AA92" s="1916"/>
      <c r="AB92" s="850"/>
      <c r="AC92" s="850"/>
      <c r="AD92" s="850"/>
      <c r="AE92" s="850"/>
      <c r="AF92" s="1925">
        <v>11</v>
      </c>
    </row>
    <row s="14730" customFormat="1" customHeight="1" ht="11.549999999999999">
      <c r="A93" s="1271"/>
      <c r="B93" s="1920"/>
      <c r="C93" s="1920"/>
      <c r="D93" s="635"/>
      <c r="K93" s="1444"/>
      <c r="L93" s="1920"/>
      <c r="M93" s="1920"/>
      <c r="N93" s="1444"/>
      <c r="O93" s="1444"/>
      <c r="P93" s="1444"/>
      <c r="Q93" s="1444"/>
      <c r="R93" s="1920"/>
      <c r="S93" s="1444"/>
      <c r="T93" s="1444"/>
      <c r="U93" s="828"/>
      <c r="V93" s="1444"/>
      <c r="W93" s="1444"/>
      <c r="X93" s="1444"/>
      <c r="Y93" s="1444"/>
      <c r="Z93" s="1444"/>
      <c r="AA93" s="1916"/>
      <c r="AB93" s="850"/>
      <c r="AC93" s="850"/>
      <c r="AD93" s="850"/>
      <c r="AE93" s="850"/>
      <c r="AF93" s="1925">
        <v>11</v>
      </c>
    </row>
    <row s="14730" customFormat="1" customHeight="1" ht="11.549999999999999">
      <c r="A94" s="1271"/>
      <c r="B94" s="1920"/>
      <c r="C94" s="1920"/>
      <c r="D94" s="635"/>
      <c r="K94" s="1444"/>
      <c r="L94" s="1920"/>
      <c r="M94" s="1920"/>
      <c r="N94" s="1444"/>
      <c r="O94" s="1444"/>
      <c r="P94" s="1444"/>
      <c r="Q94" s="1444"/>
      <c r="R94" s="1920"/>
      <c r="S94" s="1444"/>
      <c r="T94" s="1444"/>
      <c r="U94" s="828"/>
      <c r="V94" s="1444"/>
      <c r="W94" s="1444"/>
      <c r="X94" s="1444"/>
      <c r="Y94" s="1444"/>
      <c r="Z94" s="1444"/>
      <c r="AA94" s="1916"/>
      <c r="AB94" s="850"/>
      <c r="AC94" s="850"/>
      <c r="AD94" s="850"/>
      <c r="AE94" s="850"/>
      <c r="AF94" s="1925">
        <v>11</v>
      </c>
    </row>
    <row s="14730" customFormat="1" customHeight="1" ht="11.549999999999999">
      <c r="A95" s="1271"/>
      <c r="B95" s="1920"/>
      <c r="C95" s="1920"/>
      <c r="D95" s="635"/>
      <c r="K95" s="1444"/>
      <c r="L95" s="1920"/>
      <c r="M95" s="1920"/>
      <c r="N95" s="1444"/>
      <c r="O95" s="1444"/>
      <c r="P95" s="1444"/>
      <c r="Q95" s="1444"/>
      <c r="R95" s="1920"/>
      <c r="S95" s="1444"/>
      <c r="T95" s="1444"/>
      <c r="U95" s="828"/>
      <c r="V95" s="1444"/>
      <c r="W95" s="1444"/>
      <c r="X95" s="1444"/>
      <c r="Y95" s="1444"/>
      <c r="Z95" s="1444"/>
      <c r="AA95" s="1916"/>
      <c r="AB95" s="850"/>
      <c r="AC95" s="850"/>
      <c r="AD95" s="850"/>
      <c r="AE95" s="850"/>
      <c r="AF95" s="1925">
        <v>11</v>
      </c>
    </row>
    <row s="14730" customFormat="1" customHeight="1" ht="11.549999999999999">
      <c r="A96" s="1271"/>
      <c r="B96" s="1920"/>
      <c r="C96" s="1920"/>
      <c r="D96" s="635"/>
      <c r="K96" s="1444"/>
      <c r="L96" s="1920"/>
      <c r="M96" s="1920"/>
      <c r="N96" s="1444"/>
      <c r="O96" s="1444"/>
      <c r="P96" s="1444"/>
      <c r="Q96" s="1444"/>
      <c r="R96" s="1920"/>
      <c r="S96" s="1444"/>
      <c r="T96" s="1444"/>
      <c r="U96" s="828"/>
      <c r="V96" s="1444"/>
      <c r="W96" s="1444"/>
      <c r="X96" s="1444"/>
      <c r="Y96" s="1444"/>
      <c r="Z96" s="1444"/>
      <c r="AA96" s="1916"/>
      <c r="AB96" s="850"/>
      <c r="AC96" s="850"/>
      <c r="AD96" s="850"/>
      <c r="AE96" s="850"/>
      <c r="AF96" s="1925">
        <v>11</v>
      </c>
    </row>
    <row s="14730" customFormat="1" customHeight="1" ht="11.549999999999999">
      <c r="A97" s="1271"/>
      <c r="B97" s="1920"/>
      <c r="C97" s="1920"/>
      <c r="D97" s="635"/>
      <c r="K97" s="1444"/>
      <c r="L97" s="1920"/>
      <c r="M97" s="1920"/>
      <c r="N97" s="1444"/>
      <c r="O97" s="1444"/>
      <c r="P97" s="1444"/>
      <c r="Q97" s="1444"/>
      <c r="R97" s="1920"/>
      <c r="S97" s="1444"/>
      <c r="T97" s="1444"/>
      <c r="U97" s="828"/>
      <c r="V97" s="1444"/>
      <c r="W97" s="1444"/>
      <c r="X97" s="1444"/>
      <c r="Y97" s="1444"/>
      <c r="Z97" s="1444"/>
      <c r="AA97" s="1916"/>
      <c r="AB97" s="850"/>
      <c r="AC97" s="850"/>
      <c r="AD97" s="850"/>
      <c r="AE97" s="850"/>
      <c r="AF97" s="1925">
        <v>11</v>
      </c>
    </row>
    <row s="14730" customFormat="1" customHeight="1" ht="11.549999999999999">
      <c r="A98" s="1271"/>
      <c r="B98" s="1920"/>
      <c r="C98" s="1920"/>
      <c r="D98" s="635"/>
      <c r="K98" s="1444"/>
      <c r="L98" s="1920"/>
      <c r="M98" s="1920"/>
      <c r="N98" s="1444"/>
      <c r="O98" s="1444"/>
      <c r="P98" s="1444"/>
      <c r="Q98" s="1444"/>
      <c r="R98" s="1920"/>
      <c r="S98" s="1444"/>
      <c r="T98" s="1444"/>
      <c r="U98" s="828"/>
      <c r="V98" s="1444"/>
      <c r="W98" s="1444"/>
      <c r="X98" s="1444"/>
      <c r="Y98" s="1444"/>
      <c r="Z98" s="1444"/>
      <c r="AA98" s="1916"/>
      <c r="AB98" s="850"/>
      <c r="AC98" s="850"/>
      <c r="AD98" s="850"/>
      <c r="AE98" s="850"/>
      <c r="AF98" s="1925">
        <v>11</v>
      </c>
    </row>
    <row s="14730" customFormat="1" customHeight="1" ht="11.549999999999999">
      <c r="A99" s="1271"/>
      <c r="B99" s="1920"/>
      <c r="C99" s="1920"/>
      <c r="D99" s="635"/>
      <c r="K99" s="1444"/>
      <c r="L99" s="1920"/>
      <c r="M99" s="1920"/>
      <c r="N99" s="1444"/>
      <c r="O99" s="1444"/>
      <c r="P99" s="1444"/>
      <c r="Q99" s="1444"/>
      <c r="R99" s="1920"/>
      <c r="S99" s="1444"/>
      <c r="T99" s="1444"/>
      <c r="U99" s="828"/>
      <c r="V99" s="1444"/>
      <c r="W99" s="1444"/>
      <c r="X99" s="1444"/>
      <c r="Y99" s="1444"/>
      <c r="Z99" s="1444"/>
      <c r="AA99" s="1916"/>
      <c r="AB99" s="850"/>
      <c r="AC99" s="850"/>
      <c r="AD99" s="850"/>
      <c r="AE99" s="850"/>
      <c r="AF99" s="1925">
        <v>11</v>
      </c>
    </row>
    <row s="14730" customFormat="1" customHeight="1" ht="11.549999999999999">
      <c r="A100" s="1271"/>
      <c r="B100" s="1920"/>
      <c r="C100" s="1920"/>
      <c r="D100" s="635"/>
      <c r="K100" s="1444"/>
      <c r="L100" s="1920"/>
      <c r="M100" s="1920"/>
      <c r="N100" s="1444"/>
      <c r="O100" s="1444"/>
      <c r="P100" s="1444"/>
      <c r="Q100" s="1444"/>
      <c r="R100" s="1920"/>
      <c r="S100" s="1444"/>
      <c r="T100" s="1444"/>
      <c r="U100" s="828"/>
      <c r="V100" s="1444"/>
      <c r="W100" s="1444"/>
      <c r="X100" s="1444"/>
      <c r="Y100" s="1444"/>
      <c r="Z100" s="1444"/>
      <c r="AA100" s="1916"/>
      <c r="AB100" s="850"/>
      <c r="AC100" s="850"/>
      <c r="AD100" s="850"/>
      <c r="AE100" s="850"/>
      <c r="AF100" s="1925">
        <v>11</v>
      </c>
    </row>
    <row s="14730" customFormat="1" customHeight="1" ht="11.549999999999999">
      <c r="A101" s="1271"/>
      <c r="B101" s="1920"/>
      <c r="C101" s="1920"/>
      <c r="D101" s="635"/>
      <c r="K101" s="1444"/>
      <c r="L101" s="1920"/>
      <c r="M101" s="1920"/>
      <c r="N101" s="1444"/>
      <c r="O101" s="1444"/>
      <c r="P101" s="1444"/>
      <c r="Q101" s="1444"/>
      <c r="R101" s="1920"/>
      <c r="S101" s="1444"/>
      <c r="T101" s="1444"/>
      <c r="U101" s="828"/>
      <c r="V101" s="1444"/>
      <c r="W101" s="1444"/>
      <c r="X101" s="1444"/>
      <c r="Y101" s="1444"/>
      <c r="Z101" s="1444"/>
      <c r="AA101" s="1916"/>
      <c r="AB101" s="850"/>
      <c r="AC101" s="850"/>
      <c r="AD101" s="850"/>
      <c r="AE101" s="850"/>
      <c r="AF101" s="1925">
        <v>11</v>
      </c>
    </row>
    <row s="14730" customFormat="1" customHeight="1" ht="11.549999999999999">
      <c r="A102" s="1271"/>
      <c r="B102" s="1920"/>
      <c r="C102" s="1920"/>
      <c r="D102" s="635"/>
      <c r="K102" s="1444"/>
      <c r="L102" s="1920"/>
      <c r="M102" s="1920"/>
      <c r="N102" s="1444"/>
      <c r="O102" s="1444"/>
      <c r="P102" s="1444"/>
      <c r="Q102" s="1444"/>
      <c r="R102" s="1920"/>
      <c r="S102" s="1444"/>
      <c r="T102" s="1444"/>
      <c r="U102" s="828"/>
      <c r="V102" s="1444"/>
      <c r="W102" s="1444"/>
      <c r="X102" s="1444"/>
      <c r="Y102" s="1444"/>
      <c r="Z102" s="1444"/>
      <c r="AA102" s="1916"/>
      <c r="AB102" s="850"/>
      <c r="AC102" s="850"/>
      <c r="AD102" s="850"/>
      <c r="AE102" s="850"/>
      <c r="AF102" s="1925">
        <v>11</v>
      </c>
    </row>
    <row s="14730" customFormat="1" customHeight="1" ht="11.549999999999999">
      <c r="A103" s="1271"/>
      <c r="B103" s="1920"/>
      <c r="C103" s="1920"/>
      <c r="D103" s="635"/>
      <c r="K103" s="1444"/>
      <c r="L103" s="1920"/>
      <c r="M103" s="1920"/>
      <c r="N103" s="1444"/>
      <c r="O103" s="1444"/>
      <c r="P103" s="1444"/>
      <c r="Q103" s="1444"/>
      <c r="R103" s="1920"/>
      <c r="S103" s="1444"/>
      <c r="T103" s="1444"/>
      <c r="U103" s="828"/>
      <c r="V103" s="1444"/>
      <c r="W103" s="1444"/>
      <c r="X103" s="1444"/>
      <c r="Y103" s="1444"/>
      <c r="Z103" s="1444"/>
      <c r="AA103" s="1916"/>
      <c r="AB103" s="850"/>
      <c r="AC103" s="850"/>
      <c r="AD103" s="850"/>
      <c r="AE103" s="850"/>
      <c r="AF103" s="1925">
        <v>11</v>
      </c>
    </row>
    <row s="14730" customFormat="1" customHeight="1" ht="11.549999999999999">
      <c r="A104" s="1271"/>
      <c r="B104" s="1920"/>
      <c r="C104" s="1920"/>
      <c r="D104" s="635"/>
      <c r="K104" s="1444"/>
      <c r="L104" s="1920"/>
      <c r="M104" s="1920"/>
      <c r="N104" s="1444"/>
      <c r="O104" s="1444"/>
      <c r="P104" s="1444"/>
      <c r="Q104" s="1444"/>
      <c r="R104" s="1920"/>
      <c r="S104" s="1444"/>
      <c r="T104" s="1444"/>
      <c r="U104" s="828"/>
      <c r="V104" s="1444"/>
      <c r="W104" s="1444"/>
      <c r="X104" s="1444"/>
      <c r="Y104" s="1444"/>
      <c r="Z104" s="1444"/>
      <c r="AA104" s="1916"/>
      <c r="AB104" s="850"/>
      <c r="AC104" s="850"/>
      <c r="AD104" s="850"/>
      <c r="AE104" s="850"/>
      <c r="AF104" s="1925">
        <v>11</v>
      </c>
    </row>
    <row s="14730" customFormat="1" customHeight="1" ht="11.549999999999999">
      <c r="A105" s="1271"/>
      <c r="B105" s="1920"/>
      <c r="C105" s="1920"/>
      <c r="D105" s="635"/>
      <c r="K105" s="1444"/>
      <c r="L105" s="1920"/>
      <c r="M105" s="1920"/>
      <c r="N105" s="1444"/>
      <c r="O105" s="1444"/>
      <c r="P105" s="1444"/>
      <c r="Q105" s="1444"/>
      <c r="R105" s="1920"/>
      <c r="S105" s="1444"/>
      <c r="T105" s="1444"/>
      <c r="U105" s="828"/>
      <c r="V105" s="1444"/>
      <c r="W105" s="1444"/>
      <c r="X105" s="1444"/>
      <c r="Y105" s="1444"/>
      <c r="Z105" s="1444"/>
      <c r="AA105" s="1916"/>
      <c r="AB105" s="850"/>
      <c r="AC105" s="850"/>
      <c r="AD105" s="850"/>
      <c r="AE105" s="850"/>
      <c r="AF105" s="1925">
        <v>11</v>
      </c>
    </row>
    <row s="14730" customFormat="1" customHeight="1" ht="11.549999999999999">
      <c r="A106" s="1271"/>
      <c r="B106" s="1920"/>
      <c r="C106" s="1920"/>
      <c r="D106" s="635"/>
      <c r="K106" s="1444"/>
      <c r="L106" s="1920"/>
      <c r="M106" s="1920"/>
      <c r="N106" s="1444"/>
      <c r="O106" s="1444"/>
      <c r="P106" s="1444"/>
      <c r="Q106" s="1444"/>
      <c r="R106" s="1920"/>
      <c r="S106" s="1444"/>
      <c r="T106" s="1444"/>
      <c r="U106" s="828"/>
      <c r="V106" s="1444"/>
      <c r="W106" s="1444"/>
      <c r="X106" s="1444"/>
      <c r="Y106" s="1444"/>
      <c r="Z106" s="1444"/>
      <c r="AA106" s="1916"/>
      <c r="AB106" s="850"/>
      <c r="AC106" s="850"/>
      <c r="AD106" s="850"/>
      <c r="AE106" s="850"/>
      <c r="AF106" s="1925">
        <v>11</v>
      </c>
    </row>
    <row s="14730" customFormat="1" customHeight="1" ht="11.549999999999999">
      <c r="A107" s="1271"/>
      <c r="B107" s="1920"/>
      <c r="C107" s="1920"/>
      <c r="D107" s="635"/>
      <c r="K107" s="1444"/>
      <c r="L107" s="1920"/>
      <c r="M107" s="1920"/>
      <c r="N107" s="1444"/>
      <c r="O107" s="1444"/>
      <c r="P107" s="1444"/>
      <c r="Q107" s="1444"/>
      <c r="R107" s="1920"/>
      <c r="S107" s="1444"/>
      <c r="T107" s="1444"/>
      <c r="U107" s="828"/>
      <c r="V107" s="1444"/>
      <c r="W107" s="1444"/>
      <c r="X107" s="1444"/>
      <c r="Y107" s="1444"/>
      <c r="Z107" s="1444"/>
      <c r="AA107" s="1916"/>
      <c r="AB107" s="850"/>
      <c r="AC107" s="850"/>
      <c r="AD107" s="850"/>
      <c r="AE107" s="850"/>
      <c r="AF107" s="1925">
        <v>11</v>
      </c>
    </row>
    <row s="14730" customFormat="1" customHeight="1" ht="11.549999999999999">
      <c r="A108" s="1271"/>
      <c r="B108" s="1920"/>
      <c r="C108" s="1920"/>
      <c r="D108" s="635"/>
      <c r="K108" s="1444"/>
      <c r="L108" s="1920"/>
      <c r="M108" s="1920"/>
      <c r="N108" s="1444"/>
      <c r="O108" s="1444"/>
      <c r="P108" s="1444"/>
      <c r="Q108" s="1444"/>
      <c r="R108" s="1920"/>
      <c r="S108" s="1444"/>
      <c r="T108" s="1444"/>
      <c r="U108" s="828"/>
      <c r="V108" s="1444"/>
      <c r="W108" s="1444"/>
      <c r="X108" s="1444"/>
      <c r="Y108" s="1444"/>
      <c r="Z108" s="1444"/>
      <c r="AA108" s="1916"/>
      <c r="AB108" s="850"/>
      <c r="AC108" s="850"/>
      <c r="AD108" s="850"/>
      <c r="AE108" s="850"/>
      <c r="AF108" s="1925">
        <v>11</v>
      </c>
    </row>
    <row s="14730" customFormat="1" customHeight="1" ht="11.549999999999999">
      <c r="A109" s="1271"/>
      <c r="B109" s="1920"/>
      <c r="C109" s="1920"/>
      <c r="D109" s="635"/>
      <c r="K109" s="1444"/>
      <c r="L109" s="1920"/>
      <c r="M109" s="1920"/>
      <c r="N109" s="1444"/>
      <c r="O109" s="1444"/>
      <c r="P109" s="1444"/>
      <c r="Q109" s="1444"/>
      <c r="R109" s="1920"/>
      <c r="S109" s="1444"/>
      <c r="T109" s="1444"/>
      <c r="U109" s="828"/>
      <c r="V109" s="1444"/>
      <c r="W109" s="1444"/>
      <c r="X109" s="1444"/>
      <c r="Y109" s="1444"/>
      <c r="Z109" s="1444"/>
      <c r="AA109" s="1916"/>
      <c r="AB109" s="850"/>
      <c r="AC109" s="850"/>
      <c r="AD109" s="850"/>
      <c r="AE109" s="850"/>
      <c r="AF109" s="1925">
        <v>11</v>
      </c>
    </row>
    <row s="14730" customFormat="1" customHeight="1" ht="11.549999999999999">
      <c r="A110" s="1271"/>
      <c r="B110" s="1920"/>
      <c r="C110" s="1920"/>
      <c r="D110" s="635"/>
      <c r="K110" s="1444"/>
      <c r="L110" s="1920"/>
      <c r="M110" s="1920"/>
      <c r="N110" s="1444"/>
      <c r="O110" s="1444"/>
      <c r="P110" s="1444"/>
      <c r="Q110" s="1444"/>
      <c r="R110" s="1920"/>
      <c r="S110" s="1444"/>
      <c r="T110" s="1444"/>
      <c r="U110" s="828"/>
      <c r="V110" s="1444"/>
      <c r="W110" s="1444"/>
      <c r="X110" s="1444"/>
      <c r="Y110" s="1444"/>
      <c r="Z110" s="1444"/>
      <c r="AA110" s="1916"/>
      <c r="AB110" s="850"/>
      <c r="AC110" s="850"/>
      <c r="AD110" s="850"/>
      <c r="AE110" s="850"/>
      <c r="AF110" s="1925">
        <v>11</v>
      </c>
    </row>
    <row s="14730" customFormat="1" customHeight="1" ht="11.549999999999999">
      <c r="A111" s="1271"/>
      <c r="B111" s="1920"/>
      <c r="C111" s="1920"/>
      <c r="D111" s="635"/>
      <c r="K111" s="1444"/>
      <c r="L111" s="1920"/>
      <c r="M111" s="1920"/>
      <c r="N111" s="1444"/>
      <c r="O111" s="1444"/>
      <c r="P111" s="1444"/>
      <c r="Q111" s="1444"/>
      <c r="R111" s="1920"/>
      <c r="S111" s="1444"/>
      <c r="T111" s="1444"/>
      <c r="U111" s="828"/>
      <c r="V111" s="1444"/>
      <c r="W111" s="1444"/>
      <c r="X111" s="1444"/>
      <c r="Y111" s="1444"/>
      <c r="Z111" s="1444"/>
      <c r="AA111" s="1916"/>
      <c r="AB111" s="850"/>
      <c r="AC111" s="850"/>
      <c r="AD111" s="850"/>
      <c r="AE111" s="850"/>
      <c r="AF111" s="1925">
        <v>11</v>
      </c>
    </row>
    <row s="14730" customFormat="1" customHeight="1" ht="11.549999999999999">
      <c r="A112" s="1271"/>
      <c r="B112" s="1920"/>
      <c r="C112" s="1920"/>
      <c r="D112" s="635"/>
      <c r="K112" s="1444"/>
      <c r="L112" s="1920"/>
      <c r="M112" s="1920"/>
      <c r="N112" s="1444"/>
      <c r="O112" s="1444"/>
      <c r="P112" s="1444"/>
      <c r="Q112" s="1444"/>
      <c r="R112" s="1920"/>
      <c r="S112" s="1444"/>
      <c r="T112" s="1444"/>
      <c r="U112" s="828"/>
      <c r="V112" s="1444"/>
      <c r="W112" s="1444"/>
      <c r="X112" s="1444"/>
      <c r="Y112" s="1444"/>
      <c r="Z112" s="1444"/>
      <c r="AA112" s="1916"/>
      <c r="AB112" s="850"/>
      <c r="AC112" s="850"/>
      <c r="AD112" s="850"/>
      <c r="AE112" s="850"/>
      <c r="AF112" s="1925">
        <v>11</v>
      </c>
    </row>
    <row s="14730" customFormat="1" customHeight="1" ht="11.549999999999999">
      <c r="A113" s="1271"/>
      <c r="B113" s="1920"/>
      <c r="C113" s="1920"/>
      <c r="D113" s="635"/>
      <c r="K113" s="1444"/>
      <c r="L113" s="1920"/>
      <c r="M113" s="1920"/>
      <c r="N113" s="1444"/>
      <c r="O113" s="1444"/>
      <c r="P113" s="1444"/>
      <c r="Q113" s="1444"/>
      <c r="R113" s="1920"/>
      <c r="S113" s="1444"/>
      <c r="T113" s="1444"/>
      <c r="U113" s="828"/>
      <c r="V113" s="1444"/>
      <c r="W113" s="1444"/>
      <c r="X113" s="1444"/>
      <c r="Y113" s="1444"/>
      <c r="Z113" s="1444"/>
      <c r="AA113" s="1916"/>
      <c r="AB113" s="850"/>
      <c r="AC113" s="850"/>
      <c r="AD113" s="850"/>
      <c r="AE113" s="850"/>
      <c r="AF113" s="1925">
        <v>11</v>
      </c>
    </row>
    <row s="14730" customFormat="1" customHeight="1" ht="11.549999999999999">
      <c r="A114" s="1271"/>
      <c r="B114" s="1920"/>
      <c r="C114" s="1920"/>
      <c r="D114" s="635"/>
      <c r="K114" s="1444"/>
      <c r="L114" s="1920"/>
      <c r="M114" s="1920"/>
      <c r="N114" s="1444"/>
      <c r="O114" s="1444"/>
      <c r="P114" s="1444"/>
      <c r="Q114" s="1444"/>
      <c r="R114" s="1920"/>
      <c r="S114" s="1444"/>
      <c r="T114" s="1444"/>
      <c r="U114" s="828"/>
      <c r="V114" s="1444"/>
      <c r="W114" s="1444"/>
      <c r="X114" s="1444"/>
      <c r="Y114" s="1444"/>
      <c r="Z114" s="1444"/>
      <c r="AA114" s="1916"/>
      <c r="AB114" s="850"/>
      <c r="AC114" s="850"/>
      <c r="AD114" s="850"/>
      <c r="AE114" s="850"/>
      <c r="AF114" s="1925">
        <v>11</v>
      </c>
    </row>
    <row s="14730" customFormat="1" customHeight="1" ht="11.549999999999999">
      <c r="A115" s="1271"/>
      <c r="B115" s="1920"/>
      <c r="C115" s="1920"/>
      <c r="D115" s="635"/>
      <c r="K115" s="1444"/>
      <c r="L115" s="1920"/>
      <c r="M115" s="1920"/>
      <c r="N115" s="1444"/>
      <c r="O115" s="1444"/>
      <c r="P115" s="1444"/>
      <c r="Q115" s="1444"/>
      <c r="R115" s="1920"/>
      <c r="S115" s="1444"/>
      <c r="T115" s="1444"/>
      <c r="U115" s="828"/>
      <c r="V115" s="1444"/>
      <c r="W115" s="1444"/>
      <c r="X115" s="1444"/>
      <c r="Y115" s="1444"/>
      <c r="Z115" s="1444"/>
      <c r="AA115" s="1916"/>
      <c r="AB115" s="850"/>
      <c r="AC115" s="850"/>
      <c r="AD115" s="850"/>
      <c r="AE115" s="850"/>
      <c r="AF115" s="1925">
        <v>11</v>
      </c>
    </row>
    <row s="14730" customFormat="1" customHeight="1" ht="11.549999999999999">
      <c r="A116" s="1271"/>
      <c r="B116" s="1920"/>
      <c r="C116" s="1920"/>
      <c r="D116" s="635"/>
      <c r="K116" s="1444"/>
      <c r="L116" s="1920"/>
      <c r="M116" s="1920"/>
      <c r="N116" s="1444"/>
      <c r="O116" s="1444"/>
      <c r="P116" s="1444"/>
      <c r="Q116" s="1444"/>
      <c r="R116" s="1920"/>
      <c r="S116" s="1444"/>
      <c r="T116" s="1444"/>
      <c r="U116" s="828"/>
      <c r="V116" s="1444"/>
      <c r="W116" s="1444"/>
      <c r="X116" s="1444"/>
      <c r="Y116" s="1444"/>
      <c r="Z116" s="1444"/>
      <c r="AA116" s="1916"/>
      <c r="AB116" s="850"/>
      <c r="AC116" s="850"/>
      <c r="AD116" s="850"/>
      <c r="AE116" s="850"/>
      <c r="AF116" s="1925">
        <v>11</v>
      </c>
    </row>
    <row s="14730" customFormat="1" customHeight="1" ht="11.549999999999999">
      <c r="A117" s="1271"/>
      <c r="B117" s="1920"/>
      <c r="C117" s="1920"/>
      <c r="D117" s="635"/>
      <c r="K117" s="1444"/>
      <c r="L117" s="1920"/>
      <c r="M117" s="1920"/>
      <c r="N117" s="1444"/>
      <c r="O117" s="1444"/>
      <c r="P117" s="1444"/>
      <c r="Q117" s="1444"/>
      <c r="R117" s="1920"/>
      <c r="S117" s="1444"/>
      <c r="T117" s="1444"/>
      <c r="U117" s="828"/>
      <c r="V117" s="1444"/>
      <c r="W117" s="1444"/>
      <c r="X117" s="1444"/>
      <c r="Y117" s="1444"/>
      <c r="Z117" s="1444"/>
      <c r="AA117" s="1916"/>
      <c r="AB117" s="850"/>
      <c r="AC117" s="850"/>
      <c r="AD117" s="850"/>
      <c r="AE117" s="850"/>
      <c r="AF117" s="1925">
        <v>11</v>
      </c>
    </row>
    <row s="14730" customFormat="1" customHeight="1" ht="11.549999999999999">
      <c r="A118" s="1271"/>
      <c r="B118" s="1920"/>
      <c r="C118" s="1920"/>
      <c r="D118" s="635"/>
      <c r="K118" s="1444"/>
      <c r="L118" s="1920"/>
      <c r="M118" s="1920"/>
      <c r="N118" s="1444"/>
      <c r="O118" s="1444"/>
      <c r="P118" s="1444"/>
      <c r="Q118" s="1444"/>
      <c r="R118" s="1920"/>
      <c r="S118" s="1444"/>
      <c r="T118" s="1444"/>
      <c r="U118" s="828"/>
      <c r="V118" s="1444"/>
      <c r="W118" s="1444"/>
      <c r="X118" s="1444"/>
      <c r="Y118" s="1444"/>
      <c r="Z118" s="1444"/>
      <c r="AA118" s="1916"/>
      <c r="AB118" s="850"/>
      <c r="AC118" s="850"/>
      <c r="AD118" s="850"/>
      <c r="AE118" s="850"/>
      <c r="AF118" s="1925">
        <v>11</v>
      </c>
    </row>
    <row s="14730" customFormat="1" customHeight="1" ht="11.549999999999999">
      <c r="A119" s="1271"/>
      <c r="B119" s="1920"/>
      <c r="C119" s="1920"/>
      <c r="D119" s="635"/>
      <c r="K119" s="1444"/>
      <c r="L119" s="1920"/>
      <c r="M119" s="1920"/>
      <c r="N119" s="1444"/>
      <c r="O119" s="1444"/>
      <c r="P119" s="1444"/>
      <c r="Q119" s="1444"/>
      <c r="R119" s="1920"/>
      <c r="S119" s="1444"/>
      <c r="T119" s="1444"/>
      <c r="U119" s="828"/>
      <c r="V119" s="1444"/>
      <c r="W119" s="1444"/>
      <c r="X119" s="1444"/>
      <c r="Y119" s="1444"/>
      <c r="Z119" s="1444"/>
      <c r="AA119" s="1916"/>
      <c r="AB119" s="850"/>
      <c r="AC119" s="850"/>
      <c r="AD119" s="850"/>
      <c r="AE119" s="850"/>
      <c r="AF119" s="1925">
        <v>11</v>
      </c>
    </row>
    <row s="14730" customFormat="1" customHeight="1" ht="11.549999999999999">
      <c r="A120" s="1271"/>
      <c r="B120" s="1920"/>
      <c r="C120" s="1920"/>
      <c r="D120" s="635"/>
      <c r="K120" s="1444"/>
      <c r="L120" s="1920"/>
      <c r="M120" s="1920"/>
      <c r="N120" s="1444"/>
      <c r="O120" s="1444"/>
      <c r="P120" s="1444"/>
      <c r="Q120" s="1444"/>
      <c r="R120" s="1920"/>
      <c r="S120" s="1444"/>
      <c r="T120" s="1444"/>
      <c r="U120" s="828"/>
      <c r="V120" s="1444"/>
      <c r="W120" s="1444"/>
      <c r="X120" s="1444"/>
      <c r="Y120" s="1444"/>
      <c r="Z120" s="1444"/>
      <c r="AA120" s="1916"/>
      <c r="AB120" s="850"/>
      <c r="AC120" s="850"/>
      <c r="AD120" s="850"/>
      <c r="AE120" s="850"/>
      <c r="AF120" s="1925">
        <v>11</v>
      </c>
    </row>
    <row s="14730" customFormat="1" customHeight="1" ht="11.549999999999999">
      <c r="A121" s="1271"/>
      <c r="B121" s="1920"/>
      <c r="C121" s="1920"/>
      <c r="D121" s="635"/>
      <c r="K121" s="1444"/>
      <c r="L121" s="1920"/>
      <c r="M121" s="1920"/>
      <c r="N121" s="1444"/>
      <c r="O121" s="1444"/>
      <c r="P121" s="1444"/>
      <c r="Q121" s="1444"/>
      <c r="R121" s="1920"/>
      <c r="S121" s="1444"/>
      <c r="T121" s="1444"/>
      <c r="U121" s="828"/>
      <c r="V121" s="1444"/>
      <c r="W121" s="1444"/>
      <c r="X121" s="1444"/>
      <c r="Y121" s="1444"/>
      <c r="Z121" s="1444"/>
      <c r="AA121" s="1916"/>
      <c r="AB121" s="850"/>
      <c r="AC121" s="850"/>
      <c r="AD121" s="850"/>
      <c r="AE121" s="850"/>
      <c r="AF121" s="1925">
        <v>11</v>
      </c>
    </row>
    <row s="14730" customFormat="1" customHeight="1" ht="11.549999999999999">
      <c r="A122" s="1271"/>
      <c r="B122" s="1920"/>
      <c r="C122" s="1920"/>
      <c r="D122" s="635"/>
      <c r="K122" s="1444"/>
      <c r="L122" s="1920"/>
      <c r="M122" s="1920"/>
      <c r="N122" s="1444"/>
      <c r="O122" s="1444"/>
      <c r="P122" s="1444"/>
      <c r="Q122" s="1444"/>
      <c r="R122" s="1920"/>
      <c r="S122" s="1444"/>
      <c r="T122" s="1444"/>
      <c r="U122" s="828"/>
      <c r="V122" s="1444"/>
      <c r="W122" s="1444"/>
      <c r="X122" s="1444"/>
      <c r="Y122" s="1444"/>
      <c r="Z122" s="1444"/>
      <c r="AA122" s="1916"/>
      <c r="AB122" s="850"/>
      <c r="AC122" s="850"/>
      <c r="AD122" s="850"/>
      <c r="AE122" s="850"/>
      <c r="AF122" s="1925">
        <v>11</v>
      </c>
    </row>
    <row s="14730" customFormat="1" customHeight="1" ht="11.549999999999999">
      <c r="A123" s="1271"/>
      <c r="B123" s="1920"/>
      <c r="C123" s="1920"/>
      <c r="D123" s="635"/>
      <c r="K123" s="1444"/>
      <c r="L123" s="1920"/>
      <c r="M123" s="1920"/>
      <c r="N123" s="1444"/>
      <c r="O123" s="1444"/>
      <c r="P123" s="1444"/>
      <c r="Q123" s="1444"/>
      <c r="R123" s="1920"/>
      <c r="S123" s="1444"/>
      <c r="T123" s="1444"/>
      <c r="U123" s="828"/>
      <c r="V123" s="1444"/>
      <c r="W123" s="1444"/>
      <c r="X123" s="1444"/>
      <c r="Y123" s="1444"/>
      <c r="Z123" s="1444"/>
      <c r="AA123" s="1916"/>
      <c r="AB123" s="850"/>
      <c r="AC123" s="850"/>
      <c r="AD123" s="850"/>
      <c r="AE123" s="850"/>
      <c r="AF123" s="1925">
        <v>11</v>
      </c>
    </row>
    <row s="14730" customFormat="1" customHeight="1" ht="11.549999999999999">
      <c r="A124" s="1271"/>
      <c r="B124" s="1920"/>
      <c r="C124" s="1920"/>
      <c r="D124" s="635"/>
      <c r="K124" s="1444"/>
      <c r="L124" s="1920"/>
      <c r="M124" s="1920"/>
      <c r="N124" s="1444"/>
      <c r="O124" s="1444"/>
      <c r="P124" s="1444"/>
      <c r="Q124" s="1444"/>
      <c r="R124" s="1920"/>
      <c r="S124" s="1444"/>
      <c r="T124" s="1444"/>
      <c r="U124" s="828"/>
      <c r="V124" s="1444"/>
      <c r="W124" s="1444"/>
      <c r="X124" s="1444"/>
      <c r="Y124" s="1444"/>
      <c r="Z124" s="1444"/>
      <c r="AA124" s="1916"/>
      <c r="AB124" s="850"/>
      <c r="AC124" s="850"/>
      <c r="AD124" s="850"/>
      <c r="AE124" s="850"/>
      <c r="AF124" s="1925">
        <v>11</v>
      </c>
    </row>
    <row s="14730" customFormat="1" customHeight="1" ht="11.549999999999999">
      <c r="A125" s="1271"/>
      <c r="B125" s="1920"/>
      <c r="C125" s="1920"/>
      <c r="D125" s="635"/>
      <c r="K125" s="1444"/>
      <c r="L125" s="1920"/>
      <c r="M125" s="1920"/>
      <c r="N125" s="1444"/>
      <c r="O125" s="1444"/>
      <c r="P125" s="1444"/>
      <c r="Q125" s="1444"/>
      <c r="R125" s="1920"/>
      <c r="S125" s="1444"/>
      <c r="T125" s="1444"/>
      <c r="U125" s="828"/>
      <c r="V125" s="1444"/>
      <c r="W125" s="1444"/>
      <c r="X125" s="1444"/>
      <c r="Y125" s="1444"/>
      <c r="Z125" s="1444"/>
      <c r="AA125" s="1916"/>
      <c r="AB125" s="850"/>
      <c r="AC125" s="850"/>
      <c r="AD125" s="850"/>
      <c r="AE125" s="850"/>
      <c r="AF125" s="1925">
        <v>11</v>
      </c>
    </row>
    <row s="14730" customFormat="1" customHeight="1" ht="11.549999999999999">
      <c r="A126" s="1271"/>
      <c r="B126" s="1920"/>
      <c r="C126" s="1920"/>
      <c r="D126" s="635"/>
      <c r="K126" s="1444"/>
      <c r="L126" s="1920"/>
      <c r="M126" s="1920"/>
      <c r="N126" s="1444"/>
      <c r="O126" s="1444"/>
      <c r="P126" s="1444"/>
      <c r="Q126" s="1444"/>
      <c r="R126" s="1920"/>
      <c r="S126" s="1444"/>
      <c r="T126" s="1444"/>
      <c r="U126" s="828"/>
      <c r="V126" s="1444"/>
      <c r="W126" s="1444"/>
      <c r="X126" s="1444"/>
      <c r="Y126" s="1444"/>
      <c r="Z126" s="1444"/>
      <c r="AA126" s="1916"/>
      <c r="AB126" s="850"/>
      <c r="AC126" s="850"/>
      <c r="AD126" s="850"/>
      <c r="AE126" s="850"/>
      <c r="AF126" s="1925">
        <v>11</v>
      </c>
    </row>
    <row s="14730" customFormat="1" customHeight="1" ht="11.549999999999999">
      <c r="A127" s="1271"/>
      <c r="B127" s="1920"/>
      <c r="C127" s="1920"/>
      <c r="D127" s="635"/>
      <c r="K127" s="1444"/>
      <c r="L127" s="1920"/>
      <c r="M127" s="1920"/>
      <c r="N127" s="1444"/>
      <c r="O127" s="1444"/>
      <c r="P127" s="1444"/>
      <c r="Q127" s="1444"/>
      <c r="R127" s="1920"/>
      <c r="S127" s="1444"/>
      <c r="T127" s="1444"/>
      <c r="U127" s="828"/>
      <c r="V127" s="1444"/>
      <c r="W127" s="1444"/>
      <c r="X127" s="1444"/>
      <c r="Y127" s="1444"/>
      <c r="Z127" s="1444"/>
      <c r="AA127" s="1916"/>
      <c r="AB127" s="850"/>
      <c r="AC127" s="850"/>
      <c r="AD127" s="850"/>
      <c r="AE127" s="850"/>
      <c r="AF127" s="1925">
        <v>11</v>
      </c>
    </row>
    <row s="14730" customFormat="1" customHeight="1" ht="11.549999999999999">
      <c r="A128" s="1271"/>
      <c r="B128" s="1920"/>
      <c r="C128" s="1920"/>
      <c r="D128" s="635"/>
      <c r="K128" s="1444"/>
      <c r="L128" s="1920"/>
      <c r="M128" s="1920"/>
      <c r="N128" s="1444"/>
      <c r="O128" s="1444"/>
      <c r="P128" s="1444"/>
      <c r="Q128" s="1444"/>
      <c r="R128" s="1920"/>
      <c r="S128" s="1444"/>
      <c r="T128" s="1444"/>
      <c r="U128" s="828"/>
      <c r="V128" s="1444"/>
      <c r="W128" s="1444"/>
      <c r="X128" s="1444"/>
      <c r="Y128" s="1444"/>
      <c r="Z128" s="1444"/>
      <c r="AA128" s="1916"/>
      <c r="AB128" s="850"/>
      <c r="AC128" s="850"/>
      <c r="AD128" s="850"/>
      <c r="AE128" s="850"/>
      <c r="AF128" s="1925">
        <v>11</v>
      </c>
    </row>
    <row s="14730" customFormat="1" customHeight="1" ht="11.549999999999999">
      <c r="A129" s="1271"/>
      <c r="B129" s="1920"/>
      <c r="C129" s="1920"/>
      <c r="D129" s="635"/>
      <c r="K129" s="1444"/>
      <c r="L129" s="1920"/>
      <c r="M129" s="1920"/>
      <c r="N129" s="1444"/>
      <c r="O129" s="1444"/>
      <c r="P129" s="1444"/>
      <c r="Q129" s="1444"/>
      <c r="R129" s="1920"/>
      <c r="S129" s="1444"/>
      <c r="T129" s="1444"/>
      <c r="U129" s="828"/>
      <c r="V129" s="1444"/>
      <c r="W129" s="1444"/>
      <c r="X129" s="1444"/>
      <c r="Y129" s="1444"/>
      <c r="Z129" s="1444"/>
      <c r="AA129" s="1916"/>
      <c r="AB129" s="850"/>
      <c r="AC129" s="850"/>
      <c r="AD129" s="850"/>
      <c r="AE129" s="850"/>
      <c r="AF129" s="1925">
        <v>11</v>
      </c>
    </row>
    <row s="14730" customFormat="1" customHeight="1" ht="11.549999999999999">
      <c r="A130" s="1271"/>
      <c r="B130" s="1920"/>
      <c r="C130" s="1920"/>
      <c r="D130" s="635"/>
      <c r="K130" s="1444"/>
      <c r="L130" s="1920"/>
      <c r="M130" s="1920"/>
      <c r="N130" s="1444"/>
      <c r="O130" s="1444"/>
      <c r="P130" s="1444"/>
      <c r="Q130" s="1444"/>
      <c r="R130" s="1920"/>
      <c r="S130" s="1444"/>
      <c r="T130" s="1444"/>
      <c r="U130" s="828"/>
      <c r="V130" s="1444"/>
      <c r="W130" s="1444"/>
      <c r="X130" s="1444"/>
      <c r="Y130" s="1444"/>
      <c r="Z130" s="1444"/>
      <c r="AA130" s="1916"/>
      <c r="AB130" s="850"/>
      <c r="AC130" s="850"/>
      <c r="AD130" s="850"/>
      <c r="AE130" s="850"/>
      <c r="AF130" s="1925">
        <v>11</v>
      </c>
    </row>
    <row s="14730" customFormat="1" customHeight="1" ht="11.549999999999999">
      <c r="A131" s="1271"/>
      <c r="B131" s="1920"/>
      <c r="C131" s="1920"/>
      <c r="D131" s="635"/>
      <c r="K131" s="1444"/>
      <c r="L131" s="1920"/>
      <c r="M131" s="1920"/>
      <c r="N131" s="1444"/>
      <c r="O131" s="1444"/>
      <c r="P131" s="1444"/>
      <c r="Q131" s="1444"/>
      <c r="R131" s="1920"/>
      <c r="S131" s="1444"/>
      <c r="T131" s="1444"/>
      <c r="U131" s="828"/>
      <c r="V131" s="1444"/>
      <c r="W131" s="1444"/>
      <c r="X131" s="1444"/>
      <c r="Y131" s="1444"/>
      <c r="Z131" s="1444"/>
      <c r="AA131" s="1916"/>
      <c r="AB131" s="850"/>
      <c r="AC131" s="850"/>
      <c r="AD131" s="850"/>
      <c r="AE131" s="850"/>
      <c r="AF131" s="1925">
        <v>11</v>
      </c>
    </row>
    <row s="14730" customFormat="1" customHeight="1" ht="11.549999999999999">
      <c r="A132" s="1271"/>
      <c r="B132" s="1920"/>
      <c r="C132" s="1920"/>
      <c r="D132" s="635"/>
      <c r="K132" s="1444"/>
      <c r="L132" s="1920"/>
      <c r="M132" s="1920"/>
      <c r="N132" s="1444"/>
      <c r="O132" s="1444"/>
      <c r="P132" s="1444"/>
      <c r="Q132" s="1444"/>
      <c r="R132" s="1920"/>
      <c r="S132" s="1444"/>
      <c r="T132" s="1444"/>
      <c r="U132" s="828"/>
      <c r="V132" s="1444"/>
      <c r="W132" s="1444"/>
      <c r="X132" s="1444"/>
      <c r="Y132" s="1444"/>
      <c r="Z132" s="1444"/>
      <c r="AA132" s="1916"/>
      <c r="AB132" s="850"/>
      <c r="AC132" s="850"/>
      <c r="AD132" s="850"/>
      <c r="AE132" s="850"/>
      <c r="AF132" s="1925">
        <v>11</v>
      </c>
    </row>
    <row s="14730" customFormat="1" customHeight="1" ht="11.549999999999999">
      <c r="A133" s="1271"/>
      <c r="B133" s="1920"/>
      <c r="C133" s="1920"/>
      <c r="D133" s="635"/>
      <c r="K133" s="1444"/>
      <c r="L133" s="1920"/>
      <c r="M133" s="1920"/>
      <c r="N133" s="1444"/>
      <c r="O133" s="1444"/>
      <c r="P133" s="1444"/>
      <c r="Q133" s="1444"/>
      <c r="R133" s="1920"/>
      <c r="S133" s="1444"/>
      <c r="T133" s="1444"/>
      <c r="U133" s="828"/>
      <c r="V133" s="1444"/>
      <c r="W133" s="1444"/>
      <c r="X133" s="1444"/>
      <c r="Y133" s="1444"/>
      <c r="Z133" s="1444"/>
      <c r="AA133" s="1916"/>
      <c r="AB133" s="850"/>
      <c r="AC133" s="850"/>
      <c r="AD133" s="850"/>
      <c r="AE133" s="850"/>
      <c r="AF133" s="1925">
        <v>11</v>
      </c>
    </row>
    <row s="14730" customFormat="1" customHeight="1" ht="11.549999999999999">
      <c r="A134" s="1271"/>
      <c r="B134" s="1920"/>
      <c r="C134" s="1920"/>
      <c r="D134" s="635"/>
      <c r="K134" s="1444"/>
      <c r="L134" s="1920"/>
      <c r="M134" s="1920"/>
      <c r="N134" s="1444"/>
      <c r="O134" s="1444"/>
      <c r="P134" s="1444"/>
      <c r="Q134" s="1444"/>
      <c r="R134" s="1920"/>
      <c r="S134" s="1444"/>
      <c r="T134" s="1444"/>
      <c r="U134" s="828"/>
      <c r="V134" s="1444"/>
      <c r="W134" s="1444"/>
      <c r="X134" s="1444"/>
      <c r="Y134" s="1444"/>
      <c r="Z134" s="1444"/>
      <c r="AA134" s="1916"/>
      <c r="AB134" s="850"/>
      <c r="AC134" s="850"/>
      <c r="AD134" s="850"/>
      <c r="AE134" s="850"/>
      <c r="AF134" s="1925">
        <v>11</v>
      </c>
    </row>
    <row s="14730" customFormat="1" customHeight="1" ht="11.549999999999999">
      <c r="A135" s="1271"/>
      <c r="B135" s="1920"/>
      <c r="C135" s="1920"/>
      <c r="D135" s="635"/>
      <c r="K135" s="1444"/>
      <c r="L135" s="1920"/>
      <c r="M135" s="1920"/>
      <c r="N135" s="1444"/>
      <c r="O135" s="1444"/>
      <c r="P135" s="1444"/>
      <c r="Q135" s="1444"/>
      <c r="R135" s="1920"/>
      <c r="S135" s="1444"/>
      <c r="T135" s="1444"/>
      <c r="U135" s="828"/>
      <c r="V135" s="1444"/>
      <c r="W135" s="1444"/>
      <c r="X135" s="1444"/>
      <c r="Y135" s="1444"/>
      <c r="Z135" s="1444"/>
      <c r="AA135" s="1916"/>
      <c r="AB135" s="850"/>
      <c r="AC135" s="850"/>
      <c r="AD135" s="850"/>
      <c r="AE135" s="850"/>
      <c r="AF135" s="1925">
        <v>11</v>
      </c>
    </row>
    <row s="14730" customFormat="1" customHeight="1" ht="11.549999999999999">
      <c r="A136" s="1271"/>
      <c r="B136" s="1920"/>
      <c r="C136" s="1920"/>
      <c r="D136" s="635"/>
      <c r="K136" s="1444"/>
      <c r="L136" s="1920"/>
      <c r="M136" s="1920"/>
      <c r="N136" s="1444"/>
      <c r="O136" s="1444"/>
      <c r="P136" s="1444"/>
      <c r="Q136" s="1444"/>
      <c r="R136" s="1920"/>
      <c r="S136" s="1444"/>
      <c r="T136" s="1444"/>
      <c r="U136" s="828"/>
      <c r="V136" s="1444"/>
      <c r="W136" s="1444"/>
      <c r="X136" s="1444"/>
      <c r="Y136" s="1444"/>
      <c r="Z136" s="1444"/>
      <c r="AA136" s="1916"/>
      <c r="AB136" s="850"/>
      <c r="AC136" s="850"/>
      <c r="AD136" s="850"/>
      <c r="AE136" s="850"/>
      <c r="AF136" s="1925">
        <v>11</v>
      </c>
    </row>
    <row s="14730" customFormat="1" customHeight="1" ht="11.549999999999999">
      <c r="A137" s="1271"/>
      <c r="B137" s="1920"/>
      <c r="C137" s="1920"/>
      <c r="D137" s="635"/>
      <c r="K137" s="1444"/>
      <c r="L137" s="1920"/>
      <c r="M137" s="1920"/>
      <c r="N137" s="1444"/>
      <c r="O137" s="1444"/>
      <c r="P137" s="1444"/>
      <c r="Q137" s="1444"/>
      <c r="R137" s="1920"/>
      <c r="S137" s="1444"/>
      <c r="T137" s="1444"/>
      <c r="U137" s="828"/>
      <c r="V137" s="1444"/>
      <c r="W137" s="1444"/>
      <c r="X137" s="1444"/>
      <c r="Y137" s="1444"/>
      <c r="Z137" s="1444"/>
      <c r="AA137" s="1916"/>
      <c r="AB137" s="850"/>
      <c r="AC137" s="850"/>
      <c r="AD137" s="850"/>
      <c r="AE137" s="850"/>
      <c r="AF137" s="1925">
        <v>11</v>
      </c>
    </row>
    <row s="14730" customFormat="1" customHeight="1" ht="11.549999999999999">
      <c r="A138" s="1271"/>
      <c r="B138" s="1920"/>
      <c r="C138" s="1920"/>
      <c r="D138" s="635"/>
      <c r="K138" s="1444"/>
      <c r="L138" s="1920"/>
      <c r="M138" s="1920"/>
      <c r="N138" s="1444"/>
      <c r="O138" s="1444"/>
      <c r="P138" s="1444"/>
      <c r="Q138" s="1444"/>
      <c r="R138" s="1920"/>
      <c r="S138" s="1444"/>
      <c r="T138" s="1444"/>
      <c r="U138" s="828"/>
      <c r="V138" s="1444"/>
      <c r="W138" s="1444"/>
      <c r="X138" s="1444"/>
      <c r="Y138" s="1444"/>
      <c r="Z138" s="1444"/>
      <c r="AA138" s="1916"/>
      <c r="AB138" s="850"/>
      <c r="AC138" s="850"/>
      <c r="AD138" s="850"/>
      <c r="AE138" s="850"/>
      <c r="AF138" s="1925">
        <v>11</v>
      </c>
    </row>
    <row s="14730" customFormat="1" customHeight="1" ht="11.549999999999999">
      <c r="A139" s="1271"/>
      <c r="B139" s="1920"/>
      <c r="C139" s="1920"/>
      <c r="D139" s="635"/>
      <c r="K139" s="1444"/>
      <c r="L139" s="1920"/>
      <c r="M139" s="1920"/>
      <c r="N139" s="1444"/>
      <c r="O139" s="1444"/>
      <c r="P139" s="1444"/>
      <c r="Q139" s="1444"/>
      <c r="R139" s="1920"/>
      <c r="S139" s="1444"/>
      <c r="T139" s="1444"/>
      <c r="U139" s="828"/>
      <c r="V139" s="1444"/>
      <c r="W139" s="1444"/>
      <c r="X139" s="1444"/>
      <c r="Y139" s="1444"/>
      <c r="Z139" s="1444"/>
      <c r="AA139" s="1916"/>
      <c r="AB139" s="850"/>
      <c r="AC139" s="850"/>
      <c r="AD139" s="850"/>
      <c r="AE139" s="850"/>
      <c r="AF139" s="1925">
        <v>11</v>
      </c>
    </row>
    <row s="14730" customFormat="1" customHeight="1" ht="11.549999999999999">
      <c r="A140" s="1271"/>
      <c r="B140" s="1920"/>
      <c r="C140" s="1920"/>
      <c r="D140" s="635"/>
      <c r="K140" s="1444"/>
      <c r="L140" s="1920"/>
      <c r="M140" s="1920"/>
      <c r="N140" s="1444"/>
      <c r="O140" s="1444"/>
      <c r="P140" s="1444"/>
      <c r="Q140" s="1444"/>
      <c r="R140" s="1920"/>
      <c r="S140" s="1444"/>
      <c r="T140" s="1444"/>
      <c r="U140" s="828"/>
      <c r="V140" s="1444"/>
      <c r="W140" s="1444"/>
      <c r="X140" s="1444"/>
      <c r="Y140" s="1444"/>
      <c r="Z140" s="1444"/>
      <c r="AA140" s="1916"/>
      <c r="AB140" s="850"/>
      <c r="AC140" s="850"/>
      <c r="AD140" s="850"/>
      <c r="AE140" s="850"/>
      <c r="AF140" s="1925">
        <v>11</v>
      </c>
    </row>
    <row s="14730" customFormat="1" customHeight="1" ht="11.549999999999999">
      <c r="A141" s="1271"/>
      <c r="B141" s="1920"/>
      <c r="C141" s="1920"/>
      <c r="D141" s="635"/>
      <c r="K141" s="1444"/>
      <c r="L141" s="1920"/>
      <c r="M141" s="1920"/>
      <c r="N141" s="1444"/>
      <c r="O141" s="1444"/>
      <c r="P141" s="1444"/>
      <c r="Q141" s="1444"/>
      <c r="R141" s="1920"/>
      <c r="S141" s="1444"/>
      <c r="T141" s="1444"/>
      <c r="U141" s="828"/>
      <c r="V141" s="1444"/>
      <c r="W141" s="1444"/>
      <c r="X141" s="1444"/>
      <c r="Y141" s="1444"/>
      <c r="Z141" s="1444"/>
      <c r="AA141" s="1916"/>
      <c r="AB141" s="850"/>
      <c r="AC141" s="850"/>
      <c r="AD141" s="850"/>
      <c r="AE141" s="850"/>
      <c r="AF141" s="1925">
        <v>11</v>
      </c>
    </row>
    <row s="14730" customFormat="1" customHeight="1" ht="11.549999999999999">
      <c r="A142" s="1271"/>
      <c r="B142" s="1920"/>
      <c r="C142" s="1920"/>
      <c r="D142" s="635"/>
      <c r="K142" s="1444"/>
      <c r="L142" s="1920"/>
      <c r="M142" s="1920"/>
      <c r="N142" s="1444"/>
      <c r="O142" s="1444"/>
      <c r="P142" s="1444"/>
      <c r="Q142" s="1444"/>
      <c r="R142" s="1920"/>
      <c r="S142" s="1444"/>
      <c r="T142" s="1444"/>
      <c r="U142" s="828"/>
      <c r="V142" s="1444"/>
      <c r="W142" s="1444"/>
      <c r="X142" s="1444"/>
      <c r="Y142" s="1444"/>
      <c r="Z142" s="1444"/>
      <c r="AA142" s="1916"/>
      <c r="AB142" s="850"/>
      <c r="AC142" s="850"/>
      <c r="AD142" s="850"/>
      <c r="AE142" s="850"/>
      <c r="AF142" s="1925">
        <v>11</v>
      </c>
    </row>
    <row s="14730" customFormat="1" customHeight="1" ht="11.549999999999999">
      <c r="A143" s="1271"/>
      <c r="B143" s="1920"/>
      <c r="C143" s="1920"/>
      <c r="D143" s="635"/>
      <c r="K143" s="1444"/>
      <c r="L143" s="1920"/>
      <c r="M143" s="1920"/>
      <c r="N143" s="1444"/>
      <c r="O143" s="1444"/>
      <c r="P143" s="1444"/>
      <c r="Q143" s="1444"/>
      <c r="R143" s="1920"/>
      <c r="S143" s="1444"/>
      <c r="T143" s="1444"/>
      <c r="U143" s="828"/>
      <c r="V143" s="1444"/>
      <c r="W143" s="1444"/>
      <c r="X143" s="1444"/>
      <c r="Y143" s="1444"/>
      <c r="Z143" s="1444"/>
      <c r="AA143" s="1916"/>
      <c r="AB143" s="850"/>
      <c r="AC143" s="850"/>
      <c r="AD143" s="850"/>
      <c r="AE143" s="850"/>
      <c r="AF143" s="1925">
        <v>11</v>
      </c>
    </row>
    <row s="14730" customFormat="1" customHeight="1" ht="11.549999999999999">
      <c r="A144" s="1271"/>
      <c r="B144" s="1920"/>
      <c r="C144" s="1920"/>
      <c r="D144" s="635"/>
      <c r="K144" s="1444"/>
      <c r="L144" s="1920"/>
      <c r="M144" s="1920"/>
      <c r="N144" s="1444"/>
      <c r="O144" s="1444"/>
      <c r="P144" s="1444"/>
      <c r="Q144" s="1444"/>
      <c r="R144" s="1920"/>
      <c r="S144" s="1444"/>
      <c r="T144" s="1444"/>
      <c r="U144" s="828"/>
      <c r="V144" s="1444"/>
      <c r="W144" s="1444"/>
      <c r="X144" s="1444"/>
      <c r="Y144" s="1444"/>
      <c r="Z144" s="1444"/>
      <c r="AA144" s="1916"/>
      <c r="AB144" s="850"/>
      <c r="AC144" s="850"/>
      <c r="AD144" s="850"/>
      <c r="AE144" s="850"/>
      <c r="AF144" s="1925">
        <v>11</v>
      </c>
    </row>
    <row s="14730" customFormat="1" customHeight="1" ht="11.549999999999999">
      <c r="A145" s="1271"/>
      <c r="B145" s="1920"/>
      <c r="C145" s="1920"/>
      <c r="D145" s="635"/>
      <c r="K145" s="1444"/>
      <c r="L145" s="1920"/>
      <c r="M145" s="1920"/>
      <c r="N145" s="1444"/>
      <c r="O145" s="1444"/>
      <c r="P145" s="1444"/>
      <c r="Q145" s="1444"/>
      <c r="R145" s="1920"/>
      <c r="S145" s="1444"/>
      <c r="T145" s="1444"/>
      <c r="U145" s="828"/>
      <c r="V145" s="1444"/>
      <c r="W145" s="1444"/>
      <c r="X145" s="1444"/>
      <c r="Y145" s="1444"/>
      <c r="Z145" s="1444"/>
      <c r="AA145" s="1916"/>
      <c r="AB145" s="850"/>
      <c r="AC145" s="850"/>
      <c r="AD145" s="850"/>
      <c r="AE145" s="850"/>
      <c r="AF145" s="1925">
        <v>11</v>
      </c>
    </row>
    <row s="14730" customFormat="1" customHeight="1" ht="11.549999999999999">
      <c r="A146" s="1271"/>
      <c r="B146" s="1920"/>
      <c r="C146" s="1920"/>
      <c r="D146" s="635"/>
      <c r="K146" s="1444"/>
      <c r="L146" s="1920"/>
      <c r="M146" s="1920"/>
      <c r="N146" s="1444"/>
      <c r="O146" s="1444"/>
      <c r="P146" s="1444"/>
      <c r="Q146" s="1444"/>
      <c r="R146" s="1920"/>
      <c r="S146" s="1444"/>
      <c r="T146" s="1444"/>
      <c r="U146" s="828"/>
      <c r="V146" s="1444"/>
      <c r="W146" s="1444"/>
      <c r="X146" s="1444"/>
      <c r="Y146" s="1444"/>
      <c r="Z146" s="1444"/>
      <c r="AA146" s="1916"/>
      <c r="AB146" s="850"/>
      <c r="AC146" s="850"/>
      <c r="AD146" s="850"/>
      <c r="AE146" s="850"/>
      <c r="AF146" s="1925">
        <v>11</v>
      </c>
    </row>
    <row s="14730" customFormat="1" customHeight="1" ht="11.549999999999999">
      <c r="A147" s="1271"/>
      <c r="B147" s="1920"/>
      <c r="C147" s="1920"/>
      <c r="D147" s="635"/>
      <c r="K147" s="1444"/>
      <c r="L147" s="1920"/>
      <c r="M147" s="1920"/>
      <c r="N147" s="1444"/>
      <c r="O147" s="1444"/>
      <c r="P147" s="1444"/>
      <c r="Q147" s="1444"/>
      <c r="R147" s="1920"/>
      <c r="S147" s="1444"/>
      <c r="T147" s="1444"/>
      <c r="U147" s="828"/>
      <c r="V147" s="1444"/>
      <c r="W147" s="1444"/>
      <c r="X147" s="1444"/>
      <c r="Y147" s="1444"/>
      <c r="Z147" s="1444"/>
      <c r="AA147" s="1916"/>
      <c r="AB147" s="850"/>
      <c r="AC147" s="850"/>
      <c r="AD147" s="850"/>
      <c r="AE147" s="850"/>
      <c r="AF147" s="1925">
        <v>11</v>
      </c>
    </row>
    <row s="14730" customFormat="1" customHeight="1" ht="11.549999999999999">
      <c r="A148" s="1271"/>
      <c r="B148" s="1920"/>
      <c r="C148" s="1920"/>
      <c r="D148" s="635"/>
      <c r="K148" s="1444"/>
      <c r="L148" s="1920"/>
      <c r="M148" s="1920"/>
      <c r="N148" s="1444"/>
      <c r="O148" s="1444"/>
      <c r="P148" s="1444"/>
      <c r="Q148" s="1444"/>
      <c r="R148" s="1920"/>
      <c r="S148" s="1444"/>
      <c r="T148" s="1444"/>
      <c r="U148" s="828"/>
      <c r="V148" s="1444"/>
      <c r="W148" s="1444"/>
      <c r="X148" s="1444"/>
      <c r="Y148" s="1444"/>
      <c r="Z148" s="1444"/>
      <c r="AA148" s="1916"/>
      <c r="AB148" s="850"/>
      <c r="AC148" s="850"/>
      <c r="AD148" s="850"/>
      <c r="AE148" s="850"/>
      <c r="AF148" s="1925">
        <v>11</v>
      </c>
    </row>
    <row s="14730" customFormat="1" customHeight="1" ht="11.549999999999999">
      <c r="A149" s="1271"/>
      <c r="B149" s="1920"/>
      <c r="C149" s="1920"/>
      <c r="D149" s="635"/>
      <c r="K149" s="1444"/>
      <c r="L149" s="1920"/>
      <c r="M149" s="1920"/>
      <c r="N149" s="1444"/>
      <c r="O149" s="1444"/>
      <c r="P149" s="1444"/>
      <c r="Q149" s="1444"/>
      <c r="R149" s="1920"/>
      <c r="S149" s="1444"/>
      <c r="T149" s="1444"/>
      <c r="U149" s="828"/>
      <c r="V149" s="1444"/>
      <c r="W149" s="1444"/>
      <c r="X149" s="1444"/>
      <c r="Y149" s="1444"/>
      <c r="Z149" s="1444"/>
      <c r="AA149" s="1916"/>
      <c r="AB149" s="850"/>
      <c r="AC149" s="850"/>
      <c r="AD149" s="850"/>
      <c r="AE149" s="850"/>
      <c r="AF149" s="1925">
        <v>11</v>
      </c>
    </row>
    <row s="14730" customFormat="1" customHeight="1" ht="11.549999999999999">
      <c r="A150" s="1271"/>
      <c r="B150" s="1920"/>
      <c r="C150" s="1920"/>
      <c r="D150" s="635"/>
      <c r="K150" s="1444"/>
      <c r="L150" s="1920"/>
      <c r="M150" s="1920"/>
      <c r="N150" s="1444"/>
      <c r="O150" s="1444"/>
      <c r="P150" s="1444"/>
      <c r="Q150" s="1444"/>
      <c r="R150" s="1920"/>
      <c r="S150" s="1444"/>
      <c r="T150" s="1444"/>
      <c r="U150" s="828"/>
      <c r="V150" s="1444"/>
      <c r="W150" s="1444"/>
      <c r="X150" s="1444"/>
      <c r="Y150" s="1444"/>
      <c r="Z150" s="1444"/>
      <c r="AA150" s="1916"/>
      <c r="AB150" s="850"/>
      <c r="AC150" s="850"/>
      <c r="AD150" s="850"/>
      <c r="AE150" s="850"/>
      <c r="AF150" s="1925">
        <v>11</v>
      </c>
    </row>
    <row s="14730" customFormat="1" customHeight="1" ht="11.549999999999999">
      <c r="A151" s="1271"/>
      <c r="B151" s="1920"/>
      <c r="C151" s="1920"/>
      <c r="D151" s="635"/>
      <c r="K151" s="1444"/>
      <c r="L151" s="1920"/>
      <c r="M151" s="1920"/>
      <c r="N151" s="1444"/>
      <c r="O151" s="1444"/>
      <c r="P151" s="1444"/>
      <c r="Q151" s="1444"/>
      <c r="R151" s="1920"/>
      <c r="S151" s="1444"/>
      <c r="T151" s="1444"/>
      <c r="U151" s="828"/>
      <c r="V151" s="1444"/>
      <c r="W151" s="1444"/>
      <c r="X151" s="1444"/>
      <c r="Y151" s="1444"/>
      <c r="Z151" s="1444"/>
      <c r="AA151" s="1916"/>
      <c r="AB151" s="850"/>
      <c r="AC151" s="850"/>
      <c r="AD151" s="850"/>
      <c r="AE151" s="850"/>
      <c r="AF151" s="1925">
        <v>11</v>
      </c>
    </row>
    <row s="14730" customFormat="1" customHeight="1" ht="11.549999999999999">
      <c r="A152" s="1271"/>
      <c r="B152" s="1920"/>
      <c r="C152" s="1920"/>
      <c r="D152" s="635"/>
      <c r="K152" s="1444"/>
      <c r="L152" s="1920"/>
      <c r="M152" s="1920"/>
      <c r="N152" s="1444"/>
      <c r="O152" s="1444"/>
      <c r="P152" s="1444"/>
      <c r="Q152" s="1444"/>
      <c r="R152" s="1920"/>
      <c r="S152" s="1444"/>
      <c r="T152" s="1444"/>
      <c r="U152" s="828"/>
      <c r="V152" s="1444"/>
      <c r="W152" s="1444"/>
      <c r="X152" s="1444"/>
      <c r="Y152" s="1444"/>
      <c r="Z152" s="1444"/>
      <c r="AA152" s="1916"/>
      <c r="AB152" s="850"/>
      <c r="AC152" s="850"/>
      <c r="AD152" s="850"/>
      <c r="AE152" s="850"/>
      <c r="AF152" s="1925">
        <v>11</v>
      </c>
    </row>
    <row s="14730" customFormat="1" customHeight="1" ht="11.549999999999999">
      <c r="A153" s="1271"/>
      <c r="B153" s="1920"/>
      <c r="C153" s="1920"/>
      <c r="D153" s="635"/>
      <c r="K153" s="1444"/>
      <c r="L153" s="1920"/>
      <c r="M153" s="1920"/>
      <c r="N153" s="1444"/>
      <c r="O153" s="1444"/>
      <c r="P153" s="1444"/>
      <c r="Q153" s="1444"/>
      <c r="R153" s="1920"/>
      <c r="S153" s="1444"/>
      <c r="T153" s="1444"/>
      <c r="U153" s="828"/>
      <c r="V153" s="1444"/>
      <c r="W153" s="1444"/>
      <c r="X153" s="1444"/>
      <c r="Y153" s="1444"/>
      <c r="Z153" s="1444"/>
      <c r="AA153" s="1916"/>
      <c r="AB153" s="850"/>
      <c r="AC153" s="850"/>
      <c r="AD153" s="850"/>
      <c r="AE153" s="850"/>
      <c r="AF153" s="1925">
        <v>11</v>
      </c>
    </row>
    <row s="14730" customFormat="1" customHeight="1" ht="11.549999999999999">
      <c r="A154" s="1271"/>
      <c r="B154" s="1920"/>
      <c r="C154" s="1920"/>
      <c r="D154" s="635"/>
      <c r="K154" s="1444"/>
      <c r="L154" s="1920"/>
      <c r="M154" s="1920"/>
      <c r="N154" s="1444"/>
      <c r="O154" s="1444"/>
      <c r="P154" s="1444"/>
      <c r="Q154" s="1444"/>
      <c r="R154" s="1920"/>
      <c r="S154" s="1444"/>
      <c r="T154" s="1444"/>
      <c r="U154" s="828"/>
      <c r="V154" s="1444"/>
      <c r="W154" s="1444"/>
      <c r="X154" s="1444"/>
      <c r="Y154" s="1444"/>
      <c r="Z154" s="1444"/>
      <c r="AA154" s="1916"/>
      <c r="AB154" s="850"/>
      <c r="AC154" s="850"/>
      <c r="AD154" s="850"/>
      <c r="AE154" s="850"/>
      <c r="AF154" s="1925">
        <v>11</v>
      </c>
    </row>
    <row s="14730" customFormat="1" customHeight="1" ht="11.549999999999999">
      <c r="A155" s="1271"/>
      <c r="B155" s="1920"/>
      <c r="C155" s="1920"/>
      <c r="D155" s="635"/>
      <c r="K155" s="1444"/>
      <c r="L155" s="1920"/>
      <c r="M155" s="1920"/>
      <c r="N155" s="1444"/>
      <c r="O155" s="1444"/>
      <c r="P155" s="1444"/>
      <c r="Q155" s="1444"/>
      <c r="R155" s="1920"/>
      <c r="S155" s="1444"/>
      <c r="T155" s="1444"/>
      <c r="U155" s="828"/>
      <c r="V155" s="1444"/>
      <c r="W155" s="1444"/>
      <c r="X155" s="1444"/>
      <c r="Y155" s="1444"/>
      <c r="Z155" s="1444"/>
      <c r="AA155" s="1916"/>
      <c r="AB155" s="850"/>
      <c r="AC155" s="850"/>
      <c r="AD155" s="850"/>
      <c r="AE155" s="850"/>
      <c r="AF155" s="1925">
        <v>11</v>
      </c>
    </row>
    <row s="14730" customFormat="1" customHeight="1" ht="11.549999999999999">
      <c r="A156" s="1271"/>
      <c r="B156" s="1920"/>
      <c r="C156" s="1920"/>
      <c r="D156" s="635"/>
      <c r="K156" s="1444"/>
      <c r="L156" s="1920"/>
      <c r="M156" s="1920"/>
      <c r="N156" s="1444"/>
      <c r="O156" s="1444"/>
      <c r="P156" s="1444"/>
      <c r="Q156" s="1444"/>
      <c r="R156" s="1920"/>
      <c r="S156" s="1444"/>
      <c r="T156" s="1444"/>
      <c r="U156" s="828"/>
      <c r="V156" s="1444"/>
      <c r="W156" s="1444"/>
      <c r="X156" s="1444"/>
      <c r="Y156" s="1444"/>
      <c r="Z156" s="1444"/>
      <c r="AA156" s="1916"/>
      <c r="AB156" s="850"/>
      <c r="AC156" s="850"/>
      <c r="AD156" s="850"/>
      <c r="AE156" s="850"/>
      <c r="AF156" s="1925">
        <v>11</v>
      </c>
    </row>
    <row s="14730" customFormat="1" customHeight="1" ht="11.549999999999999">
      <c r="A157" s="1271"/>
      <c r="B157" s="1920"/>
      <c r="C157" s="1920"/>
      <c r="D157" s="635"/>
      <c r="K157" s="1444"/>
      <c r="L157" s="1920"/>
      <c r="M157" s="1920"/>
      <c r="N157" s="1444"/>
      <c r="O157" s="1444"/>
      <c r="P157" s="1444"/>
      <c r="Q157" s="1444"/>
      <c r="R157" s="1920"/>
      <c r="S157" s="1444"/>
      <c r="T157" s="1444"/>
      <c r="U157" s="828"/>
      <c r="V157" s="1444"/>
      <c r="W157" s="1444"/>
      <c r="X157" s="1444"/>
      <c r="Y157" s="1444"/>
      <c r="Z157" s="1444"/>
      <c r="AA157" s="1916"/>
      <c r="AB157" s="850"/>
      <c r="AC157" s="850"/>
      <c r="AD157" s="850"/>
      <c r="AE157" s="850"/>
      <c r="AF157" s="1925">
        <v>11</v>
      </c>
    </row>
    <row s="14730" customFormat="1" customHeight="1" ht="11.549999999999999">
      <c r="A158" s="1271"/>
      <c r="B158" s="1920"/>
      <c r="C158" s="1920"/>
      <c r="D158" s="635"/>
      <c r="K158" s="1444"/>
      <c r="L158" s="1920"/>
      <c r="M158" s="1920"/>
      <c r="N158" s="1444"/>
      <c r="O158" s="1444"/>
      <c r="P158" s="1444"/>
      <c r="Q158" s="1444"/>
      <c r="R158" s="1920"/>
      <c r="S158" s="1444"/>
      <c r="T158" s="1444"/>
      <c r="U158" s="828"/>
      <c r="V158" s="1444"/>
      <c r="W158" s="1444"/>
      <c r="X158" s="1444"/>
      <c r="Y158" s="1444"/>
      <c r="Z158" s="1444"/>
      <c r="AA158" s="1916"/>
      <c r="AB158" s="850"/>
      <c r="AC158" s="850"/>
      <c r="AD158" s="850"/>
      <c r="AE158" s="850"/>
      <c r="AF158" s="1925">
        <v>11</v>
      </c>
    </row>
    <row s="14730" customFormat="1" customHeight="1" ht="11.549999999999999">
      <c r="A159" s="1271"/>
      <c r="B159" s="1920"/>
      <c r="C159" s="1920"/>
      <c r="D159" s="635"/>
      <c r="K159" s="1444"/>
      <c r="L159" s="1920"/>
      <c r="M159" s="1920"/>
      <c r="N159" s="1444"/>
      <c r="O159" s="1444"/>
      <c r="P159" s="1444"/>
      <c r="Q159" s="1444"/>
      <c r="R159" s="1920"/>
      <c r="S159" s="1444"/>
      <c r="T159" s="1444"/>
      <c r="U159" s="828"/>
      <c r="V159" s="1444"/>
      <c r="W159" s="1444"/>
      <c r="X159" s="1444"/>
      <c r="Y159" s="1444"/>
      <c r="Z159" s="1444"/>
      <c r="AA159" s="1916"/>
      <c r="AB159" s="850"/>
      <c r="AC159" s="850"/>
      <c r="AD159" s="850"/>
      <c r="AE159" s="850"/>
      <c r="AF159" s="1925">
        <v>11</v>
      </c>
    </row>
    <row s="14730" customFormat="1" customHeight="1" ht="11.549999999999999">
      <c r="A160" s="1271"/>
      <c r="B160" s="1920"/>
      <c r="C160" s="1920"/>
      <c r="D160" s="635"/>
      <c r="K160" s="1444"/>
      <c r="L160" s="1920"/>
      <c r="M160" s="1920"/>
      <c r="N160" s="1444"/>
      <c r="O160" s="1444"/>
      <c r="P160" s="1444"/>
      <c r="Q160" s="1444"/>
      <c r="R160" s="1920"/>
      <c r="S160" s="1444"/>
      <c r="T160" s="1444"/>
      <c r="U160" s="828"/>
      <c r="V160" s="1444"/>
      <c r="W160" s="1444"/>
      <c r="X160" s="1444"/>
      <c r="Y160" s="1444"/>
      <c r="Z160" s="1444"/>
      <c r="AA160" s="1916"/>
      <c r="AB160" s="850"/>
      <c r="AC160" s="850"/>
      <c r="AD160" s="850"/>
      <c r="AE160" s="850"/>
      <c r="AF160" s="1925">
        <v>11</v>
      </c>
    </row>
    <row s="14730" customFormat="1" customHeight="1" ht="11.549999999999999">
      <c r="A161" s="1271"/>
      <c r="B161" s="1920"/>
      <c r="C161" s="1920"/>
      <c r="D161" s="635"/>
      <c r="K161" s="1444"/>
      <c r="L161" s="1920"/>
      <c r="M161" s="1920"/>
      <c r="N161" s="1444"/>
      <c r="O161" s="1444"/>
      <c r="P161" s="1444"/>
      <c r="Q161" s="1444"/>
      <c r="R161" s="1920"/>
      <c r="S161" s="1444"/>
      <c r="T161" s="1444"/>
      <c r="U161" s="828"/>
      <c r="V161" s="1444"/>
      <c r="W161" s="1444"/>
      <c r="X161" s="1444"/>
      <c r="Y161" s="1444"/>
      <c r="Z161" s="1444"/>
      <c r="AA161" s="1916"/>
      <c r="AB161" s="850"/>
      <c r="AC161" s="850"/>
      <c r="AD161" s="850"/>
      <c r="AE161" s="850"/>
      <c r="AF161" s="1925">
        <v>11</v>
      </c>
    </row>
    <row s="14730" customFormat="1" customHeight="1" ht="11.549999999999999">
      <c r="A162" s="1271"/>
      <c r="B162" s="1920"/>
      <c r="C162" s="1920"/>
      <c r="D162" s="635"/>
      <c r="K162" s="1444"/>
      <c r="L162" s="1920"/>
      <c r="M162" s="1920"/>
      <c r="N162" s="1444"/>
      <c r="O162" s="1444"/>
      <c r="P162" s="1444"/>
      <c r="Q162" s="1444"/>
      <c r="R162" s="1920"/>
      <c r="S162" s="1444"/>
      <c r="T162" s="1444"/>
      <c r="U162" s="828"/>
      <c r="V162" s="1444"/>
      <c r="W162" s="1444"/>
      <c r="X162" s="1444"/>
      <c r="Y162" s="1444"/>
      <c r="Z162" s="1444"/>
      <c r="AA162" s="1916"/>
      <c r="AB162" s="850"/>
      <c r="AC162" s="850"/>
      <c r="AD162" s="850"/>
      <c r="AE162" s="850"/>
      <c r="AF162" s="1925">
        <v>11</v>
      </c>
    </row>
    <row s="14730" customFormat="1" customHeight="1" ht="11.549999999999999">
      <c r="A163" s="1271"/>
      <c r="B163" s="1920"/>
      <c r="C163" s="1920"/>
      <c r="D163" s="635"/>
      <c r="K163" s="1444"/>
      <c r="L163" s="1920"/>
      <c r="M163" s="1920"/>
      <c r="N163" s="1444"/>
      <c r="O163" s="1444"/>
      <c r="P163" s="1444"/>
      <c r="Q163" s="1444"/>
      <c r="R163" s="1920"/>
      <c r="S163" s="1444"/>
      <c r="T163" s="1444"/>
      <c r="U163" s="828"/>
      <c r="V163" s="1444"/>
      <c r="W163" s="1444"/>
      <c r="X163" s="1444"/>
      <c r="Y163" s="1444"/>
      <c r="Z163" s="1444"/>
      <c r="AA163" s="1916"/>
      <c r="AB163" s="850"/>
      <c r="AC163" s="850"/>
      <c r="AD163" s="850"/>
      <c r="AE163" s="850"/>
      <c r="AF163" s="1925">
        <v>11</v>
      </c>
    </row>
    <row s="14730" customFormat="1" customHeight="1" ht="11.549999999999999">
      <c r="A164" s="1271"/>
      <c r="B164" s="1920"/>
      <c r="C164" s="1920"/>
      <c r="D164" s="635"/>
      <c r="K164" s="1444"/>
      <c r="L164" s="1920"/>
      <c r="M164" s="1920"/>
      <c r="N164" s="1444"/>
      <c r="O164" s="1444"/>
      <c r="P164" s="1444"/>
      <c r="Q164" s="1444"/>
      <c r="R164" s="1920"/>
      <c r="S164" s="1444"/>
      <c r="T164" s="1444"/>
      <c r="U164" s="828"/>
      <c r="V164" s="1444"/>
      <c r="W164" s="1444"/>
      <c r="X164" s="1444"/>
      <c r="Y164" s="1444"/>
      <c r="Z164" s="1444"/>
      <c r="AA164" s="1916"/>
      <c r="AB164" s="850"/>
      <c r="AC164" s="850"/>
      <c r="AD164" s="850"/>
      <c r="AE164" s="850"/>
      <c r="AF164" s="1925">
        <v>11</v>
      </c>
    </row>
    <row s="14730" customFormat="1" customHeight="1" ht="11.549999999999999">
      <c r="A165" s="1271"/>
      <c r="B165" s="1920"/>
      <c r="C165" s="1920"/>
      <c r="D165" s="635"/>
      <c r="K165" s="1444"/>
      <c r="L165" s="1920"/>
      <c r="M165" s="1920"/>
      <c r="N165" s="1444"/>
      <c r="O165" s="1444"/>
      <c r="P165" s="1444"/>
      <c r="Q165" s="1444"/>
      <c r="R165" s="1920"/>
      <c r="S165" s="1444"/>
      <c r="T165" s="1444"/>
      <c r="U165" s="828"/>
      <c r="V165" s="1444"/>
      <c r="W165" s="1444"/>
      <c r="X165" s="1444"/>
      <c r="Y165" s="1444"/>
      <c r="Z165" s="1444"/>
      <c r="AA165" s="1916"/>
      <c r="AB165" s="850"/>
      <c r="AC165" s="850"/>
      <c r="AD165" s="850"/>
      <c r="AE165" s="850"/>
      <c r="AF165" s="1925">
        <v>11</v>
      </c>
    </row>
    <row s="14730" customFormat="1" customHeight="1" ht="11.549999999999999">
      <c r="A166" s="1271"/>
      <c r="B166" s="1920"/>
      <c r="C166" s="1920"/>
      <c r="D166" s="635"/>
      <c r="K166" s="1444"/>
      <c r="L166" s="1920"/>
      <c r="M166" s="1920"/>
      <c r="N166" s="1444"/>
      <c r="O166" s="1444"/>
      <c r="P166" s="1444"/>
      <c r="Q166" s="1444"/>
      <c r="R166" s="1920"/>
      <c r="S166" s="1444"/>
      <c r="T166" s="1444"/>
      <c r="U166" s="828"/>
      <c r="V166" s="1444"/>
      <c r="W166" s="1444"/>
      <c r="X166" s="1444"/>
      <c r="Y166" s="1444"/>
      <c r="Z166" s="1444"/>
      <c r="AA166" s="1916"/>
      <c r="AB166" s="850"/>
      <c r="AC166" s="850"/>
      <c r="AD166" s="850"/>
      <c r="AE166" s="850"/>
      <c r="AF166" s="1925">
        <v>11</v>
      </c>
    </row>
    <row s="14730" customFormat="1" customHeight="1" ht="11.549999999999999">
      <c r="A167" s="1271"/>
      <c r="B167" s="1920"/>
      <c r="C167" s="1920"/>
      <c r="D167" s="635"/>
      <c r="K167" s="1444"/>
      <c r="L167" s="1920"/>
      <c r="M167" s="1920"/>
      <c r="N167" s="1444"/>
      <c r="O167" s="1444"/>
      <c r="P167" s="1444"/>
      <c r="Q167" s="1444"/>
      <c r="R167" s="1920"/>
      <c r="S167" s="1444"/>
      <c r="T167" s="1444"/>
      <c r="U167" s="828"/>
      <c r="V167" s="1444"/>
      <c r="W167" s="1444"/>
      <c r="X167" s="1444"/>
      <c r="Y167" s="1444"/>
      <c r="Z167" s="1444"/>
      <c r="AA167" s="1916"/>
      <c r="AB167" s="850"/>
      <c r="AC167" s="850"/>
      <c r="AD167" s="850"/>
      <c r="AE167" s="850"/>
      <c r="AF167" s="1925">
        <v>11</v>
      </c>
    </row>
    <row s="14730" customFormat="1" customHeight="1" ht="11.549999999999999">
      <c r="A168" s="1271"/>
      <c r="B168" s="1920"/>
      <c r="C168" s="1920"/>
      <c r="D168" s="635"/>
      <c r="K168" s="1444"/>
      <c r="L168" s="1920"/>
      <c r="M168" s="1920"/>
      <c r="N168" s="1444"/>
      <c r="O168" s="1444"/>
      <c r="P168" s="1444"/>
      <c r="Q168" s="1444"/>
      <c r="R168" s="1920"/>
      <c r="S168" s="1444"/>
      <c r="T168" s="1444"/>
      <c r="U168" s="828"/>
      <c r="V168" s="1444"/>
      <c r="W168" s="1444"/>
      <c r="X168" s="1444"/>
      <c r="Y168" s="1444"/>
      <c r="Z168" s="1444"/>
      <c r="AA168" s="1916"/>
      <c r="AB168" s="850"/>
      <c r="AC168" s="850"/>
      <c r="AD168" s="850"/>
      <c r="AE168" s="850"/>
      <c r="AF168" s="1925">
        <v>11</v>
      </c>
    </row>
    <row s="14730" customFormat="1" customHeight="1" ht="11.549999999999999">
      <c r="A169" s="1271"/>
      <c r="B169" s="1920"/>
      <c r="C169" s="1920"/>
      <c r="D169" s="635"/>
      <c r="K169" s="1444"/>
      <c r="L169" s="1920"/>
      <c r="M169" s="1920"/>
      <c r="N169" s="1444"/>
      <c r="O169" s="1444"/>
      <c r="P169" s="1444"/>
      <c r="Q169" s="1444"/>
      <c r="R169" s="1920"/>
      <c r="S169" s="1444"/>
      <c r="T169" s="1444"/>
      <c r="U169" s="828"/>
      <c r="V169" s="1444"/>
      <c r="W169" s="1444"/>
      <c r="X169" s="1444"/>
      <c r="Y169" s="1444"/>
      <c r="Z169" s="1444"/>
      <c r="AA169" s="1916"/>
      <c r="AB169" s="850"/>
      <c r="AC169" s="850"/>
      <c r="AD169" s="850"/>
      <c r="AE169" s="850"/>
      <c r="AF169" s="1925">
        <v>11</v>
      </c>
    </row>
    <row s="14730" customFormat="1" customHeight="1" ht="11.549999999999999">
      <c r="A170" s="1271"/>
      <c r="B170" s="1920"/>
      <c r="C170" s="1920"/>
      <c r="D170" s="635"/>
      <c r="K170" s="1444"/>
      <c r="L170" s="1920"/>
      <c r="M170" s="1920"/>
      <c r="N170" s="1444"/>
      <c r="O170" s="1444"/>
      <c r="P170" s="1444"/>
      <c r="Q170" s="1444"/>
      <c r="R170" s="1920"/>
      <c r="S170" s="1444"/>
      <c r="T170" s="1444"/>
      <c r="U170" s="828"/>
      <c r="V170" s="1444"/>
      <c r="W170" s="1444"/>
      <c r="X170" s="1444"/>
      <c r="Y170" s="1444"/>
      <c r="Z170" s="1444"/>
      <c r="AA170" s="1916"/>
      <c r="AB170" s="850"/>
      <c r="AC170" s="850"/>
      <c r="AD170" s="850"/>
      <c r="AE170" s="850"/>
      <c r="AF170" s="1925">
        <v>11</v>
      </c>
    </row>
    <row s="14730" customFormat="1" customHeight="1" ht="11.549999999999999">
      <c r="A171" s="1271"/>
      <c r="B171" s="1920"/>
      <c r="C171" s="1920"/>
      <c r="D171" s="635"/>
      <c r="K171" s="1444"/>
      <c r="L171" s="1920"/>
      <c r="M171" s="1920"/>
      <c r="N171" s="1444"/>
      <c r="O171" s="1444"/>
      <c r="P171" s="1444"/>
      <c r="Q171" s="1444"/>
      <c r="R171" s="1920"/>
      <c r="S171" s="1444"/>
      <c r="T171" s="1444"/>
      <c r="U171" s="828"/>
      <c r="V171" s="1444"/>
      <c r="W171" s="1444"/>
      <c r="X171" s="1444"/>
      <c r="Y171" s="1444"/>
      <c r="Z171" s="1444"/>
      <c r="AA171" s="1916"/>
      <c r="AB171" s="850"/>
      <c r="AC171" s="850"/>
      <c r="AD171" s="850"/>
      <c r="AE171" s="850"/>
      <c r="AF171" s="1925">
        <v>11</v>
      </c>
    </row>
    <row s="14730" customFormat="1" customHeight="1" ht="11.549999999999999">
      <c r="A172" s="1271"/>
      <c r="B172" s="1920"/>
      <c r="C172" s="1920"/>
      <c r="D172" s="635"/>
      <c r="K172" s="1444"/>
      <c r="L172" s="1920"/>
      <c r="M172" s="1920"/>
      <c r="N172" s="1444"/>
      <c r="O172" s="1444"/>
      <c r="P172" s="1444"/>
      <c r="Q172" s="1444"/>
      <c r="R172" s="1920"/>
      <c r="S172" s="1444"/>
      <c r="T172" s="1444"/>
      <c r="U172" s="828"/>
      <c r="V172" s="1444"/>
      <c r="W172" s="1444"/>
      <c r="X172" s="1444"/>
      <c r="Y172" s="1444"/>
      <c r="Z172" s="1444"/>
      <c r="AA172" s="1916"/>
      <c r="AB172" s="850"/>
      <c r="AC172" s="850"/>
      <c r="AD172" s="850"/>
      <c r="AE172" s="850"/>
      <c r="AF172" s="1925">
        <v>11</v>
      </c>
    </row>
    <row s="14730" customFormat="1" customHeight="1" ht="11.549999999999999">
      <c r="A173" s="1271"/>
      <c r="B173" s="1920"/>
      <c r="C173" s="1920"/>
      <c r="D173" s="635"/>
      <c r="K173" s="1444"/>
      <c r="L173" s="1920"/>
      <c r="M173" s="1920"/>
      <c r="N173" s="1444"/>
      <c r="O173" s="1444"/>
      <c r="P173" s="1444"/>
      <c r="Q173" s="1444"/>
      <c r="R173" s="1920"/>
      <c r="S173" s="1444"/>
      <c r="T173" s="1444"/>
      <c r="U173" s="828"/>
      <c r="V173" s="1444"/>
      <c r="W173" s="1444"/>
      <c r="X173" s="1444"/>
      <c r="Y173" s="1444"/>
      <c r="Z173" s="1444"/>
      <c r="AA173" s="1916"/>
      <c r="AB173" s="850"/>
      <c r="AC173" s="850"/>
      <c r="AD173" s="850"/>
      <c r="AE173" s="850"/>
      <c r="AF173" s="1925">
        <v>11</v>
      </c>
    </row>
    <row s="14730" customFormat="1" customHeight="1" ht="11.549999999999999">
      <c r="A174" s="1271"/>
      <c r="B174" s="1920"/>
      <c r="C174" s="1920"/>
      <c r="D174" s="635"/>
      <c r="K174" s="1444"/>
      <c r="L174" s="1920"/>
      <c r="M174" s="1920"/>
      <c r="N174" s="1444"/>
      <c r="O174" s="1444"/>
      <c r="P174" s="1444"/>
      <c r="Q174" s="1444"/>
      <c r="R174" s="1920"/>
      <c r="S174" s="1444"/>
      <c r="T174" s="1444"/>
      <c r="U174" s="828"/>
      <c r="V174" s="1444"/>
      <c r="W174" s="1444"/>
      <c r="X174" s="1444"/>
      <c r="Y174" s="1444"/>
      <c r="Z174" s="1444"/>
      <c r="AA174" s="1916"/>
      <c r="AB174" s="850"/>
      <c r="AC174" s="850"/>
      <c r="AD174" s="850"/>
      <c r="AE174" s="850"/>
      <c r="AF174" s="1925">
        <v>11</v>
      </c>
    </row>
    <row s="14730" customFormat="1" customHeight="1" ht="11.549999999999999">
      <c r="A175" s="1271"/>
      <c r="B175" s="1920"/>
      <c r="C175" s="1920"/>
      <c r="D175" s="635"/>
      <c r="K175" s="1444"/>
      <c r="L175" s="1920"/>
      <c r="M175" s="1920"/>
      <c r="N175" s="1444"/>
      <c r="O175" s="1444"/>
      <c r="P175" s="1444"/>
      <c r="Q175" s="1444"/>
      <c r="R175" s="1920"/>
      <c r="S175" s="1444"/>
      <c r="T175" s="1444"/>
      <c r="U175" s="828"/>
      <c r="V175" s="1444"/>
      <c r="W175" s="1444"/>
      <c r="X175" s="1444"/>
      <c r="Y175" s="1444"/>
      <c r="Z175" s="1444"/>
      <c r="AA175" s="1916"/>
      <c r="AB175" s="850"/>
      <c r="AC175" s="850"/>
      <c r="AD175" s="850"/>
      <c r="AE175" s="850"/>
      <c r="AF175" s="1925">
        <v>11</v>
      </c>
    </row>
    <row s="14730" customFormat="1" customHeight="1" ht="11.549999999999999">
      <c r="A176" s="1271"/>
      <c r="B176" s="1920"/>
      <c r="C176" s="1920"/>
      <c r="D176" s="635"/>
      <c r="K176" s="1444"/>
      <c r="L176" s="1920"/>
      <c r="M176" s="1920"/>
      <c r="N176" s="1444"/>
      <c r="O176" s="1444"/>
      <c r="P176" s="1444"/>
      <c r="Q176" s="1444"/>
      <c r="R176" s="1920"/>
      <c r="S176" s="1444"/>
      <c r="T176" s="1444"/>
      <c r="U176" s="828"/>
      <c r="V176" s="1444"/>
      <c r="W176" s="1444"/>
      <c r="X176" s="1444"/>
      <c r="Y176" s="1444"/>
      <c r="Z176" s="1444"/>
      <c r="AA176" s="1916"/>
      <c r="AB176" s="850"/>
      <c r="AC176" s="850"/>
      <c r="AD176" s="850"/>
      <c r="AE176" s="850"/>
      <c r="AF176" s="1925">
        <v>11</v>
      </c>
    </row>
    <row s="14730" customFormat="1" customHeight="1" ht="11.549999999999999">
      <c r="A177" s="1271"/>
      <c r="B177" s="1920"/>
      <c r="C177" s="1920"/>
      <c r="D177" s="635"/>
      <c r="K177" s="1444"/>
      <c r="L177" s="1920"/>
      <c r="M177" s="1920"/>
      <c r="N177" s="1444"/>
      <c r="O177" s="1444"/>
      <c r="P177" s="1444"/>
      <c r="Q177" s="1444"/>
      <c r="R177" s="1920"/>
      <c r="S177" s="1444"/>
      <c r="T177" s="1444"/>
      <c r="U177" s="828"/>
      <c r="V177" s="1444"/>
      <c r="W177" s="1444"/>
      <c r="X177" s="1444"/>
      <c r="Y177" s="1444"/>
      <c r="Z177" s="1444"/>
      <c r="AA177" s="1916"/>
      <c r="AB177" s="850"/>
      <c r="AC177" s="850"/>
      <c r="AD177" s="850"/>
      <c r="AE177" s="850"/>
      <c r="AF177" s="1925">
        <v>11</v>
      </c>
    </row>
    <row s="14730" customFormat="1" customHeight="1" ht="11.549999999999999">
      <c r="A178" s="1271"/>
      <c r="B178" s="1920"/>
      <c r="C178" s="1920"/>
      <c r="D178" s="635"/>
      <c r="K178" s="1444"/>
      <c r="L178" s="1920"/>
      <c r="M178" s="1920"/>
      <c r="N178" s="1444"/>
      <c r="O178" s="1444"/>
      <c r="P178" s="1444"/>
      <c r="Q178" s="1444"/>
      <c r="R178" s="1920"/>
      <c r="S178" s="1444"/>
      <c r="T178" s="1444"/>
      <c r="U178" s="828"/>
      <c r="V178" s="1444"/>
      <c r="W178" s="1444"/>
      <c r="X178" s="1444"/>
      <c r="Y178" s="1444"/>
      <c r="Z178" s="1444"/>
      <c r="AA178" s="1916"/>
      <c r="AB178" s="850"/>
      <c r="AC178" s="850"/>
      <c r="AD178" s="850"/>
      <c r="AE178" s="850"/>
      <c r="AF178" s="1925">
        <v>11</v>
      </c>
    </row>
    <row s="14730" customFormat="1" customHeight="1" ht="11.549999999999999">
      <c r="A179" s="1271"/>
      <c r="B179" s="1920"/>
      <c r="C179" s="1920"/>
      <c r="D179" s="635"/>
      <c r="K179" s="1444"/>
      <c r="L179" s="1920"/>
      <c r="M179" s="1920"/>
      <c r="N179" s="1444"/>
      <c r="O179" s="1444"/>
      <c r="P179" s="1444"/>
      <c r="Q179" s="1444"/>
      <c r="R179" s="1920"/>
      <c r="S179" s="1444"/>
      <c r="T179" s="1444"/>
      <c r="U179" s="828"/>
      <c r="V179" s="1444"/>
      <c r="W179" s="1444"/>
      <c r="X179" s="1444"/>
      <c r="Y179" s="1444"/>
      <c r="Z179" s="1444"/>
      <c r="AA179" s="1916"/>
      <c r="AB179" s="850"/>
      <c r="AC179" s="850"/>
      <c r="AD179" s="850"/>
      <c r="AE179" s="850"/>
      <c r="AF179" s="1925">
        <v>11</v>
      </c>
    </row>
    <row s="14730" customFormat="1" customHeight="1" ht="11.549999999999999">
      <c r="A180" s="1271"/>
      <c r="B180" s="1920"/>
      <c r="C180" s="1920"/>
      <c r="D180" s="635"/>
      <c r="K180" s="1444"/>
      <c r="L180" s="1920"/>
      <c r="M180" s="1920"/>
      <c r="N180" s="1444"/>
      <c r="O180" s="1444"/>
      <c r="P180" s="1444"/>
      <c r="Q180" s="1444"/>
      <c r="R180" s="1920"/>
      <c r="S180" s="1444"/>
      <c r="T180" s="1444"/>
      <c r="U180" s="828"/>
      <c r="V180" s="1444"/>
      <c r="W180" s="1444"/>
      <c r="X180" s="1444"/>
      <c r="Y180" s="1444"/>
      <c r="Z180" s="1444"/>
      <c r="AA180" s="1916"/>
      <c r="AB180" s="850"/>
      <c r="AC180" s="850"/>
      <c r="AD180" s="850"/>
      <c r="AE180" s="850"/>
      <c r="AF180" s="1925">
        <v>11</v>
      </c>
    </row>
    <row s="14730" customFormat="1" customHeight="1" ht="11.549999999999999">
      <c r="A181" s="1271"/>
      <c r="B181" s="1920"/>
      <c r="C181" s="1920"/>
      <c r="D181" s="635"/>
      <c r="K181" s="1444"/>
      <c r="L181" s="1920"/>
      <c r="M181" s="1920"/>
      <c r="N181" s="1444"/>
      <c r="O181" s="1444"/>
      <c r="P181" s="1444"/>
      <c r="Q181" s="1444"/>
      <c r="R181" s="1920"/>
      <c r="S181" s="1444"/>
      <c r="T181" s="1444"/>
      <c r="U181" s="828"/>
      <c r="V181" s="1444"/>
      <c r="W181" s="1444"/>
      <c r="X181" s="1444"/>
      <c r="Y181" s="1444"/>
      <c r="Z181" s="1444"/>
      <c r="AA181" s="1916"/>
      <c r="AB181" s="850"/>
      <c r="AC181" s="850"/>
      <c r="AD181" s="850"/>
      <c r="AE181" s="850"/>
      <c r="AF181" s="1925">
        <v>11</v>
      </c>
    </row>
    <row s="14730" customFormat="1" customHeight="1" ht="11.549999999999999">
      <c r="A182" s="1271"/>
      <c r="B182" s="1920"/>
      <c r="C182" s="1920"/>
      <c r="D182" s="635"/>
      <c r="K182" s="1444"/>
      <c r="L182" s="1920"/>
      <c r="M182" s="1920"/>
      <c r="N182" s="1444"/>
      <c r="O182" s="1444"/>
      <c r="P182" s="1444"/>
      <c r="Q182" s="1444"/>
      <c r="R182" s="1920"/>
      <c r="S182" s="1444"/>
      <c r="T182" s="1444"/>
      <c r="U182" s="828"/>
      <c r="V182" s="1444"/>
      <c r="W182" s="1444"/>
      <c r="X182" s="1444"/>
      <c r="Y182" s="1444"/>
      <c r="Z182" s="1444"/>
      <c r="AA182" s="1916"/>
      <c r="AB182" s="850"/>
      <c r="AC182" s="850"/>
      <c r="AD182" s="850"/>
      <c r="AE182" s="850"/>
      <c r="AF182" s="1925">
        <v>11</v>
      </c>
    </row>
    <row s="14730" customFormat="1" customHeight="1" ht="11.549999999999999">
      <c r="A183" s="1271"/>
      <c r="B183" s="1920"/>
      <c r="C183" s="1920"/>
      <c r="D183" s="635"/>
      <c r="K183" s="1444"/>
      <c r="L183" s="1920"/>
      <c r="M183" s="1920"/>
      <c r="N183" s="1444"/>
      <c r="O183" s="1444"/>
      <c r="P183" s="1444"/>
      <c r="Q183" s="1444"/>
      <c r="R183" s="1920"/>
      <c r="S183" s="1444"/>
      <c r="T183" s="1444"/>
      <c r="U183" s="828"/>
      <c r="V183" s="1444"/>
      <c r="W183" s="1444"/>
      <c r="X183" s="1444"/>
      <c r="Y183" s="1444"/>
      <c r="Z183" s="1444"/>
      <c r="AA183" s="1916"/>
      <c r="AB183" s="850"/>
      <c r="AC183" s="850"/>
      <c r="AD183" s="850"/>
      <c r="AE183" s="850"/>
      <c r="AF183" s="1925">
        <v>11</v>
      </c>
    </row>
    <row s="14730" customFormat="1" customHeight="1" ht="11.549999999999999">
      <c r="A184" s="1271"/>
      <c r="B184" s="1920"/>
      <c r="C184" s="1920"/>
      <c r="D184" s="635"/>
      <c r="K184" s="1444"/>
      <c r="L184" s="1920"/>
      <c r="M184" s="1920"/>
      <c r="N184" s="1444"/>
      <c r="O184" s="1444"/>
      <c r="P184" s="1444"/>
      <c r="Q184" s="1444"/>
      <c r="R184" s="1920"/>
      <c r="S184" s="1444"/>
      <c r="T184" s="1444"/>
      <c r="U184" s="828"/>
      <c r="V184" s="1444"/>
      <c r="W184" s="1444"/>
      <c r="X184" s="1444"/>
      <c r="Y184" s="1444"/>
      <c r="Z184" s="1444"/>
      <c r="AA184" s="1916"/>
      <c r="AB184" s="850"/>
      <c r="AC184" s="850"/>
      <c r="AD184" s="850"/>
      <c r="AE184" s="850"/>
      <c r="AF184" s="1925">
        <v>11</v>
      </c>
    </row>
    <row s="14730" customFormat="1" customHeight="1" ht="11.549999999999999">
      <c r="A185" s="1271"/>
      <c r="B185" s="1920"/>
      <c r="C185" s="1920"/>
      <c r="D185" s="635"/>
      <c r="K185" s="1444"/>
      <c r="L185" s="1920"/>
      <c r="M185" s="1920"/>
      <c r="N185" s="1444"/>
      <c r="O185" s="1444"/>
      <c r="P185" s="1444"/>
      <c r="Q185" s="1444"/>
      <c r="R185" s="1920"/>
      <c r="S185" s="1444"/>
      <c r="T185" s="1444"/>
      <c r="U185" s="828"/>
      <c r="V185" s="1444"/>
      <c r="W185" s="1444"/>
      <c r="X185" s="1444"/>
      <c r="Y185" s="1444"/>
      <c r="Z185" s="1444"/>
      <c r="AA185" s="1916"/>
      <c r="AB185" s="850"/>
      <c r="AC185" s="850"/>
      <c r="AD185" s="850"/>
      <c r="AE185" s="850"/>
      <c r="AF185" s="1925">
        <v>11</v>
      </c>
    </row>
    <row s="14730" customFormat="1" customHeight="1" ht="11.549999999999999">
      <c r="A186" s="1271"/>
      <c r="B186" s="1920"/>
      <c r="C186" s="1920"/>
      <c r="D186" s="635"/>
      <c r="K186" s="1444"/>
      <c r="L186" s="1920"/>
      <c r="M186" s="1920"/>
      <c r="N186" s="1444"/>
      <c r="O186" s="1444"/>
      <c r="P186" s="1444"/>
      <c r="Q186" s="1444"/>
      <c r="R186" s="1920"/>
      <c r="S186" s="1444"/>
      <c r="T186" s="1444"/>
      <c r="U186" s="828"/>
      <c r="V186" s="1444"/>
      <c r="W186" s="1444"/>
      <c r="X186" s="1444"/>
      <c r="Y186" s="1444"/>
      <c r="Z186" s="1444"/>
      <c r="AA186" s="1916"/>
      <c r="AB186" s="850"/>
      <c r="AC186" s="850"/>
      <c r="AD186" s="850"/>
      <c r="AE186" s="850"/>
      <c r="AF186" s="1925">
        <v>11</v>
      </c>
    </row>
    <row s="14730" customFormat="1" customHeight="1" ht="11.549999999999999">
      <c r="A187" s="1271"/>
      <c r="B187" s="1920"/>
      <c r="C187" s="1920"/>
      <c r="D187" s="635"/>
      <c r="K187" s="1444"/>
      <c r="L187" s="1920"/>
      <c r="M187" s="1920"/>
      <c r="N187" s="1444"/>
      <c r="O187" s="1444"/>
      <c r="P187" s="1444"/>
      <c r="Q187" s="1444"/>
      <c r="R187" s="1920"/>
      <c r="S187" s="1444"/>
      <c r="T187" s="1444"/>
      <c r="U187" s="828"/>
      <c r="V187" s="1444"/>
      <c r="W187" s="1444"/>
      <c r="X187" s="1444"/>
      <c r="Y187" s="1444"/>
      <c r="Z187" s="1444"/>
      <c r="AA187" s="1916"/>
      <c r="AB187" s="850"/>
      <c r="AC187" s="850"/>
      <c r="AD187" s="850"/>
      <c r="AE187" s="850"/>
      <c r="AF187" s="1925">
        <v>11</v>
      </c>
    </row>
    <row s="14730" customFormat="1" customHeight="1" ht="11.549999999999999">
      <c r="A188" s="1271"/>
      <c r="B188" s="1920"/>
      <c r="C188" s="1920"/>
      <c r="D188" s="635"/>
      <c r="K188" s="1444"/>
      <c r="L188" s="1920"/>
      <c r="M188" s="1920"/>
      <c r="N188" s="1444"/>
      <c r="O188" s="1444"/>
      <c r="P188" s="1444"/>
      <c r="Q188" s="1444"/>
      <c r="R188" s="1920"/>
      <c r="S188" s="1444"/>
      <c r="T188" s="1444"/>
      <c r="U188" s="828"/>
      <c r="V188" s="1444"/>
      <c r="W188" s="1444"/>
      <c r="X188" s="1444"/>
      <c r="Y188" s="1444"/>
      <c r="Z188" s="1444"/>
      <c r="AA188" s="1916"/>
      <c r="AB188" s="850"/>
      <c r="AC188" s="850"/>
      <c r="AD188" s="850"/>
      <c r="AE188" s="850"/>
      <c r="AF188" s="1925">
        <v>11</v>
      </c>
    </row>
    <row s="14730" customFormat="1" customHeight="1" ht="11.549999999999999">
      <c r="A189" s="1271"/>
      <c r="B189" s="1920"/>
      <c r="C189" s="1920"/>
      <c r="D189" s="635"/>
      <c r="K189" s="1444"/>
      <c r="L189" s="1920"/>
      <c r="M189" s="1920"/>
      <c r="N189" s="1444"/>
      <c r="O189" s="1444"/>
      <c r="P189" s="1444"/>
      <c r="Q189" s="1444"/>
      <c r="R189" s="1920"/>
      <c r="S189" s="1444"/>
      <c r="T189" s="1444"/>
      <c r="U189" s="828"/>
      <c r="V189" s="1444"/>
      <c r="W189" s="1444"/>
      <c r="X189" s="1444"/>
      <c r="Y189" s="1444"/>
      <c r="Z189" s="1444"/>
      <c r="AA189" s="1916"/>
      <c r="AB189" s="850"/>
      <c r="AC189" s="850"/>
      <c r="AD189" s="850"/>
      <c r="AE189" s="850"/>
      <c r="AF189" s="1925">
        <v>11</v>
      </c>
    </row>
    <row s="14730" customFormat="1" customHeight="1" ht="11.549999999999999">
      <c r="A190" s="1271"/>
      <c r="B190" s="1920"/>
      <c r="C190" s="1920"/>
      <c r="D190" s="635"/>
      <c r="K190" s="1444"/>
      <c r="L190" s="1920"/>
      <c r="M190" s="1920"/>
      <c r="N190" s="1444"/>
      <c r="O190" s="1444"/>
      <c r="P190" s="1444"/>
      <c r="Q190" s="1444"/>
      <c r="R190" s="1920"/>
      <c r="S190" s="1444"/>
      <c r="T190" s="1444"/>
      <c r="U190" s="828"/>
      <c r="V190" s="1444"/>
      <c r="W190" s="1444"/>
      <c r="X190" s="1444"/>
      <c r="Y190" s="1444"/>
      <c r="Z190" s="1444"/>
      <c r="AA190" s="1916"/>
      <c r="AB190" s="850"/>
      <c r="AC190" s="850"/>
      <c r="AD190" s="850"/>
      <c r="AE190" s="850"/>
      <c r="AF190" s="1925">
        <v>11</v>
      </c>
    </row>
    <row s="14730" customFormat="1" customHeight="1" ht="11.549999999999999">
      <c r="A191" s="1271"/>
      <c r="B191" s="1920"/>
      <c r="C191" s="1920"/>
      <c r="D191" s="635"/>
      <c r="K191" s="1444"/>
      <c r="L191" s="1920"/>
      <c r="M191" s="1920"/>
      <c r="N191" s="1444"/>
      <c r="O191" s="1444"/>
      <c r="P191" s="1444"/>
      <c r="Q191" s="1444"/>
      <c r="R191" s="1920"/>
      <c r="S191" s="1444"/>
      <c r="T191" s="1444"/>
      <c r="U191" s="828"/>
      <c r="V191" s="1444"/>
      <c r="W191" s="1444"/>
      <c r="X191" s="1444"/>
      <c r="Y191" s="1444"/>
      <c r="Z191" s="1444"/>
      <c r="AA191" s="1916"/>
      <c r="AB191" s="850"/>
      <c r="AC191" s="850"/>
      <c r="AD191" s="850"/>
      <c r="AE191" s="850"/>
      <c r="AF191" s="1925">
        <v>11</v>
      </c>
    </row>
    <row s="14730" customFormat="1" customHeight="1" ht="11.549999999999999">
      <c r="A192" s="1271"/>
      <c r="B192" s="1920"/>
      <c r="C192" s="1920"/>
      <c r="D192" s="635"/>
      <c r="K192" s="1444"/>
      <c r="L192" s="1920"/>
      <c r="M192" s="1920"/>
      <c r="N192" s="1444"/>
      <c r="O192" s="1444"/>
      <c r="P192" s="1444"/>
      <c r="Q192" s="1444"/>
      <c r="R192" s="1920"/>
      <c r="S192" s="1444"/>
      <c r="T192" s="1444"/>
      <c r="U192" s="828"/>
      <c r="V192" s="1444"/>
      <c r="W192" s="1444"/>
      <c r="X192" s="1444"/>
      <c r="Y192" s="1444"/>
      <c r="Z192" s="1444"/>
      <c r="AA192" s="1916"/>
      <c r="AB192" s="850"/>
      <c r="AC192" s="850"/>
      <c r="AD192" s="850"/>
      <c r="AE192" s="850"/>
      <c r="AF192" s="1925">
        <v>11</v>
      </c>
    </row>
    <row s="14730" customFormat="1" customHeight="1" ht="11.549999999999999">
      <c r="A193" s="1271"/>
      <c r="B193" s="1920"/>
      <c r="C193" s="1920"/>
      <c r="D193" s="635"/>
      <c r="K193" s="1444"/>
      <c r="L193" s="1920"/>
      <c r="M193" s="1920"/>
      <c r="N193" s="1444"/>
      <c r="O193" s="1444"/>
      <c r="P193" s="1444"/>
      <c r="Q193" s="1444"/>
      <c r="R193" s="1920"/>
      <c r="S193" s="1444"/>
      <c r="T193" s="1444"/>
      <c r="U193" s="828"/>
      <c r="V193" s="1444"/>
      <c r="W193" s="1444"/>
      <c r="X193" s="1444"/>
      <c r="Y193" s="1444"/>
      <c r="Z193" s="1444"/>
      <c r="AA193" s="1916"/>
      <c r="AB193" s="850"/>
      <c r="AC193" s="850"/>
      <c r="AD193" s="850"/>
      <c r="AE193" s="850"/>
      <c r="AF193" s="1925">
        <v>11</v>
      </c>
    </row>
    <row s="14730" customFormat="1" customHeight="1" ht="11.549999999999999">
      <c r="A194" s="1271"/>
      <c r="B194" s="1920"/>
      <c r="C194" s="1920"/>
      <c r="D194" s="635"/>
      <c r="K194" s="1444"/>
      <c r="L194" s="1920"/>
      <c r="M194" s="1920"/>
      <c r="N194" s="1444"/>
      <c r="O194" s="1444"/>
      <c r="P194" s="1444"/>
      <c r="Q194" s="1444"/>
      <c r="R194" s="1920"/>
      <c r="S194" s="1444"/>
      <c r="T194" s="1444"/>
      <c r="U194" s="828"/>
      <c r="V194" s="1444"/>
      <c r="W194" s="1444"/>
      <c r="X194" s="1444"/>
      <c r="Y194" s="1444"/>
      <c r="Z194" s="1444"/>
      <c r="AA194" s="1916"/>
      <c r="AB194" s="850"/>
      <c r="AC194" s="850"/>
      <c r="AD194" s="850"/>
      <c r="AE194" s="850"/>
      <c r="AF194" s="1925">
        <v>11</v>
      </c>
    </row>
    <row s="14730" customFormat="1" customHeight="1" ht="11.549999999999999">
      <c r="A195" s="1271"/>
      <c r="B195" s="1920"/>
      <c r="C195" s="1920"/>
      <c r="D195" s="635"/>
      <c r="K195" s="1444"/>
      <c r="L195" s="1920"/>
      <c r="M195" s="1920"/>
      <c r="N195" s="1444"/>
      <c r="O195" s="1444"/>
      <c r="P195" s="1444"/>
      <c r="Q195" s="1444"/>
      <c r="R195" s="1920"/>
      <c r="S195" s="1444"/>
      <c r="T195" s="1444"/>
      <c r="U195" s="828"/>
      <c r="V195" s="1444"/>
      <c r="W195" s="1444"/>
      <c r="X195" s="1444"/>
      <c r="Y195" s="1444"/>
      <c r="Z195" s="1444"/>
      <c r="AA195" s="1916"/>
      <c r="AB195" s="850"/>
      <c r="AC195" s="850"/>
      <c r="AD195" s="850"/>
      <c r="AE195" s="850"/>
      <c r="AF195" s="1925">
        <v>11</v>
      </c>
    </row>
    <row s="14730" customFormat="1" customHeight="1" ht="11.549999999999999">
      <c r="A196" s="1271"/>
      <c r="B196" s="1920"/>
      <c r="C196" s="1920"/>
      <c r="D196" s="635"/>
      <c r="K196" s="1444"/>
      <c r="L196" s="1920"/>
      <c r="M196" s="1920"/>
      <c r="N196" s="1444"/>
      <c r="O196" s="1444"/>
      <c r="P196" s="1444"/>
      <c r="Q196" s="1444"/>
      <c r="R196" s="1920"/>
      <c r="S196" s="1444"/>
      <c r="T196" s="1444"/>
      <c r="U196" s="828"/>
      <c r="V196" s="1444"/>
      <c r="W196" s="1444"/>
      <c r="X196" s="1444"/>
      <c r="Y196" s="1444"/>
      <c r="Z196" s="1444"/>
      <c r="AA196" s="1916"/>
      <c r="AB196" s="850"/>
      <c r="AC196" s="850"/>
      <c r="AD196" s="850"/>
      <c r="AE196" s="850"/>
      <c r="AF196" s="1925">
        <v>11</v>
      </c>
    </row>
    <row s="14730" customFormat="1" customHeight="1" ht="11.549999999999999">
      <c r="A197" s="1271"/>
      <c r="B197" s="1920"/>
      <c r="C197" s="1920"/>
      <c r="D197" s="635"/>
      <c r="K197" s="1444"/>
      <c r="L197" s="1920"/>
      <c r="M197" s="1920"/>
      <c r="N197" s="1444"/>
      <c r="O197" s="1444"/>
      <c r="P197" s="1444"/>
      <c r="Q197" s="1444"/>
      <c r="R197" s="1920"/>
      <c r="S197" s="1444"/>
      <c r="T197" s="1444"/>
      <c r="U197" s="828"/>
      <c r="V197" s="1444"/>
      <c r="W197" s="1444"/>
      <c r="X197" s="1444"/>
      <c r="Y197" s="1444"/>
      <c r="Z197" s="1444"/>
      <c r="AA197" s="1916"/>
      <c r="AB197" s="850"/>
      <c r="AC197" s="850"/>
      <c r="AD197" s="850"/>
      <c r="AE197" s="850"/>
      <c r="AF197" s="1925">
        <v>11</v>
      </c>
    </row>
    <row s="14730" customFormat="1" customHeight="1" ht="11.549999999999999">
      <c r="A198" s="1271"/>
      <c r="B198" s="1920"/>
      <c r="C198" s="1920"/>
      <c r="D198" s="635"/>
      <c r="K198" s="1444"/>
      <c r="L198" s="1920"/>
      <c r="M198" s="1920"/>
      <c r="N198" s="1444"/>
      <c r="O198" s="1444"/>
      <c r="P198" s="1444"/>
      <c r="Q198" s="1444"/>
      <c r="R198" s="1920"/>
      <c r="S198" s="1444"/>
      <c r="T198" s="1444"/>
      <c r="U198" s="828"/>
      <c r="V198" s="1444"/>
      <c r="W198" s="1444"/>
      <c r="X198" s="1444"/>
      <c r="Y198" s="1444"/>
      <c r="Z198" s="1444"/>
      <c r="AA198" s="1916"/>
      <c r="AB198" s="850"/>
      <c r="AC198" s="850"/>
      <c r="AD198" s="850"/>
      <c r="AE198" s="850"/>
      <c r="AF198" s="1925">
        <v>11</v>
      </c>
    </row>
    <row s="14730" customFormat="1" customHeight="1" ht="11.549999999999999">
      <c r="A199" s="1271"/>
      <c r="B199" s="1920"/>
      <c r="C199" s="1920"/>
      <c r="D199" s="635"/>
      <c r="K199" s="1444"/>
      <c r="L199" s="1920"/>
      <c r="M199" s="1920"/>
      <c r="N199" s="1444"/>
      <c r="O199" s="1444"/>
      <c r="P199" s="1444"/>
      <c r="Q199" s="1444"/>
      <c r="R199" s="1920"/>
      <c r="S199" s="1444"/>
      <c r="T199" s="1444"/>
      <c r="U199" s="828"/>
      <c r="V199" s="1444"/>
      <c r="W199" s="1444"/>
      <c r="X199" s="1444"/>
      <c r="Y199" s="1444"/>
      <c r="Z199" s="1444"/>
      <c r="AA199" s="1916"/>
      <c r="AB199" s="850"/>
      <c r="AC199" s="850"/>
      <c r="AD199" s="850"/>
      <c r="AE199" s="850"/>
      <c r="AF199" s="1925">
        <v>11</v>
      </c>
    </row>
    <row s="14730" customFormat="1" customHeight="1" ht="11.549999999999999">
      <c r="A200" s="1271"/>
      <c r="B200" s="1920"/>
      <c r="C200" s="1920"/>
      <c r="D200" s="635"/>
      <c r="K200" s="1444"/>
      <c r="L200" s="1920"/>
      <c r="M200" s="1920"/>
      <c r="N200" s="1444"/>
      <c r="O200" s="1444"/>
      <c r="P200" s="1444"/>
      <c r="Q200" s="1444"/>
      <c r="R200" s="1920"/>
      <c r="S200" s="1444"/>
      <c r="T200" s="1444"/>
      <c r="U200" s="828"/>
      <c r="V200" s="1444"/>
      <c r="W200" s="1444"/>
      <c r="X200" s="1444"/>
      <c r="Y200" s="1444"/>
      <c r="Z200" s="1444"/>
      <c r="AA200" s="1916"/>
      <c r="AB200" s="850"/>
      <c r="AC200" s="850"/>
      <c r="AD200" s="850"/>
      <c r="AE200" s="850"/>
      <c r="AF200" s="1925">
        <v>11</v>
      </c>
    </row>
    <row s="14730" customFormat="1" customHeight="1" ht="11.549999999999999">
      <c r="A201" s="1271"/>
      <c r="B201" s="1920"/>
      <c r="C201" s="1920"/>
      <c r="D201" s="635"/>
      <c r="K201" s="1444"/>
      <c r="L201" s="1920"/>
      <c r="M201" s="1920"/>
      <c r="N201" s="1444"/>
      <c r="O201" s="1444"/>
      <c r="P201" s="1444"/>
      <c r="Q201" s="1444"/>
      <c r="R201" s="1920"/>
      <c r="S201" s="1444"/>
      <c r="T201" s="1444"/>
      <c r="U201" s="828"/>
      <c r="V201" s="1444"/>
      <c r="W201" s="1444"/>
      <c r="X201" s="1444"/>
      <c r="Y201" s="1444"/>
      <c r="Z201" s="1444"/>
      <c r="AA201" s="1916"/>
      <c r="AB201" s="850"/>
      <c r="AC201" s="850"/>
      <c r="AD201" s="850"/>
      <c r="AE201" s="850"/>
      <c r="AF201" s="1925">
        <v>11</v>
      </c>
    </row>
    <row s="14730" customFormat="1" customHeight="1" ht="11.549999999999999">
      <c r="A202" s="1271"/>
      <c r="B202" s="1920"/>
      <c r="C202" s="1920"/>
      <c r="D202" s="635"/>
      <c r="K202" s="1444"/>
      <c r="L202" s="1920"/>
      <c r="M202" s="1920"/>
      <c r="N202" s="1444"/>
      <c r="O202" s="1444"/>
      <c r="P202" s="1444"/>
      <c r="Q202" s="1444"/>
      <c r="R202" s="1920"/>
      <c r="S202" s="1444"/>
      <c r="T202" s="1444"/>
      <c r="U202" s="828"/>
      <c r="V202" s="1444"/>
      <c r="W202" s="1444"/>
      <c r="X202" s="1444"/>
      <c r="Y202" s="1444"/>
      <c r="Z202" s="1444"/>
      <c r="AA202" s="1916"/>
      <c r="AB202" s="850"/>
      <c r="AC202" s="850"/>
      <c r="AD202" s="850"/>
      <c r="AE202" s="850"/>
      <c r="AF202" s="1925">
        <v>11</v>
      </c>
    </row>
    <row customHeight="1" ht="11.549999999999999">
      <c r="AF203" s="1915">
        <v>11</v>
      </c>
    </row>
    <row customHeight="1" ht="11.549999999999999">
      <c r="AF204" s="1915">
        <v>11</v>
      </c>
    </row>
    <row customHeight="1" ht="11.549999999999999">
      <c r="AF205" s="1915">
        <v>11</v>
      </c>
    </row>
    <row customHeight="1" ht="11.549999999999999">
      <c r="A206" s="1274"/>
      <c r="B206" s="1915"/>
      <c r="D206" s="1915"/>
      <c r="K206" s="1915"/>
      <c r="N206" s="1915"/>
      <c r="O206" s="1915"/>
      <c r="P206" s="1915"/>
      <c r="Q206" s="1915"/>
      <c r="S206" s="1915"/>
      <c r="T206" s="1915"/>
      <c r="U206" s="1915"/>
      <c r="V206" s="1915"/>
      <c r="W206" s="1915"/>
      <c r="X206" s="1915"/>
      <c r="Y206" s="1915"/>
      <c r="Z206" s="1915"/>
      <c r="AA206" s="1915"/>
      <c r="AB206" s="1915"/>
      <c r="AC206" s="1915"/>
      <c r="AD206" s="1915"/>
      <c r="AE206" s="1915"/>
      <c r="AF206" s="1915">
        <v>11</v>
      </c>
    </row>
    <row customHeight="1" ht="11.549999999999999">
      <c r="A207" s="1274"/>
      <c r="B207" s="1915"/>
      <c r="D207" s="1915"/>
      <c r="K207" s="1915"/>
      <c r="N207" s="1915"/>
      <c r="O207" s="1915"/>
      <c r="P207" s="1915"/>
      <c r="Q207" s="1915"/>
      <c r="S207" s="1915"/>
      <c r="T207" s="1915"/>
      <c r="U207" s="1915"/>
      <c r="V207" s="1915"/>
      <c r="W207" s="1915"/>
      <c r="X207" s="1915"/>
      <c r="Y207" s="1915"/>
      <c r="Z207" s="1915"/>
      <c r="AA207" s="1915"/>
      <c r="AB207" s="1915"/>
      <c r="AC207" s="1915"/>
      <c r="AD207" s="1915"/>
      <c r="AE207" s="1915"/>
      <c r="AF207" s="1915">
        <v>11</v>
      </c>
    </row>
    <row customHeight="1" ht="11.549999999999999">
      <c r="A208" s="1274"/>
      <c r="B208" s="1915"/>
      <c r="D208" s="1915"/>
      <c r="K208" s="1915"/>
      <c r="N208" s="1915"/>
      <c r="O208" s="1915"/>
      <c r="P208" s="1915"/>
      <c r="Q208" s="1915"/>
      <c r="S208" s="1915"/>
      <c r="T208" s="1915"/>
      <c r="U208" s="1915"/>
      <c r="V208" s="1915"/>
      <c r="W208" s="1915"/>
      <c r="X208" s="1915"/>
      <c r="Y208" s="1915"/>
      <c r="Z208" s="1915"/>
      <c r="AA208" s="1915"/>
      <c r="AB208" s="1915"/>
      <c r="AC208" s="1915"/>
      <c r="AD208" s="1915"/>
      <c r="AE208" s="1915"/>
      <c r="AF208" s="1915">
        <v>11</v>
      </c>
    </row>
    <row customHeight="1" ht="11.549999999999999">
      <c r="A209" s="1274"/>
      <c r="B209" s="1915"/>
      <c r="D209" s="1915"/>
      <c r="K209" s="1915"/>
      <c r="N209" s="1915"/>
      <c r="O209" s="1915"/>
      <c r="P209" s="1915"/>
      <c r="Q209" s="1915"/>
      <c r="S209" s="1915"/>
      <c r="T209" s="1915"/>
      <c r="U209" s="1915"/>
      <c r="V209" s="1915"/>
      <c r="W209" s="1915"/>
      <c r="X209" s="1915"/>
      <c r="Y209" s="1915"/>
      <c r="Z209" s="1915"/>
      <c r="AA209" s="1915"/>
      <c r="AB209" s="1915"/>
      <c r="AC209" s="1915"/>
      <c r="AD209" s="1915"/>
      <c r="AE209" s="1915"/>
      <c r="AF209" s="1915">
        <v>11</v>
      </c>
    </row>
    <row customHeight="1" ht="11.549999999999999">
      <c r="A210" s="1274"/>
      <c r="B210" s="1915"/>
      <c r="D210" s="1915"/>
      <c r="K210" s="1915"/>
      <c r="N210" s="1915"/>
      <c r="O210" s="1915"/>
      <c r="P210" s="1915"/>
      <c r="Q210" s="1915"/>
      <c r="S210" s="1915"/>
      <c r="T210" s="1915"/>
      <c r="U210" s="1915"/>
      <c r="V210" s="1915"/>
      <c r="W210" s="1915"/>
      <c r="X210" s="1915"/>
      <c r="Y210" s="1915"/>
      <c r="Z210" s="1915"/>
      <c r="AA210" s="1915"/>
      <c r="AB210" s="1915"/>
      <c r="AC210" s="1915"/>
      <c r="AD210" s="1915"/>
      <c r="AE210" s="1915"/>
      <c r="AF210" s="1915">
        <v>11</v>
      </c>
    </row>
    <row customHeight="1" ht="11.549999999999999">
      <c r="A211" s="1274"/>
      <c r="B211" s="1915"/>
      <c r="D211" s="1915"/>
      <c r="K211" s="1915"/>
      <c r="N211" s="1915"/>
      <c r="O211" s="1915"/>
      <c r="P211" s="1915"/>
      <c r="Q211" s="1915"/>
      <c r="S211" s="1915"/>
      <c r="T211" s="1915"/>
      <c r="U211" s="1915"/>
      <c r="V211" s="1915"/>
      <c r="W211" s="1915"/>
      <c r="X211" s="1915"/>
      <c r="Y211" s="1915"/>
      <c r="Z211" s="1915"/>
      <c r="AA211" s="1915"/>
      <c r="AB211" s="1915"/>
      <c r="AC211" s="1915"/>
      <c r="AD211" s="1915"/>
      <c r="AE211" s="1915"/>
      <c r="AF211" s="1915">
        <v>11</v>
      </c>
    </row>
    <row customHeight="1" ht="11.549999999999999">
      <c r="A212" s="1274"/>
      <c r="B212" s="1915"/>
      <c r="D212" s="1915"/>
      <c r="K212" s="1915"/>
      <c r="N212" s="1915"/>
      <c r="O212" s="1915"/>
      <c r="P212" s="1915"/>
      <c r="Q212" s="1915"/>
      <c r="S212" s="1915"/>
      <c r="T212" s="1915"/>
      <c r="U212" s="1915"/>
      <c r="V212" s="1915"/>
      <c r="W212" s="1915"/>
      <c r="X212" s="1915"/>
      <c r="Y212" s="1915"/>
      <c r="Z212" s="1915"/>
      <c r="AA212" s="1915"/>
      <c r="AB212" s="1915"/>
      <c r="AC212" s="1915"/>
      <c r="AD212" s="1915"/>
      <c r="AE212" s="1915"/>
      <c r="AF212" s="1915">
        <v>11</v>
      </c>
    </row>
    <row customHeight="1" ht="11.549999999999999">
      <c r="A213" s="1274"/>
      <c r="B213" s="1915"/>
      <c r="D213" s="1915"/>
      <c r="K213" s="1915"/>
      <c r="N213" s="1915"/>
      <c r="O213" s="1915"/>
      <c r="P213" s="1915"/>
      <c r="Q213" s="1915"/>
      <c r="S213" s="1915"/>
      <c r="T213" s="1915"/>
      <c r="U213" s="1915"/>
      <c r="V213" s="1915"/>
      <c r="W213" s="1915"/>
      <c r="X213" s="1915"/>
      <c r="Y213" s="1915"/>
      <c r="Z213" s="1915"/>
      <c r="AA213" s="1915"/>
      <c r="AB213" s="1915"/>
      <c r="AC213" s="1915"/>
      <c r="AD213" s="1915"/>
      <c r="AE213" s="1915"/>
      <c r="AF213" s="1915">
        <v>11</v>
      </c>
    </row>
    <row customHeight="1" ht="11.549999999999999">
      <c r="A214" s="1274"/>
      <c r="B214" s="1915"/>
      <c r="D214" s="1915"/>
      <c r="K214" s="1915"/>
      <c r="N214" s="1915"/>
      <c r="O214" s="1915"/>
      <c r="P214" s="1915"/>
      <c r="Q214" s="1915"/>
      <c r="S214" s="1915"/>
      <c r="T214" s="1915"/>
      <c r="U214" s="1915"/>
      <c r="V214" s="1915"/>
      <c r="W214" s="1915"/>
      <c r="X214" s="1915"/>
      <c r="Y214" s="1915"/>
      <c r="Z214" s="1915"/>
      <c r="AA214" s="1915"/>
      <c r="AB214" s="1915"/>
      <c r="AC214" s="1915"/>
      <c r="AD214" s="1915"/>
      <c r="AE214" s="1915"/>
      <c r="AF214" s="1915">
        <v>11</v>
      </c>
    </row>
    <row customHeight="1" ht="11.549999999999999">
      <c r="A215" s="1274"/>
      <c r="B215" s="1915"/>
      <c r="D215" s="1915"/>
      <c r="K215" s="1915"/>
      <c r="N215" s="1915"/>
      <c r="O215" s="1915"/>
      <c r="P215" s="1915"/>
      <c r="Q215" s="1915"/>
      <c r="S215" s="1915"/>
      <c r="T215" s="1915"/>
      <c r="U215" s="1915"/>
      <c r="V215" s="1915"/>
      <c r="W215" s="1915"/>
      <c r="X215" s="1915"/>
      <c r="Y215" s="1915"/>
      <c r="Z215" s="1915"/>
      <c r="AA215" s="1915"/>
      <c r="AB215" s="1915"/>
      <c r="AC215" s="1915"/>
      <c r="AD215" s="1915"/>
      <c r="AE215" s="1915"/>
      <c r="AF215" s="1915">
        <v>11</v>
      </c>
    </row>
    <row customHeight="1" ht="11.549999999999999">
      <c r="A216" s="1274"/>
      <c r="B216" s="1915"/>
      <c r="D216" s="1915"/>
      <c r="K216" s="1915"/>
      <c r="N216" s="1915"/>
      <c r="O216" s="1915"/>
      <c r="P216" s="1915"/>
      <c r="Q216" s="1915"/>
      <c r="S216" s="1915"/>
      <c r="T216" s="1915"/>
      <c r="U216" s="1915"/>
      <c r="V216" s="1915"/>
      <c r="W216" s="1915"/>
      <c r="X216" s="1915"/>
      <c r="Y216" s="1915"/>
      <c r="Z216" s="1915"/>
      <c r="AA216" s="1915"/>
      <c r="AB216" s="1915"/>
      <c r="AC216" s="1915"/>
      <c r="AD216" s="1915"/>
      <c r="AE216" s="1915"/>
      <c r="AF216" s="1915">
        <v>11</v>
      </c>
    </row>
    <row customHeight="1" ht="11.25" hidden="1">
      <c r="A217" s="1271" t="s">
        <v>83</v>
      </c>
      <c r="B217" s="1444">
        <v>0</v>
      </c>
      <c r="C217" s="1920">
        <v>0</v>
      </c>
      <c r="D217" s="1919">
        <v>3</v>
      </c>
      <c r="E217" s="1915">
        <v>7</v>
      </c>
      <c r="F217" s="1915">
        <v>56</v>
      </c>
      <c r="G217" s="1915">
        <v>10</v>
      </c>
      <c r="H217" s="1915">
        <v>0</v>
      </c>
      <c r="I217" s="1915">
        <v>40</v>
      </c>
      <c r="J217" s="1915">
        <v>102</v>
      </c>
      <c r="K217" s="1444">
        <v>9</v>
      </c>
      <c r="L217" s="1920">
        <v>5</v>
      </c>
      <c r="M217" s="1920">
        <v>3</v>
      </c>
      <c r="N217" s="1444">
        <v>3</v>
      </c>
      <c r="O217" s="1444">
        <v>3</v>
      </c>
      <c r="P217" s="1444">
        <v>3</v>
      </c>
      <c r="Q217" s="1444">
        <v>3</v>
      </c>
      <c r="R217" s="1920">
        <v>10</v>
      </c>
      <c r="S217" s="1444">
        <v>34</v>
      </c>
      <c r="T217" s="1444">
        <v>9</v>
      </c>
      <c r="U217" s="828">
        <v>8</v>
      </c>
      <c r="V217" s="1444">
        <v>8</v>
      </c>
      <c r="W217" s="1444">
        <v>8</v>
      </c>
      <c r="X217" s="1444">
        <v>8</v>
      </c>
      <c r="Y217" s="1444">
        <v>8</v>
      </c>
      <c r="Z217" s="1444">
        <v>8</v>
      </c>
      <c r="AA217" s="1916">
        <v>8</v>
      </c>
      <c r="AB217" s="1916">
        <v>8</v>
      </c>
      <c r="AC217" s="1916">
        <v>8</v>
      </c>
      <c r="AD217" s="1916">
        <v>8</v>
      </c>
      <c r="AE217" s="1916">
        <v>8</v>
      </c>
      <c r="AF217" s="1915">
        <v>11</v>
      </c>
    </row>
  </sheetData>
  <sheetProtection formatColumns="0" formatRows="0" autoFilter="0" sort="0" insertRows="0" insertColumns="1" deleteRows="0" deleteColumns="0"/>
  <mergeCells count="7">
    <mergeCell ref="E6:I6"/>
    <mergeCell ref="E7:I7"/>
    <mergeCell ref="F10:G10"/>
    <mergeCell ref="J10:J14"/>
    <mergeCell ref="F11:G11"/>
    <mergeCell ref="F12:G12"/>
    <mergeCell ref="E13:G13"/>
  </mergeCells>
  <dataValidations count="5">
    <dataValidation type="decimal" allowBlank="1" showErrorMessage="1" errorTitle="Ошибка" error="Допускается ввод только действительных чисел!" sqref="H40:I42">
      <formula1>-9.99999999999999E+37</formula1>
      <formula2>9.99999999999999E+37</formula2>
    </dataValidation>
    <dataValidation type="decimal" allowBlank="1" showErrorMessage="1" errorTitle="Ошибка" error="Допускается ввод только действительных чисел!" sqref="H36:I37">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3:I43">
      <formula1>900</formula1>
    </dataValidation>
    <dataValidation type="decimal" allowBlank="1" showErrorMessage="1" errorTitle="Ошибка" error="Допускается ввод только неотрицательных чисел!" sqref="H38:I39 H2:I2 H15:I15 H17:I32 H35:I35 H44:I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I3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7A378A8-D4C5-B403-B9C5-4DFF0C589AF8}" mc:Ignorable="x14ac xr xr2 xr3">
  <sheetPr>
    <tabColor theme="9" tint="-0.25"/>
  </sheetPr>
  <dimension ref="A1:AF210"/>
  <sheetViews>
    <sheetView topLeftCell="A1" showGridLines="0" zoomScale="90" workbookViewId="0">
      <selection activeCell="A1" sqref="A1"/>
    </sheetView>
  </sheetViews>
  <sheetFormatPr defaultColWidth="9.140625" customHeight="1" defaultRowHeight="11.25"/>
  <cols>
    <col min="1" max="1" style="15501" width="10.7109375" hidden="1" customWidth="1"/>
    <col min="2" max="2" style="14157" width="16.8515625" hidden="1" customWidth="1"/>
    <col min="3" max="3" style="14158" width="5.57421875" hidden="1" customWidth="1"/>
    <col min="4" max="4" style="14077" width="3.00390625" customWidth="1"/>
    <col min="5" max="5" style="14077" width="7.00390625" customWidth="1"/>
    <col min="6" max="6" style="14077" width="54.00390625" customWidth="1"/>
    <col min="7" max="7" style="14077" width="10.00390625" customWidth="1"/>
    <col min="8" max="8" style="14077" width="40.7109375" hidden="1" customWidth="1"/>
    <col min="9" max="9" style="14077" width="40.00390625" customWidth="1"/>
    <col min="10" max="10" style="14077" width="102.00390625" customWidth="1"/>
    <col min="11" max="11" style="14157" width="9.00390625" customWidth="1"/>
    <col min="12" max="12" style="14158" width="5.00390625" customWidth="1"/>
    <col min="13" max="13" style="14158" width="3.00390625" customWidth="1"/>
    <col min="14" max="17" style="14157" width="3.00390625" customWidth="1"/>
    <col min="18" max="18" style="14158" width="10.00390625" customWidth="1"/>
    <col min="19" max="19" style="14157" width="34.00390625" customWidth="1"/>
    <col min="20" max="20" style="14157" width="9.00390625" customWidth="1"/>
    <col min="21" max="21" style="15502" width="8.00390625" customWidth="1"/>
    <col min="22" max="26" style="14157" width="8.00390625" customWidth="1"/>
    <col min="27" max="31" style="14041" width="8.00390625" customWidth="1"/>
    <col min="32" max="32" style="14077" width="9.140625" hidden="1"/>
  </cols>
  <sheetData>
    <row s="14157" customFormat="1" customHeight="1" ht="22.5" hidden="1">
      <c r="A1" s="1271"/>
      <c r="C1" s="1920"/>
      <c r="D1" s="821"/>
      <c r="H1" s="1444">
        <v>4</v>
      </c>
      <c r="I1" s="1444">
        <v>4</v>
      </c>
      <c r="L1" s="1920"/>
      <c r="M1" s="1920"/>
      <c r="R1" s="1920"/>
      <c r="AF1" s="1444" t="s">
        <v>14</v>
      </c>
    </row>
    <row s="14157" customFormat="1" customHeight="1" ht="22.5" hidden="1">
      <c r="A2" s="1271"/>
      <c r="C2" s="1920"/>
      <c r="D2" s="822"/>
      <c r="E2" s="1942"/>
      <c r="F2" s="824"/>
      <c r="G2" s="1941" t="s">
        <v>560</v>
      </c>
      <c r="H2" s="825"/>
      <c r="I2" s="825"/>
      <c r="J2" s="826" t="s">
        <v>563</v>
      </c>
      <c r="K2" s="827"/>
      <c r="L2" s="1920"/>
      <c r="M2" s="1920"/>
      <c r="R2" s="1920"/>
      <c r="U2" s="828"/>
      <c r="AA2" s="1916"/>
      <c r="AB2" s="1916"/>
      <c r="AC2" s="1916"/>
      <c r="AD2" s="1916"/>
      <c r="AE2" s="1916"/>
      <c r="AF2" s="1444">
        <v>0</v>
      </c>
    </row>
    <row customHeight="1" ht="11.25" hidden="1">
      <c r="AF3" s="1915">
        <v>0</v>
      </c>
    </row>
    <row s="14041" customFormat="1" customHeight="1" ht="11.25" hidden="1">
      <c r="A4" s="1271"/>
      <c r="B4" s="1444"/>
      <c r="C4" s="1920"/>
      <c r="D4" s="646"/>
      <c r="J4" s="1916">
        <v>4</v>
      </c>
      <c r="K4" s="1444"/>
      <c r="L4" s="1920"/>
      <c r="M4" s="1920"/>
      <c r="N4" s="1444"/>
      <c r="O4" s="1444"/>
      <c r="P4" s="1444"/>
      <c r="Q4" s="1444"/>
      <c r="R4" s="1920"/>
      <c r="S4" s="1444"/>
      <c r="T4" s="1444"/>
      <c r="U4" s="828"/>
      <c r="V4" s="1444"/>
      <c r="W4" s="1444"/>
      <c r="X4" s="1444"/>
      <c r="Y4" s="1444"/>
      <c r="Z4" s="1444"/>
      <c r="AF4" s="1916">
        <v>0</v>
      </c>
    </row>
    <row customHeight="1" ht="11.549999999999999">
      <c r="AF5" s="1915">
        <v>11</v>
      </c>
    </row>
    <row customHeight="1" ht="33.75">
      <c r="E6" s="2532" t="s">
        <v>782</v>
      </c>
      <c r="F6" s="2532"/>
      <c r="G6" s="2532"/>
      <c r="H6" s="2532"/>
      <c r="I6" s="2532"/>
      <c r="J6" s="840"/>
      <c r="AF6" s="1915">
        <v>32</v>
      </c>
    </row>
    <row customHeight="1" ht="25.2">
      <c r="E7" s="2533" t="str">
        <f>IF(org=0,"Не определено",org)</f>
        <v>МУП г. Азова "Теплоэнерго"</v>
      </c>
      <c r="F7" s="2533"/>
      <c r="G7" s="2533"/>
      <c r="H7" s="2533"/>
      <c r="I7" s="2533"/>
      <c r="AF7" s="1915">
        <v>24</v>
      </c>
    </row>
    <row customHeight="1" ht="11.549999999999999">
      <c r="E8" s="1419"/>
      <c r="F8" s="1419"/>
      <c r="G8" s="1419"/>
      <c r="H8" s="1419"/>
      <c r="I8" s="1419"/>
      <c r="AF8" s="1915">
        <v>11</v>
      </c>
    </row>
    <row s="14158" customFormat="1" customHeight="1" ht="1.05">
      <c r="A9" s="1451"/>
      <c r="D9" s="1926"/>
      <c r="H9" s="1173"/>
      <c r="I9" s="1173" t="s">
        <v>118</v>
      </c>
      <c r="AF9" s="1920">
        <v>1</v>
      </c>
    </row>
    <row customHeight="1" ht="11.549999999999999">
      <c r="E10" s="995"/>
      <c r="F10" s="2651" t="s">
        <v>106</v>
      </c>
      <c r="G10" s="2652"/>
      <c r="H10" s="1943" t="str">
        <f>IF(H9="","",INDEX(DIFFERENTIATION_UNMERGE_VD,MATCH(H9,DIFFERENTIATION_ID_DIFF,0)))</f>
        <v/>
      </c>
      <c r="I10" s="1943">
        <f>IF(I9="","",INDEX(DIFFERENTIATION_UNMERGE_VD,MATCH(I9,DIFFERENTIATION_ID_DIFF,0)))</f>
        <v>0</v>
      </c>
      <c r="J10" s="2411"/>
      <c r="AF10" s="1915">
        <v>11</v>
      </c>
    </row>
    <row customHeight="1" ht="11.549999999999999">
      <c r="E11" s="995"/>
      <c r="F11" s="2651" t="s">
        <v>572</v>
      </c>
      <c r="G11" s="2652"/>
      <c r="H11" s="1943" t="str">
        <f>IF(H9="","",INDEX(DIFFERENTIATION_UNMERGE_AREA,MATCH(H9,DIFFERENTIATION_ID_DIFF,0)))</f>
        <v/>
      </c>
      <c r="I11" s="1943" t="str">
        <f>IF(I9="","",INDEX(DIFFERENTIATION_UNMERGE_AREA,MATCH(I9,DIFFERENTIATION_ID_DIFF,0)))</f>
        <v/>
      </c>
      <c r="J11" s="2411"/>
      <c r="AF11" s="1915">
        <v>11</v>
      </c>
    </row>
    <row customHeight="1" ht="11.25" hidden="1">
      <c r="E12" s="1946"/>
      <c r="F12" s="2674" t="s">
        <v>573</v>
      </c>
      <c r="G12" s="2675"/>
      <c r="H12" s="1947" t="str">
        <f>IF(H9="","",INDEX(DIFFERENTIATION_UNMERGE_SYSTEM,MATCH(H9,DIFFERENTIATION_ID_DIFF,0)))</f>
        <v/>
      </c>
      <c r="I12" s="1947" t="str">
        <f>IF(I9="","",INDEX(DIFFERENTIATION_UNMERGE_SYSTEM,MATCH(I9,DIFFERENTIATION_ID_DIFF,0)))</f>
        <v>без дифференциации</v>
      </c>
      <c r="J12" s="2411"/>
      <c r="AF12" s="1915">
        <v>0</v>
      </c>
    </row>
    <row customHeight="1" ht="11.549999999999999">
      <c r="E13" s="2653" t="s">
        <v>305</v>
      </c>
      <c r="F13" s="2654"/>
      <c r="G13" s="2654"/>
      <c r="H13" s="1940"/>
      <c r="I13" s="1940"/>
      <c r="J13" s="2411"/>
      <c r="AF13" s="1915">
        <v>11</v>
      </c>
    </row>
    <row customHeight="1" ht="24">
      <c r="E14" s="1941" t="s">
        <v>89</v>
      </c>
      <c r="F14" s="1944" t="s">
        <v>307</v>
      </c>
      <c r="G14" s="1944" t="s">
        <v>574</v>
      </c>
      <c r="H14" s="1944" t="s">
        <v>308</v>
      </c>
      <c r="I14" s="1944" t="s">
        <v>308</v>
      </c>
      <c r="J14" s="2411"/>
      <c r="AF14" s="1915">
        <v>23</v>
      </c>
    </row>
    <row customHeight="1" ht="19.95">
      <c r="D15" s="1922"/>
      <c r="E15" s="1914" t="s">
        <v>110</v>
      </c>
      <c r="F15" s="991" t="s">
        <v>783</v>
      </c>
      <c r="G15" s="1941" t="s">
        <v>560</v>
      </c>
      <c r="H15" s="841"/>
      <c r="I15" s="841"/>
      <c r="J15" s="573" t="s">
        <v>784</v>
      </c>
      <c r="K15" s="827" t="s">
        <v>638</v>
      </c>
      <c r="AF15" s="1915">
        <v>19</v>
      </c>
    </row>
    <row customHeight="1" ht="24">
      <c r="D16" s="1922"/>
      <c r="E16" s="1914" t="s">
        <v>111</v>
      </c>
      <c r="F16" s="1949" t="s">
        <v>785</v>
      </c>
      <c r="G16" s="1941" t="s">
        <v>560</v>
      </c>
      <c r="H16" s="842">
        <f>SUM(H17,H20:H27)</f>
        <v>0</v>
      </c>
      <c r="I16" s="842">
        <f>SUM(I17,I20:I27)</f>
        <v>0</v>
      </c>
      <c r="J16" s="573" t="s">
        <v>786</v>
      </c>
      <c r="K16" s="827" t="s">
        <v>638</v>
      </c>
      <c r="AF16" s="1915">
        <v>23</v>
      </c>
    </row>
    <row customHeight="1" ht="35.699999999999996">
      <c r="D17" s="1922"/>
      <c r="E17" s="1948" t="s">
        <v>716</v>
      </c>
      <c r="F17" s="1951" t="s">
        <v>787</v>
      </c>
      <c r="G17" s="1938" t="s">
        <v>560</v>
      </c>
      <c r="H17" s="841"/>
      <c r="I17" s="841"/>
      <c r="J17" s="573" t="s">
        <v>788</v>
      </c>
      <c r="K17" s="827"/>
      <c r="AF17" s="1915">
        <v>34</v>
      </c>
    </row>
    <row customHeight="1" ht="19.95">
      <c r="D18" s="1922"/>
      <c r="E18" s="1948" t="s">
        <v>719</v>
      </c>
      <c r="F18" s="1952" t="s">
        <v>789</v>
      </c>
      <c r="G18" s="1938" t="s">
        <v>560</v>
      </c>
      <c r="H18" s="841"/>
      <c r="I18" s="841"/>
      <c r="J18" s="573"/>
      <c r="K18" s="827"/>
      <c r="AF18" s="1915">
        <v>19</v>
      </c>
    </row>
    <row customHeight="1" ht="24">
      <c r="D19" s="1922"/>
      <c r="E19" s="1948" t="s">
        <v>722</v>
      </c>
      <c r="F19" s="1952" t="s">
        <v>790</v>
      </c>
      <c r="G19" s="1938" t="s">
        <v>560</v>
      </c>
      <c r="H19" s="841"/>
      <c r="I19" s="841"/>
      <c r="J19" s="573"/>
      <c r="K19" s="827"/>
      <c r="AF19" s="1915">
        <v>23</v>
      </c>
    </row>
    <row customHeight="1" ht="35.699999999999996">
      <c r="D20" s="1922"/>
      <c r="E20" s="1948" t="s">
        <v>312</v>
      </c>
      <c r="F20" s="1951" t="s">
        <v>791</v>
      </c>
      <c r="G20" s="1938" t="s">
        <v>560</v>
      </c>
      <c r="H20" s="841"/>
      <c r="I20" s="841"/>
      <c r="J20" s="573"/>
      <c r="K20" s="827"/>
      <c r="AF20" s="1915">
        <v>34</v>
      </c>
    </row>
    <row customHeight="1" ht="48.29999999999999">
      <c r="D21" s="1922"/>
      <c r="E21" s="1948" t="s">
        <v>315</v>
      </c>
      <c r="F21" s="1951" t="s">
        <v>792</v>
      </c>
      <c r="G21" s="1938" t="s">
        <v>560</v>
      </c>
      <c r="H21" s="841"/>
      <c r="I21" s="841"/>
      <c r="J21" s="573"/>
      <c r="K21" s="827"/>
      <c r="AF21" s="1915">
        <v>46</v>
      </c>
    </row>
    <row customHeight="1" ht="60">
      <c r="D22" s="1922"/>
      <c r="E22" s="1948" t="s">
        <v>736</v>
      </c>
      <c r="F22" s="1951" t="s">
        <v>793</v>
      </c>
      <c r="G22" s="1938" t="s">
        <v>560</v>
      </c>
      <c r="H22" s="841"/>
      <c r="I22" s="841"/>
      <c r="J22" s="573"/>
      <c r="K22" s="827"/>
      <c r="AF22" s="1915">
        <v>57</v>
      </c>
    </row>
    <row customHeight="1" ht="35.699999999999996">
      <c r="D23" s="1922"/>
      <c r="E23" s="1948" t="s">
        <v>743</v>
      </c>
      <c r="F23" s="1951" t="s">
        <v>794</v>
      </c>
      <c r="G23" s="1938" t="s">
        <v>560</v>
      </c>
      <c r="H23" s="841"/>
      <c r="I23" s="841"/>
      <c r="J23" s="573"/>
      <c r="K23" s="827"/>
      <c r="AF23" s="1915">
        <v>34</v>
      </c>
    </row>
    <row customHeight="1" ht="35.699999999999996">
      <c r="D24" s="1922"/>
      <c r="E24" s="1948" t="s">
        <v>745</v>
      </c>
      <c r="F24" s="1951" t="s">
        <v>795</v>
      </c>
      <c r="G24" s="1938" t="s">
        <v>560</v>
      </c>
      <c r="H24" s="841"/>
      <c r="I24" s="841"/>
      <c r="J24" s="573"/>
      <c r="K24" s="827"/>
      <c r="AF24" s="1915">
        <v>34</v>
      </c>
    </row>
    <row customHeight="1" ht="24">
      <c r="D25" s="1922"/>
      <c r="E25" s="1948" t="s">
        <v>747</v>
      </c>
      <c r="F25" s="1951" t="s">
        <v>796</v>
      </c>
      <c r="G25" s="1938" t="s">
        <v>560</v>
      </c>
      <c r="H25" s="841"/>
      <c r="I25" s="841"/>
      <c r="J25" s="573"/>
      <c r="K25" s="827"/>
      <c r="AF25" s="1915">
        <v>23</v>
      </c>
    </row>
    <row customHeight="1" ht="76.5">
      <c r="D26" s="1922"/>
      <c r="E26" s="1948" t="s">
        <v>749</v>
      </c>
      <c r="F26" s="1951" t="s">
        <v>797</v>
      </c>
      <c r="G26" s="1938" t="s">
        <v>560</v>
      </c>
      <c r="H26" s="841"/>
      <c r="I26" s="841"/>
      <c r="J26" s="573"/>
      <c r="K26" s="827"/>
      <c r="AF26" s="1915">
        <v>73</v>
      </c>
    </row>
    <row s="14157" customFormat="1" customHeight="1" ht="35.699999999999996">
      <c r="A27" s="1271"/>
      <c r="C27" s="1920"/>
      <c r="D27" s="1922"/>
      <c r="E27" s="1913" t="s">
        <v>753</v>
      </c>
      <c r="F27" s="1912" t="s">
        <v>798</v>
      </c>
      <c r="G27" s="1939" t="s">
        <v>560</v>
      </c>
      <c r="H27" s="863">
        <f>SUM(H28:H29)</f>
        <v>0</v>
      </c>
      <c r="I27" s="863">
        <f>SUM(I28:I29)</f>
        <v>0</v>
      </c>
      <c r="J27" s="573" t="s">
        <v>751</v>
      </c>
      <c r="K27" s="827"/>
      <c r="L27" s="1920"/>
      <c r="M27" s="1920"/>
      <c r="R27" s="1920"/>
      <c r="U27" s="828"/>
      <c r="AA27" s="1916"/>
      <c r="AB27" s="1916"/>
      <c r="AC27" s="1916"/>
      <c r="AD27" s="1916"/>
      <c r="AE27" s="1916"/>
      <c r="AF27" s="1444">
        <v>34</v>
      </c>
    </row>
    <row s="14158" customFormat="1" customHeight="1" ht="1.05">
      <c r="A28" s="1451"/>
      <c r="D28" s="832"/>
      <c r="E28" s="1086" t="str">
        <f>E27&amp;".0"</f>
        <v>2.9.0</v>
      </c>
      <c r="F28" s="1275"/>
      <c r="G28" s="835"/>
      <c r="H28" s="1276"/>
      <c r="I28" s="1276"/>
      <c r="J28" s="1277"/>
      <c r="AF28" s="1920">
        <v>1</v>
      </c>
    </row>
    <row s="14157" customFormat="1" customHeight="1" ht="19.95">
      <c r="A29" s="1271"/>
      <c r="C29" s="1920"/>
      <c r="D29" s="1917"/>
      <c r="E29" s="854"/>
      <c r="F29" s="1950" t="s">
        <v>585</v>
      </c>
      <c r="G29" s="856"/>
      <c r="H29" s="857"/>
      <c r="I29" s="857"/>
      <c r="J29" s="585" t="s">
        <v>752</v>
      </c>
      <c r="K29" s="827"/>
      <c r="L29" s="1920"/>
      <c r="M29" s="1920"/>
      <c r="R29" s="1920"/>
      <c r="U29" s="828"/>
      <c r="AA29" s="1916"/>
      <c r="AB29" s="1916"/>
      <c r="AC29" s="1916"/>
      <c r="AD29" s="1916"/>
      <c r="AE29" s="1916"/>
      <c r="AF29" s="1444">
        <v>19</v>
      </c>
    </row>
    <row s="14157" customFormat="1" customHeight="1" ht="24">
      <c r="A30" s="1271"/>
      <c r="C30" s="1920"/>
      <c r="D30" s="1922"/>
      <c r="E30" s="1948" t="s">
        <v>91</v>
      </c>
      <c r="F30" s="1945" t="s">
        <v>799</v>
      </c>
      <c r="G30" s="1938" t="s">
        <v>560</v>
      </c>
      <c r="H30" s="841"/>
      <c r="I30" s="841"/>
      <c r="J30" s="573"/>
      <c r="K30" s="827"/>
      <c r="L30" s="1920"/>
      <c r="M30" s="1920"/>
      <c r="R30" s="1920"/>
      <c r="U30" s="828"/>
      <c r="AA30" s="1916"/>
      <c r="AB30" s="1916"/>
      <c r="AC30" s="1916"/>
      <c r="AD30" s="1916"/>
      <c r="AE30" s="1916"/>
      <c r="AF30" s="1444">
        <v>23</v>
      </c>
    </row>
    <row s="14157" customFormat="1" customHeight="1" ht="35.699999999999996">
      <c r="A31" s="1271"/>
      <c r="C31" s="1920"/>
      <c r="D31" s="859"/>
      <c r="E31" s="1948" t="s">
        <v>92</v>
      </c>
      <c r="F31" s="1945" t="s">
        <v>800</v>
      </c>
      <c r="G31" s="1938" t="s">
        <v>560</v>
      </c>
      <c r="H31" s="841"/>
      <c r="I31" s="841"/>
      <c r="J31" s="573" t="s">
        <v>801</v>
      </c>
      <c r="K31" s="827"/>
      <c r="L31" s="1920"/>
      <c r="M31" s="1920"/>
      <c r="R31" s="1920"/>
      <c r="U31" s="828"/>
      <c r="AA31" s="1916"/>
      <c r="AB31" s="1916"/>
      <c r="AC31" s="1916"/>
      <c r="AD31" s="1916"/>
      <c r="AE31" s="1916"/>
      <c r="AF31" s="1444">
        <v>34</v>
      </c>
    </row>
    <row s="14157" customFormat="1" customHeight="1" ht="24">
      <c r="A32" s="1271"/>
      <c r="C32" s="1920"/>
      <c r="D32" s="1922"/>
      <c r="E32" s="1948" t="s">
        <v>761</v>
      </c>
      <c r="F32" s="974" t="s">
        <v>765</v>
      </c>
      <c r="G32" s="1938" t="s">
        <v>560</v>
      </c>
      <c r="H32" s="841"/>
      <c r="I32" s="841"/>
      <c r="J32" s="573" t="s">
        <v>802</v>
      </c>
      <c r="K32" s="827"/>
      <c r="L32" s="1920"/>
      <c r="M32" s="1920"/>
      <c r="R32" s="1920"/>
      <c r="U32" s="828"/>
      <c r="AA32" s="1916"/>
      <c r="AB32" s="1916"/>
      <c r="AC32" s="1916"/>
      <c r="AD32" s="1916"/>
      <c r="AE32" s="1916"/>
      <c r="AF32" s="1444">
        <v>23</v>
      </c>
    </row>
    <row s="14157" customFormat="1" customHeight="1" ht="24">
      <c r="A33" s="1271"/>
      <c r="C33" s="1920"/>
      <c r="D33" s="1922"/>
      <c r="E33" s="1948" t="s">
        <v>803</v>
      </c>
      <c r="F33" s="974" t="s">
        <v>804</v>
      </c>
      <c r="G33" s="1938" t="s">
        <v>560</v>
      </c>
      <c r="H33" s="841"/>
      <c r="I33" s="841"/>
      <c r="J33" s="573" t="s">
        <v>805</v>
      </c>
      <c r="K33" s="827"/>
      <c r="L33" s="1920"/>
      <c r="M33" s="1920"/>
      <c r="R33" s="1920"/>
      <c r="U33" s="828"/>
      <c r="AA33" s="1916"/>
      <c r="AB33" s="1916"/>
      <c r="AC33" s="1916"/>
      <c r="AD33" s="1916"/>
      <c r="AE33" s="1916"/>
      <c r="AF33" s="1444">
        <v>23</v>
      </c>
    </row>
    <row s="14157" customFormat="1" customHeight="1" ht="24">
      <c r="A34" s="1271"/>
      <c r="C34" s="1920"/>
      <c r="D34" s="1922"/>
      <c r="E34" s="1948" t="s">
        <v>806</v>
      </c>
      <c r="F34" s="974" t="s">
        <v>771</v>
      </c>
      <c r="G34" s="1938" t="s">
        <v>560</v>
      </c>
      <c r="H34" s="841"/>
      <c r="I34" s="841"/>
      <c r="J34" s="573" t="s">
        <v>807</v>
      </c>
      <c r="K34" s="827"/>
      <c r="L34" s="1920"/>
      <c r="M34" s="1920"/>
      <c r="R34" s="1920"/>
      <c r="U34" s="828"/>
      <c r="AA34" s="1916"/>
      <c r="AB34" s="1916"/>
      <c r="AC34" s="1916"/>
      <c r="AD34" s="1916"/>
      <c r="AE34" s="1916"/>
      <c r="AF34" s="1444">
        <v>23</v>
      </c>
    </row>
    <row s="14157" customFormat="1" customHeight="1" ht="35.699999999999996">
      <c r="A35" s="1271"/>
      <c r="C35" s="1920" t="s">
        <v>596</v>
      </c>
      <c r="D35" s="1922"/>
      <c r="E35" s="1948" t="s">
        <v>112</v>
      </c>
      <c r="F35" s="1945" t="s">
        <v>637</v>
      </c>
      <c r="G35" s="1941" t="s">
        <v>311</v>
      </c>
      <c r="H35" s="685"/>
      <c r="I35" s="685"/>
      <c r="J35" s="573" t="s">
        <v>808</v>
      </c>
      <c r="K35" s="827"/>
      <c r="L35" s="1920"/>
      <c r="M35" s="1920"/>
      <c r="R35" s="1920"/>
      <c r="U35" s="828"/>
      <c r="AA35" s="1916"/>
      <c r="AB35" s="1916"/>
      <c r="AC35" s="1916"/>
      <c r="AD35" s="1916"/>
      <c r="AE35" s="1916"/>
      <c r="AF35" s="1444">
        <v>34</v>
      </c>
    </row>
    <row s="14157" customFormat="1" customHeight="1" ht="35.699999999999996">
      <c r="A36" s="1271"/>
      <c r="C36" s="1920"/>
      <c r="D36" s="1922"/>
      <c r="E36" s="1948" t="s">
        <v>93</v>
      </c>
      <c r="F36" s="1945" t="s">
        <v>809</v>
      </c>
      <c r="G36" s="1938" t="s">
        <v>776</v>
      </c>
      <c r="H36" s="829"/>
      <c r="I36" s="829"/>
      <c r="J36" s="573" t="s">
        <v>777</v>
      </c>
      <c r="K36" s="827"/>
      <c r="L36" s="1920"/>
      <c r="M36" s="1920"/>
      <c r="R36" s="1920"/>
      <c r="U36" s="828"/>
      <c r="AA36" s="1916"/>
      <c r="AB36" s="1916"/>
      <c r="AC36" s="1916"/>
      <c r="AD36" s="1916"/>
      <c r="AE36" s="1916"/>
      <c r="AF36" s="1444">
        <v>34</v>
      </c>
    </row>
    <row s="14157" customFormat="1" customHeight="1" ht="24">
      <c r="A37" s="1271"/>
      <c r="C37" s="1920"/>
      <c r="D37" s="1922"/>
      <c r="E37" s="1948" t="s">
        <v>94</v>
      </c>
      <c r="F37" s="1945" t="s">
        <v>810</v>
      </c>
      <c r="G37" s="1938" t="s">
        <v>779</v>
      </c>
      <c r="H37" s="829"/>
      <c r="I37" s="829"/>
      <c r="J37" s="573" t="s">
        <v>780</v>
      </c>
      <c r="K37" s="827"/>
      <c r="L37" s="1920"/>
      <c r="M37" s="1920"/>
      <c r="R37" s="1920"/>
      <c r="U37" s="828"/>
      <c r="AA37" s="1916"/>
      <c r="AB37" s="1916"/>
      <c r="AC37" s="1916"/>
      <c r="AD37" s="1916"/>
      <c r="AE37" s="1916"/>
      <c r="AF37" s="1444">
        <v>23</v>
      </c>
    </row>
    <row customHeight="1" ht="11.549999999999999">
      <c r="D38" s="1922"/>
      <c r="AF38" s="1915">
        <v>11</v>
      </c>
    </row>
    <row customHeight="1" ht="27.299999999999997">
      <c r="D39" s="1922"/>
      <c r="E39" s="1537" t="s">
        <v>811</v>
      </c>
      <c r="F39" s="2569" t="s">
        <v>812</v>
      </c>
      <c r="G39" s="2569"/>
      <c r="H39" s="653"/>
      <c r="I39" s="653"/>
      <c r="J39" s="653"/>
      <c r="AF39" s="1915">
        <v>26</v>
      </c>
    </row>
    <row s="14730" customFormat="1" customHeight="1" ht="39.75">
      <c r="A40" s="1271"/>
      <c r="B40" s="1920"/>
      <c r="C40" s="1920"/>
      <c r="D40" s="635"/>
      <c r="F40" s="2569" t="s">
        <v>813</v>
      </c>
      <c r="G40" s="2569"/>
      <c r="H40" s="653"/>
      <c r="I40" s="653"/>
      <c r="J40" s="653"/>
      <c r="K40" s="1444"/>
      <c r="L40" s="1920"/>
      <c r="M40" s="1920"/>
      <c r="N40" s="1444"/>
      <c r="O40" s="1444"/>
      <c r="P40" s="1444"/>
      <c r="Q40" s="1444"/>
      <c r="R40" s="1920"/>
      <c r="S40" s="1444"/>
      <c r="T40" s="1444"/>
      <c r="U40" s="828"/>
      <c r="V40" s="1444"/>
      <c r="W40" s="1444"/>
      <c r="X40" s="1444"/>
      <c r="Y40" s="1444"/>
      <c r="Z40" s="1444"/>
      <c r="AA40" s="1916"/>
      <c r="AB40" s="850"/>
      <c r="AC40" s="850"/>
      <c r="AD40" s="850"/>
      <c r="AE40" s="850"/>
      <c r="AF40" s="1925">
        <v>38</v>
      </c>
    </row>
    <row s="14730" customFormat="1" customHeight="1" ht="11.549999999999999">
      <c r="A41" s="1271"/>
      <c r="B41" s="1920"/>
      <c r="C41" s="1920"/>
      <c r="D41" s="635"/>
      <c r="K41" s="1444"/>
      <c r="L41" s="1920"/>
      <c r="M41" s="1920"/>
      <c r="N41" s="1444"/>
      <c r="O41" s="1444"/>
      <c r="P41" s="1444"/>
      <c r="Q41" s="1444"/>
      <c r="R41" s="1920"/>
      <c r="S41" s="1444"/>
      <c r="T41" s="1444"/>
      <c r="U41" s="828"/>
      <c r="V41" s="1444"/>
      <c r="W41" s="1444"/>
      <c r="X41" s="1444"/>
      <c r="Y41" s="1444"/>
      <c r="Z41" s="1444"/>
      <c r="AA41" s="1916"/>
      <c r="AB41" s="850"/>
      <c r="AC41" s="850"/>
      <c r="AD41" s="850"/>
      <c r="AE41" s="850"/>
      <c r="AF41" s="1925">
        <v>11</v>
      </c>
    </row>
    <row s="14730" customFormat="1" customHeight="1" ht="11.549999999999999">
      <c r="A42" s="1271"/>
      <c r="B42" s="1920"/>
      <c r="C42" s="1920"/>
      <c r="D42" s="635"/>
      <c r="K42" s="1444"/>
      <c r="L42" s="1920"/>
      <c r="M42" s="1920"/>
      <c r="N42" s="1444"/>
      <c r="O42" s="1444"/>
      <c r="P42" s="1444"/>
      <c r="Q42" s="1444"/>
      <c r="R42" s="1920"/>
      <c r="S42" s="1444"/>
      <c r="T42" s="1444"/>
      <c r="U42" s="828"/>
      <c r="V42" s="1444"/>
      <c r="W42" s="1444"/>
      <c r="X42" s="1444"/>
      <c r="Y42" s="1444"/>
      <c r="Z42" s="1444"/>
      <c r="AA42" s="1916"/>
      <c r="AB42" s="850"/>
      <c r="AC42" s="850"/>
      <c r="AD42" s="850"/>
      <c r="AE42" s="850"/>
      <c r="AF42" s="1925">
        <v>11</v>
      </c>
    </row>
    <row s="14730" customFormat="1" customHeight="1" ht="11.549999999999999">
      <c r="A43" s="1271"/>
      <c r="B43" s="1920"/>
      <c r="C43" s="1920"/>
      <c r="D43" s="635"/>
      <c r="H43" s="850"/>
      <c r="I43" s="850"/>
      <c r="K43" s="1444"/>
      <c r="L43" s="1920"/>
      <c r="M43" s="1920"/>
      <c r="N43" s="1444"/>
      <c r="O43" s="1444"/>
      <c r="P43" s="1444"/>
      <c r="Q43" s="1444"/>
      <c r="R43" s="1920"/>
      <c r="S43" s="1444"/>
      <c r="T43" s="1444"/>
      <c r="U43" s="828"/>
      <c r="V43" s="1444"/>
      <c r="W43" s="1444"/>
      <c r="X43" s="1444"/>
      <c r="Y43" s="1444"/>
      <c r="Z43" s="1444"/>
      <c r="AA43" s="1916"/>
      <c r="AB43" s="850"/>
      <c r="AC43" s="850"/>
      <c r="AD43" s="850"/>
      <c r="AE43" s="850"/>
      <c r="AF43" s="1925">
        <v>11</v>
      </c>
    </row>
    <row s="14730" customFormat="1" customHeight="1" ht="11.549999999999999">
      <c r="A44" s="1271"/>
      <c r="B44" s="1920"/>
      <c r="C44" s="1920"/>
      <c r="D44" s="635"/>
      <c r="K44" s="1444"/>
      <c r="L44" s="1920"/>
      <c r="M44" s="1920"/>
      <c r="N44" s="1444"/>
      <c r="O44" s="1444"/>
      <c r="P44" s="1444"/>
      <c r="Q44" s="1444"/>
      <c r="R44" s="1920"/>
      <c r="S44" s="1444"/>
      <c r="T44" s="1444"/>
      <c r="U44" s="828"/>
      <c r="V44" s="1444"/>
      <c r="W44" s="1444"/>
      <c r="X44" s="1444"/>
      <c r="Y44" s="1444"/>
      <c r="Z44" s="1444"/>
      <c r="AA44" s="1916"/>
      <c r="AB44" s="850"/>
      <c r="AC44" s="850"/>
      <c r="AD44" s="850"/>
      <c r="AE44" s="850"/>
      <c r="AF44" s="1925">
        <v>11</v>
      </c>
    </row>
    <row s="14730" customFormat="1" customHeight="1" ht="11.549999999999999">
      <c r="A45" s="1271"/>
      <c r="B45" s="1920"/>
      <c r="C45" s="1920"/>
      <c r="D45" s="635"/>
      <c r="K45" s="1444"/>
      <c r="L45" s="1920"/>
      <c r="M45" s="1920"/>
      <c r="N45" s="1444"/>
      <c r="O45" s="1444"/>
      <c r="P45" s="1444"/>
      <c r="Q45" s="1444"/>
      <c r="R45" s="1920"/>
      <c r="S45" s="1444"/>
      <c r="T45" s="1444"/>
      <c r="U45" s="828"/>
      <c r="V45" s="1444"/>
      <c r="W45" s="1444"/>
      <c r="X45" s="1444"/>
      <c r="Y45" s="1444"/>
      <c r="Z45" s="1444"/>
      <c r="AA45" s="1916"/>
      <c r="AB45" s="850"/>
      <c r="AC45" s="850"/>
      <c r="AD45" s="850"/>
      <c r="AE45" s="850"/>
      <c r="AF45" s="1925">
        <v>11</v>
      </c>
    </row>
    <row s="14730" customFormat="1" customHeight="1" ht="11.549999999999999">
      <c r="A46" s="1271"/>
      <c r="B46" s="1920"/>
      <c r="C46" s="1920"/>
      <c r="D46" s="635"/>
      <c r="K46" s="1444"/>
      <c r="L46" s="1920"/>
      <c r="M46" s="1920"/>
      <c r="N46" s="1444"/>
      <c r="O46" s="1444"/>
      <c r="P46" s="1444"/>
      <c r="Q46" s="1444"/>
      <c r="R46" s="1920"/>
      <c r="S46" s="1444"/>
      <c r="T46" s="1444"/>
      <c r="U46" s="828"/>
      <c r="V46" s="1444"/>
      <c r="W46" s="1444"/>
      <c r="X46" s="1444"/>
      <c r="Y46" s="1444"/>
      <c r="Z46" s="1444"/>
      <c r="AA46" s="1916"/>
      <c r="AB46" s="850"/>
      <c r="AC46" s="850"/>
      <c r="AD46" s="850"/>
      <c r="AE46" s="850"/>
      <c r="AF46" s="1925">
        <v>11</v>
      </c>
    </row>
    <row s="14730" customFormat="1" customHeight="1" ht="11.549999999999999">
      <c r="A47" s="1271"/>
      <c r="B47" s="1920"/>
      <c r="C47" s="1920"/>
      <c r="D47" s="635"/>
      <c r="K47" s="1444"/>
      <c r="L47" s="1920"/>
      <c r="M47" s="1920"/>
      <c r="N47" s="1444"/>
      <c r="O47" s="1444"/>
      <c r="P47" s="1444"/>
      <c r="Q47" s="1444"/>
      <c r="R47" s="1920"/>
      <c r="S47" s="1444"/>
      <c r="T47" s="1444"/>
      <c r="U47" s="828"/>
      <c r="V47" s="1444"/>
      <c r="W47" s="1444"/>
      <c r="X47" s="1444"/>
      <c r="Y47" s="1444"/>
      <c r="Z47" s="1444"/>
      <c r="AA47" s="1916"/>
      <c r="AB47" s="850"/>
      <c r="AC47" s="850"/>
      <c r="AD47" s="850"/>
      <c r="AE47" s="850"/>
      <c r="AF47" s="1925">
        <v>11</v>
      </c>
    </row>
    <row s="14730" customFormat="1" customHeight="1" ht="11.549999999999999">
      <c r="A48" s="1271"/>
      <c r="B48" s="1920"/>
      <c r="C48" s="1920"/>
      <c r="D48" s="635"/>
      <c r="K48" s="1444"/>
      <c r="L48" s="1920"/>
      <c r="M48" s="1920"/>
      <c r="N48" s="1444"/>
      <c r="O48" s="1444"/>
      <c r="P48" s="1444"/>
      <c r="Q48" s="1444"/>
      <c r="R48" s="1920"/>
      <c r="S48" s="1444"/>
      <c r="T48" s="1444"/>
      <c r="U48" s="828"/>
      <c r="V48" s="1444"/>
      <c r="W48" s="1444"/>
      <c r="X48" s="1444"/>
      <c r="Y48" s="1444"/>
      <c r="Z48" s="1444"/>
      <c r="AA48" s="1916"/>
      <c r="AB48" s="850"/>
      <c r="AC48" s="850"/>
      <c r="AD48" s="850"/>
      <c r="AE48" s="850"/>
      <c r="AF48" s="1925">
        <v>11</v>
      </c>
    </row>
    <row s="14730" customFormat="1" customHeight="1" ht="11.549999999999999">
      <c r="A49" s="1271"/>
      <c r="B49" s="1920"/>
      <c r="C49" s="1920"/>
      <c r="D49" s="635"/>
      <c r="K49" s="1444"/>
      <c r="L49" s="1920"/>
      <c r="M49" s="1920"/>
      <c r="N49" s="1444"/>
      <c r="O49" s="1444"/>
      <c r="P49" s="1444"/>
      <c r="Q49" s="1444"/>
      <c r="R49" s="1920"/>
      <c r="S49" s="1444"/>
      <c r="T49" s="1444"/>
      <c r="U49" s="828"/>
      <c r="V49" s="1444"/>
      <c r="W49" s="1444"/>
      <c r="X49" s="1444"/>
      <c r="Y49" s="1444"/>
      <c r="Z49" s="1444"/>
      <c r="AA49" s="1916"/>
      <c r="AB49" s="850"/>
      <c r="AC49" s="850"/>
      <c r="AD49" s="850"/>
      <c r="AE49" s="850"/>
      <c r="AF49" s="1925">
        <v>11</v>
      </c>
    </row>
    <row s="14730" customFormat="1" customHeight="1" ht="11.549999999999999">
      <c r="A50" s="1271"/>
      <c r="B50" s="1920"/>
      <c r="C50" s="1920"/>
      <c r="D50" s="635"/>
      <c r="K50" s="1444"/>
      <c r="L50" s="1920"/>
      <c r="M50" s="1920"/>
      <c r="N50" s="1444"/>
      <c r="O50" s="1444"/>
      <c r="P50" s="1444"/>
      <c r="Q50" s="1444"/>
      <c r="R50" s="1920"/>
      <c r="S50" s="1444"/>
      <c r="T50" s="1444"/>
      <c r="U50" s="828"/>
      <c r="V50" s="1444"/>
      <c r="W50" s="1444"/>
      <c r="X50" s="1444"/>
      <c r="Y50" s="1444"/>
      <c r="Z50" s="1444"/>
      <c r="AA50" s="1916"/>
      <c r="AB50" s="850"/>
      <c r="AC50" s="850"/>
      <c r="AD50" s="850"/>
      <c r="AE50" s="850"/>
      <c r="AF50" s="1925">
        <v>11</v>
      </c>
    </row>
    <row s="14730" customFormat="1" customHeight="1" ht="11.549999999999999">
      <c r="A51" s="1271"/>
      <c r="B51" s="1920"/>
      <c r="C51" s="1920"/>
      <c r="D51" s="635"/>
      <c r="K51" s="1444"/>
      <c r="L51" s="1920"/>
      <c r="M51" s="1920"/>
      <c r="N51" s="1444"/>
      <c r="O51" s="1444"/>
      <c r="P51" s="1444"/>
      <c r="Q51" s="1444"/>
      <c r="R51" s="1920"/>
      <c r="S51" s="1444"/>
      <c r="T51" s="1444"/>
      <c r="U51" s="828"/>
      <c r="V51" s="1444"/>
      <c r="W51" s="1444"/>
      <c r="X51" s="1444"/>
      <c r="Y51" s="1444"/>
      <c r="Z51" s="1444"/>
      <c r="AA51" s="1916"/>
      <c r="AB51" s="850"/>
      <c r="AC51" s="850"/>
      <c r="AD51" s="850"/>
      <c r="AE51" s="850"/>
      <c r="AF51" s="1925">
        <v>11</v>
      </c>
    </row>
    <row s="14730" customFormat="1" customHeight="1" ht="11.549999999999999">
      <c r="A52" s="1271"/>
      <c r="B52" s="1920"/>
      <c r="C52" s="1920"/>
      <c r="D52" s="635"/>
      <c r="K52" s="1444"/>
      <c r="L52" s="1920"/>
      <c r="M52" s="1920"/>
      <c r="N52" s="1444"/>
      <c r="O52" s="1444"/>
      <c r="P52" s="1444"/>
      <c r="Q52" s="1444"/>
      <c r="R52" s="1920"/>
      <c r="S52" s="1444"/>
      <c r="T52" s="1444"/>
      <c r="U52" s="828"/>
      <c r="V52" s="1444"/>
      <c r="W52" s="1444"/>
      <c r="X52" s="1444"/>
      <c r="Y52" s="1444"/>
      <c r="Z52" s="1444"/>
      <c r="AA52" s="1916"/>
      <c r="AB52" s="850"/>
      <c r="AC52" s="850"/>
      <c r="AD52" s="850"/>
      <c r="AE52" s="850"/>
      <c r="AF52" s="1925">
        <v>11</v>
      </c>
    </row>
    <row s="14730" customFormat="1" customHeight="1" ht="11.549999999999999">
      <c r="A53" s="1271"/>
      <c r="B53" s="1920"/>
      <c r="C53" s="1920"/>
      <c r="D53" s="635"/>
      <c r="K53" s="1444"/>
      <c r="L53" s="1920"/>
      <c r="M53" s="1920"/>
      <c r="N53" s="1444"/>
      <c r="O53" s="1444"/>
      <c r="P53" s="1444"/>
      <c r="Q53" s="1444"/>
      <c r="R53" s="1920"/>
      <c r="S53" s="1444"/>
      <c r="T53" s="1444"/>
      <c r="U53" s="828"/>
      <c r="V53" s="1444"/>
      <c r="W53" s="1444"/>
      <c r="X53" s="1444"/>
      <c r="Y53" s="1444"/>
      <c r="Z53" s="1444"/>
      <c r="AA53" s="1916"/>
      <c r="AB53" s="850"/>
      <c r="AC53" s="850"/>
      <c r="AD53" s="850"/>
      <c r="AE53" s="850"/>
      <c r="AF53" s="1925">
        <v>11</v>
      </c>
    </row>
    <row s="14730" customFormat="1" customHeight="1" ht="11.549999999999999">
      <c r="A54" s="1271"/>
      <c r="B54" s="1920"/>
      <c r="C54" s="1920"/>
      <c r="D54" s="635"/>
      <c r="K54" s="1444"/>
      <c r="L54" s="1920"/>
      <c r="M54" s="1920"/>
      <c r="N54" s="1444"/>
      <c r="O54" s="1444"/>
      <c r="P54" s="1444"/>
      <c r="Q54" s="1444"/>
      <c r="R54" s="1920"/>
      <c r="S54" s="1444"/>
      <c r="T54" s="1444"/>
      <c r="U54" s="828"/>
      <c r="V54" s="1444"/>
      <c r="W54" s="1444"/>
      <c r="X54" s="1444"/>
      <c r="Y54" s="1444"/>
      <c r="Z54" s="1444"/>
      <c r="AA54" s="1916"/>
      <c r="AB54" s="850"/>
      <c r="AC54" s="850"/>
      <c r="AD54" s="850"/>
      <c r="AE54" s="850"/>
      <c r="AF54" s="1925">
        <v>11</v>
      </c>
    </row>
    <row s="14730" customFormat="1" customHeight="1" ht="11.549999999999999">
      <c r="A55" s="1271"/>
      <c r="B55" s="1920"/>
      <c r="C55" s="1920"/>
      <c r="D55" s="635"/>
      <c r="K55" s="1444"/>
      <c r="L55" s="1920"/>
      <c r="M55" s="1920"/>
      <c r="N55" s="1444"/>
      <c r="O55" s="1444"/>
      <c r="P55" s="1444"/>
      <c r="Q55" s="1444"/>
      <c r="R55" s="1920"/>
      <c r="S55" s="1444"/>
      <c r="T55" s="1444"/>
      <c r="U55" s="828"/>
      <c r="V55" s="1444"/>
      <c r="W55" s="1444"/>
      <c r="X55" s="1444"/>
      <c r="Y55" s="1444"/>
      <c r="Z55" s="1444"/>
      <c r="AA55" s="1916"/>
      <c r="AB55" s="850"/>
      <c r="AC55" s="850"/>
      <c r="AD55" s="850"/>
      <c r="AE55" s="850"/>
      <c r="AF55" s="1925">
        <v>11</v>
      </c>
    </row>
    <row s="14730" customFormat="1" customHeight="1" ht="11.549999999999999">
      <c r="A56" s="1271"/>
      <c r="B56" s="1920"/>
      <c r="C56" s="1920"/>
      <c r="D56" s="635"/>
      <c r="K56" s="1444"/>
      <c r="L56" s="1920"/>
      <c r="M56" s="1920"/>
      <c r="N56" s="1444"/>
      <c r="O56" s="1444"/>
      <c r="P56" s="1444"/>
      <c r="Q56" s="1444"/>
      <c r="R56" s="1920"/>
      <c r="S56" s="1444"/>
      <c r="T56" s="1444"/>
      <c r="U56" s="828"/>
      <c r="V56" s="1444"/>
      <c r="W56" s="1444"/>
      <c r="X56" s="1444"/>
      <c r="Y56" s="1444"/>
      <c r="Z56" s="1444"/>
      <c r="AA56" s="1916"/>
      <c r="AB56" s="850"/>
      <c r="AC56" s="850"/>
      <c r="AD56" s="850"/>
      <c r="AE56" s="850"/>
      <c r="AF56" s="1925">
        <v>11</v>
      </c>
    </row>
    <row s="14730" customFormat="1" customHeight="1" ht="11.549999999999999">
      <c r="A57" s="1271"/>
      <c r="B57" s="1920"/>
      <c r="C57" s="1920"/>
      <c r="D57" s="635"/>
      <c r="K57" s="1444"/>
      <c r="L57" s="1920"/>
      <c r="M57" s="1920"/>
      <c r="N57" s="1444"/>
      <c r="O57" s="1444"/>
      <c r="P57" s="1444"/>
      <c r="Q57" s="1444"/>
      <c r="R57" s="1920"/>
      <c r="S57" s="1444"/>
      <c r="T57" s="1444"/>
      <c r="U57" s="828"/>
      <c r="V57" s="1444"/>
      <c r="W57" s="1444"/>
      <c r="X57" s="1444"/>
      <c r="Y57" s="1444"/>
      <c r="Z57" s="1444"/>
      <c r="AA57" s="1916"/>
      <c r="AB57" s="850"/>
      <c r="AC57" s="850"/>
      <c r="AD57" s="850"/>
      <c r="AE57" s="850"/>
      <c r="AF57" s="1925">
        <v>11</v>
      </c>
    </row>
    <row s="14730" customFormat="1" customHeight="1" ht="11.549999999999999">
      <c r="A58" s="1271"/>
      <c r="B58" s="1920"/>
      <c r="C58" s="1920"/>
      <c r="D58" s="635"/>
      <c r="K58" s="1444"/>
      <c r="L58" s="1920"/>
      <c r="M58" s="1920"/>
      <c r="N58" s="1444"/>
      <c r="O58" s="1444"/>
      <c r="P58" s="1444"/>
      <c r="Q58" s="1444"/>
      <c r="R58" s="1920"/>
      <c r="S58" s="1444"/>
      <c r="T58" s="1444"/>
      <c r="U58" s="828"/>
      <c r="V58" s="1444"/>
      <c r="W58" s="1444"/>
      <c r="X58" s="1444"/>
      <c r="Y58" s="1444"/>
      <c r="Z58" s="1444"/>
      <c r="AA58" s="1916"/>
      <c r="AB58" s="850"/>
      <c r="AC58" s="850"/>
      <c r="AD58" s="850"/>
      <c r="AE58" s="850"/>
      <c r="AF58" s="1925">
        <v>11</v>
      </c>
    </row>
    <row s="14730" customFormat="1" customHeight="1" ht="11.549999999999999">
      <c r="A59" s="1271"/>
      <c r="B59" s="1920"/>
      <c r="C59" s="1920"/>
      <c r="D59" s="635"/>
      <c r="K59" s="1444"/>
      <c r="L59" s="1920"/>
      <c r="M59" s="1920"/>
      <c r="N59" s="1444"/>
      <c r="O59" s="1444"/>
      <c r="P59" s="1444"/>
      <c r="Q59" s="1444"/>
      <c r="R59" s="1920"/>
      <c r="S59" s="1444"/>
      <c r="T59" s="1444"/>
      <c r="U59" s="828"/>
      <c r="V59" s="1444"/>
      <c r="W59" s="1444"/>
      <c r="X59" s="1444"/>
      <c r="Y59" s="1444"/>
      <c r="Z59" s="1444"/>
      <c r="AA59" s="1916"/>
      <c r="AB59" s="850"/>
      <c r="AC59" s="850"/>
      <c r="AD59" s="850"/>
      <c r="AE59" s="850"/>
      <c r="AF59" s="1925">
        <v>11</v>
      </c>
    </row>
    <row s="14730" customFormat="1" customHeight="1" ht="11.549999999999999">
      <c r="A60" s="1271"/>
      <c r="B60" s="1920"/>
      <c r="C60" s="1920"/>
      <c r="D60" s="635"/>
      <c r="K60" s="1444"/>
      <c r="L60" s="1920"/>
      <c r="M60" s="1920"/>
      <c r="N60" s="1444"/>
      <c r="O60" s="1444"/>
      <c r="P60" s="1444"/>
      <c r="Q60" s="1444"/>
      <c r="R60" s="1920"/>
      <c r="S60" s="1444"/>
      <c r="T60" s="1444"/>
      <c r="U60" s="828"/>
      <c r="V60" s="1444"/>
      <c r="W60" s="1444"/>
      <c r="X60" s="1444"/>
      <c r="Y60" s="1444"/>
      <c r="Z60" s="1444"/>
      <c r="AA60" s="1916"/>
      <c r="AB60" s="850"/>
      <c r="AC60" s="850"/>
      <c r="AD60" s="850"/>
      <c r="AE60" s="850"/>
      <c r="AF60" s="1925">
        <v>11</v>
      </c>
    </row>
    <row s="14730" customFormat="1" customHeight="1" ht="11.549999999999999">
      <c r="A61" s="1271"/>
      <c r="B61" s="1920"/>
      <c r="C61" s="1920"/>
      <c r="D61" s="635"/>
      <c r="K61" s="1444"/>
      <c r="L61" s="1920"/>
      <c r="M61" s="1920"/>
      <c r="N61" s="1444"/>
      <c r="O61" s="1444"/>
      <c r="P61" s="1444"/>
      <c r="Q61" s="1444"/>
      <c r="R61" s="1920"/>
      <c r="S61" s="1444"/>
      <c r="T61" s="1444"/>
      <c r="U61" s="828"/>
      <c r="V61" s="1444"/>
      <c r="W61" s="1444"/>
      <c r="X61" s="1444"/>
      <c r="Y61" s="1444"/>
      <c r="Z61" s="1444"/>
      <c r="AA61" s="1916"/>
      <c r="AB61" s="850"/>
      <c r="AC61" s="850"/>
      <c r="AD61" s="850"/>
      <c r="AE61" s="850"/>
      <c r="AF61" s="1925">
        <v>11</v>
      </c>
    </row>
    <row s="14730" customFormat="1" customHeight="1" ht="11.549999999999999">
      <c r="A62" s="1271"/>
      <c r="B62" s="1920"/>
      <c r="C62" s="1920"/>
      <c r="D62" s="635"/>
      <c r="K62" s="1444"/>
      <c r="L62" s="1920"/>
      <c r="M62" s="1920"/>
      <c r="N62" s="1444"/>
      <c r="O62" s="1444"/>
      <c r="P62" s="1444"/>
      <c r="Q62" s="1444"/>
      <c r="R62" s="1920"/>
      <c r="S62" s="1444"/>
      <c r="T62" s="1444"/>
      <c r="U62" s="828"/>
      <c r="V62" s="1444"/>
      <c r="W62" s="1444"/>
      <c r="X62" s="1444"/>
      <c r="Y62" s="1444"/>
      <c r="Z62" s="1444"/>
      <c r="AA62" s="1916"/>
      <c r="AB62" s="850"/>
      <c r="AC62" s="850"/>
      <c r="AD62" s="850"/>
      <c r="AE62" s="850"/>
      <c r="AF62" s="1925">
        <v>11</v>
      </c>
    </row>
    <row s="14730" customFormat="1" customHeight="1" ht="11.549999999999999">
      <c r="A63" s="1271"/>
      <c r="B63" s="1920"/>
      <c r="C63" s="1920"/>
      <c r="D63" s="635"/>
      <c r="K63" s="1444"/>
      <c r="L63" s="1920"/>
      <c r="M63" s="1920"/>
      <c r="N63" s="1444"/>
      <c r="O63" s="1444"/>
      <c r="P63" s="1444"/>
      <c r="Q63" s="1444"/>
      <c r="R63" s="1920"/>
      <c r="S63" s="1444"/>
      <c r="T63" s="1444"/>
      <c r="U63" s="828"/>
      <c r="V63" s="1444"/>
      <c r="W63" s="1444"/>
      <c r="X63" s="1444"/>
      <c r="Y63" s="1444"/>
      <c r="Z63" s="1444"/>
      <c r="AA63" s="1916"/>
      <c r="AB63" s="850"/>
      <c r="AC63" s="850"/>
      <c r="AD63" s="850"/>
      <c r="AE63" s="850"/>
      <c r="AF63" s="1925">
        <v>11</v>
      </c>
    </row>
    <row s="14730" customFormat="1" customHeight="1" ht="11.549999999999999">
      <c r="A64" s="1271"/>
      <c r="B64" s="1920"/>
      <c r="C64" s="1920"/>
      <c r="D64" s="635"/>
      <c r="K64" s="1444"/>
      <c r="L64" s="1920"/>
      <c r="M64" s="1920"/>
      <c r="N64" s="1444"/>
      <c r="O64" s="1444"/>
      <c r="P64" s="1444"/>
      <c r="Q64" s="1444"/>
      <c r="R64" s="1920"/>
      <c r="S64" s="1444"/>
      <c r="T64" s="1444"/>
      <c r="U64" s="828"/>
      <c r="V64" s="1444"/>
      <c r="W64" s="1444"/>
      <c r="X64" s="1444"/>
      <c r="Y64" s="1444"/>
      <c r="Z64" s="1444"/>
      <c r="AA64" s="1916"/>
      <c r="AB64" s="850"/>
      <c r="AC64" s="850"/>
      <c r="AD64" s="850"/>
      <c r="AE64" s="850"/>
      <c r="AF64" s="1925">
        <v>11</v>
      </c>
    </row>
    <row s="14730" customFormat="1" customHeight="1" ht="11.549999999999999">
      <c r="A65" s="1271"/>
      <c r="B65" s="1920"/>
      <c r="C65" s="1920"/>
      <c r="D65" s="635"/>
      <c r="K65" s="1444"/>
      <c r="L65" s="1920"/>
      <c r="M65" s="1920"/>
      <c r="N65" s="1444"/>
      <c r="O65" s="1444"/>
      <c r="P65" s="1444"/>
      <c r="Q65" s="1444"/>
      <c r="R65" s="1920"/>
      <c r="S65" s="1444"/>
      <c r="T65" s="1444"/>
      <c r="U65" s="828"/>
      <c r="V65" s="1444"/>
      <c r="W65" s="1444"/>
      <c r="X65" s="1444"/>
      <c r="Y65" s="1444"/>
      <c r="Z65" s="1444"/>
      <c r="AA65" s="1916"/>
      <c r="AB65" s="850"/>
      <c r="AC65" s="850"/>
      <c r="AD65" s="850"/>
      <c r="AE65" s="850"/>
      <c r="AF65" s="1925">
        <v>11</v>
      </c>
    </row>
    <row s="14730" customFormat="1" customHeight="1" ht="11.549999999999999">
      <c r="A66" s="1271"/>
      <c r="B66" s="1920"/>
      <c r="C66" s="1920"/>
      <c r="D66" s="635"/>
      <c r="K66" s="1444"/>
      <c r="L66" s="1920"/>
      <c r="M66" s="1920"/>
      <c r="N66" s="1444"/>
      <c r="O66" s="1444"/>
      <c r="P66" s="1444"/>
      <c r="Q66" s="1444"/>
      <c r="R66" s="1920"/>
      <c r="S66" s="1444"/>
      <c r="T66" s="1444"/>
      <c r="U66" s="828"/>
      <c r="V66" s="1444"/>
      <c r="W66" s="1444"/>
      <c r="X66" s="1444"/>
      <c r="Y66" s="1444"/>
      <c r="Z66" s="1444"/>
      <c r="AA66" s="1916"/>
      <c r="AB66" s="850"/>
      <c r="AC66" s="850"/>
      <c r="AD66" s="850"/>
      <c r="AE66" s="850"/>
      <c r="AF66" s="1925">
        <v>11</v>
      </c>
    </row>
    <row s="14730" customFormat="1" customHeight="1" ht="11.549999999999999">
      <c r="A67" s="1271"/>
      <c r="B67" s="1920"/>
      <c r="C67" s="1920"/>
      <c r="D67" s="635"/>
      <c r="K67" s="1444"/>
      <c r="L67" s="1920"/>
      <c r="M67" s="1920"/>
      <c r="N67" s="1444"/>
      <c r="O67" s="1444"/>
      <c r="P67" s="1444"/>
      <c r="Q67" s="1444"/>
      <c r="R67" s="1920"/>
      <c r="S67" s="1444"/>
      <c r="T67" s="1444"/>
      <c r="U67" s="828"/>
      <c r="V67" s="1444"/>
      <c r="W67" s="1444"/>
      <c r="X67" s="1444"/>
      <c r="Y67" s="1444"/>
      <c r="Z67" s="1444"/>
      <c r="AA67" s="1916"/>
      <c r="AB67" s="850"/>
      <c r="AC67" s="850"/>
      <c r="AD67" s="850"/>
      <c r="AE67" s="850"/>
      <c r="AF67" s="1925">
        <v>11</v>
      </c>
    </row>
    <row s="14730" customFormat="1" customHeight="1" ht="11.549999999999999">
      <c r="A68" s="1271"/>
      <c r="B68" s="1920"/>
      <c r="C68" s="1920"/>
      <c r="D68" s="635"/>
      <c r="K68" s="1444"/>
      <c r="L68" s="1920"/>
      <c r="M68" s="1920"/>
      <c r="N68" s="1444"/>
      <c r="O68" s="1444"/>
      <c r="P68" s="1444"/>
      <c r="Q68" s="1444"/>
      <c r="R68" s="1920"/>
      <c r="S68" s="1444"/>
      <c r="T68" s="1444"/>
      <c r="U68" s="828"/>
      <c r="V68" s="1444"/>
      <c r="W68" s="1444"/>
      <c r="X68" s="1444"/>
      <c r="Y68" s="1444"/>
      <c r="Z68" s="1444"/>
      <c r="AA68" s="1916"/>
      <c r="AB68" s="850"/>
      <c r="AC68" s="850"/>
      <c r="AD68" s="850"/>
      <c r="AE68" s="850"/>
      <c r="AF68" s="1925">
        <v>11</v>
      </c>
    </row>
    <row s="14730" customFormat="1" customHeight="1" ht="11.549999999999999">
      <c r="A69" s="1271"/>
      <c r="B69" s="1920"/>
      <c r="C69" s="1920"/>
      <c r="D69" s="635"/>
      <c r="K69" s="1444"/>
      <c r="L69" s="1920"/>
      <c r="M69" s="1920"/>
      <c r="N69" s="1444"/>
      <c r="O69" s="1444"/>
      <c r="P69" s="1444"/>
      <c r="Q69" s="1444"/>
      <c r="R69" s="1920"/>
      <c r="S69" s="1444"/>
      <c r="T69" s="1444"/>
      <c r="U69" s="828"/>
      <c r="V69" s="1444"/>
      <c r="W69" s="1444"/>
      <c r="X69" s="1444"/>
      <c r="Y69" s="1444"/>
      <c r="Z69" s="1444"/>
      <c r="AA69" s="1916"/>
      <c r="AB69" s="850"/>
      <c r="AC69" s="850"/>
      <c r="AD69" s="850"/>
      <c r="AE69" s="850"/>
      <c r="AF69" s="1925">
        <v>11</v>
      </c>
    </row>
    <row s="14730" customFormat="1" customHeight="1" ht="11.549999999999999">
      <c r="A70" s="1271"/>
      <c r="B70" s="1920"/>
      <c r="C70" s="1920"/>
      <c r="D70" s="635"/>
      <c r="K70" s="1444"/>
      <c r="L70" s="1920"/>
      <c r="M70" s="1920"/>
      <c r="N70" s="1444"/>
      <c r="O70" s="1444"/>
      <c r="P70" s="1444"/>
      <c r="Q70" s="1444"/>
      <c r="R70" s="1920"/>
      <c r="S70" s="1444"/>
      <c r="T70" s="1444"/>
      <c r="U70" s="828"/>
      <c r="V70" s="1444"/>
      <c r="W70" s="1444"/>
      <c r="X70" s="1444"/>
      <c r="Y70" s="1444"/>
      <c r="Z70" s="1444"/>
      <c r="AA70" s="1916"/>
      <c r="AB70" s="850"/>
      <c r="AC70" s="850"/>
      <c r="AD70" s="850"/>
      <c r="AE70" s="850"/>
      <c r="AF70" s="1925">
        <v>11</v>
      </c>
    </row>
    <row s="14730" customFormat="1" customHeight="1" ht="11.549999999999999">
      <c r="A71" s="1271"/>
      <c r="B71" s="1920"/>
      <c r="C71" s="1920"/>
      <c r="D71" s="635"/>
      <c r="K71" s="1444"/>
      <c r="L71" s="1920"/>
      <c r="M71" s="1920"/>
      <c r="N71" s="1444"/>
      <c r="O71" s="1444"/>
      <c r="P71" s="1444"/>
      <c r="Q71" s="1444"/>
      <c r="R71" s="1920"/>
      <c r="S71" s="1444"/>
      <c r="T71" s="1444"/>
      <c r="U71" s="828"/>
      <c r="V71" s="1444"/>
      <c r="W71" s="1444"/>
      <c r="X71" s="1444"/>
      <c r="Y71" s="1444"/>
      <c r="Z71" s="1444"/>
      <c r="AA71" s="1916"/>
      <c r="AB71" s="850"/>
      <c r="AC71" s="850"/>
      <c r="AD71" s="850"/>
      <c r="AE71" s="850"/>
      <c r="AF71" s="1925">
        <v>11</v>
      </c>
    </row>
    <row s="14730" customFormat="1" customHeight="1" ht="11.549999999999999">
      <c r="A72" s="1271"/>
      <c r="B72" s="1920"/>
      <c r="C72" s="1920"/>
      <c r="D72" s="635"/>
      <c r="K72" s="1444"/>
      <c r="L72" s="1920"/>
      <c r="M72" s="1920"/>
      <c r="N72" s="1444"/>
      <c r="O72" s="1444"/>
      <c r="P72" s="1444"/>
      <c r="Q72" s="1444"/>
      <c r="R72" s="1920"/>
      <c r="S72" s="1444"/>
      <c r="T72" s="1444"/>
      <c r="U72" s="828"/>
      <c r="V72" s="1444"/>
      <c r="W72" s="1444"/>
      <c r="X72" s="1444"/>
      <c r="Y72" s="1444"/>
      <c r="Z72" s="1444"/>
      <c r="AA72" s="1916"/>
      <c r="AB72" s="850"/>
      <c r="AC72" s="850"/>
      <c r="AD72" s="850"/>
      <c r="AE72" s="850"/>
      <c r="AF72" s="1925">
        <v>11</v>
      </c>
    </row>
    <row s="14730" customFormat="1" customHeight="1" ht="11.549999999999999">
      <c r="A73" s="1271"/>
      <c r="B73" s="1920"/>
      <c r="C73" s="1920"/>
      <c r="D73" s="635"/>
      <c r="K73" s="1444"/>
      <c r="L73" s="1920"/>
      <c r="M73" s="1920"/>
      <c r="N73" s="1444"/>
      <c r="O73" s="1444"/>
      <c r="P73" s="1444"/>
      <c r="Q73" s="1444"/>
      <c r="R73" s="1920"/>
      <c r="S73" s="1444"/>
      <c r="T73" s="1444"/>
      <c r="U73" s="828"/>
      <c r="V73" s="1444"/>
      <c r="W73" s="1444"/>
      <c r="X73" s="1444"/>
      <c r="Y73" s="1444"/>
      <c r="Z73" s="1444"/>
      <c r="AA73" s="1916"/>
      <c r="AB73" s="850"/>
      <c r="AC73" s="850"/>
      <c r="AD73" s="850"/>
      <c r="AE73" s="850"/>
      <c r="AF73" s="1925">
        <v>11</v>
      </c>
    </row>
    <row s="14730" customFormat="1" customHeight="1" ht="11.549999999999999">
      <c r="A74" s="1271"/>
      <c r="B74" s="1920"/>
      <c r="C74" s="1920"/>
      <c r="D74" s="635"/>
      <c r="K74" s="1444"/>
      <c r="L74" s="1920"/>
      <c r="M74" s="1920"/>
      <c r="N74" s="1444"/>
      <c r="O74" s="1444"/>
      <c r="P74" s="1444"/>
      <c r="Q74" s="1444"/>
      <c r="R74" s="1920"/>
      <c r="S74" s="1444"/>
      <c r="T74" s="1444"/>
      <c r="U74" s="828"/>
      <c r="V74" s="1444"/>
      <c r="W74" s="1444"/>
      <c r="X74" s="1444"/>
      <c r="Y74" s="1444"/>
      <c r="Z74" s="1444"/>
      <c r="AA74" s="1916"/>
      <c r="AB74" s="850"/>
      <c r="AC74" s="850"/>
      <c r="AD74" s="850"/>
      <c r="AE74" s="850"/>
      <c r="AF74" s="1925">
        <v>11</v>
      </c>
    </row>
    <row s="14730" customFormat="1" customHeight="1" ht="11.549999999999999">
      <c r="A75" s="1271"/>
      <c r="B75" s="1920"/>
      <c r="C75" s="1920"/>
      <c r="D75" s="635"/>
      <c r="K75" s="1444"/>
      <c r="L75" s="1920"/>
      <c r="M75" s="1920"/>
      <c r="N75" s="1444"/>
      <c r="O75" s="1444"/>
      <c r="P75" s="1444"/>
      <c r="Q75" s="1444"/>
      <c r="R75" s="1920"/>
      <c r="S75" s="1444"/>
      <c r="T75" s="1444"/>
      <c r="U75" s="828"/>
      <c r="V75" s="1444"/>
      <c r="W75" s="1444"/>
      <c r="X75" s="1444"/>
      <c r="Y75" s="1444"/>
      <c r="Z75" s="1444"/>
      <c r="AA75" s="1916"/>
      <c r="AB75" s="850"/>
      <c r="AC75" s="850"/>
      <c r="AD75" s="850"/>
      <c r="AE75" s="850"/>
      <c r="AF75" s="1925">
        <v>11</v>
      </c>
    </row>
    <row s="14730" customFormat="1" customHeight="1" ht="11.549999999999999">
      <c r="A76" s="1271"/>
      <c r="B76" s="1920"/>
      <c r="C76" s="1920"/>
      <c r="D76" s="635"/>
      <c r="K76" s="1444"/>
      <c r="L76" s="1920"/>
      <c r="M76" s="1920"/>
      <c r="N76" s="1444"/>
      <c r="O76" s="1444"/>
      <c r="P76" s="1444"/>
      <c r="Q76" s="1444"/>
      <c r="R76" s="1920"/>
      <c r="S76" s="1444"/>
      <c r="T76" s="1444"/>
      <c r="U76" s="828"/>
      <c r="V76" s="1444"/>
      <c r="W76" s="1444"/>
      <c r="X76" s="1444"/>
      <c r="Y76" s="1444"/>
      <c r="Z76" s="1444"/>
      <c r="AA76" s="1916"/>
      <c r="AB76" s="850"/>
      <c r="AC76" s="850"/>
      <c r="AD76" s="850"/>
      <c r="AE76" s="850"/>
      <c r="AF76" s="1925">
        <v>11</v>
      </c>
    </row>
    <row s="14730" customFormat="1" customHeight="1" ht="11.549999999999999">
      <c r="A77" s="1271"/>
      <c r="B77" s="1920"/>
      <c r="C77" s="1920"/>
      <c r="D77" s="635"/>
      <c r="K77" s="1444"/>
      <c r="L77" s="1920"/>
      <c r="M77" s="1920"/>
      <c r="N77" s="1444"/>
      <c r="O77" s="1444"/>
      <c r="P77" s="1444"/>
      <c r="Q77" s="1444"/>
      <c r="R77" s="1920"/>
      <c r="S77" s="1444"/>
      <c r="T77" s="1444"/>
      <c r="U77" s="828"/>
      <c r="V77" s="1444"/>
      <c r="W77" s="1444"/>
      <c r="X77" s="1444"/>
      <c r="Y77" s="1444"/>
      <c r="Z77" s="1444"/>
      <c r="AA77" s="1916"/>
      <c r="AB77" s="850"/>
      <c r="AC77" s="850"/>
      <c r="AD77" s="850"/>
      <c r="AE77" s="850"/>
      <c r="AF77" s="1925">
        <v>11</v>
      </c>
    </row>
    <row s="14730" customFormat="1" customHeight="1" ht="11.549999999999999">
      <c r="A78" s="1271"/>
      <c r="B78" s="1920"/>
      <c r="C78" s="1920"/>
      <c r="D78" s="635"/>
      <c r="K78" s="1444"/>
      <c r="L78" s="1920"/>
      <c r="M78" s="1920"/>
      <c r="N78" s="1444"/>
      <c r="O78" s="1444"/>
      <c r="P78" s="1444"/>
      <c r="Q78" s="1444"/>
      <c r="R78" s="1920"/>
      <c r="S78" s="1444"/>
      <c r="T78" s="1444"/>
      <c r="U78" s="828"/>
      <c r="V78" s="1444"/>
      <c r="W78" s="1444"/>
      <c r="X78" s="1444"/>
      <c r="Y78" s="1444"/>
      <c r="Z78" s="1444"/>
      <c r="AA78" s="1916"/>
      <c r="AB78" s="850"/>
      <c r="AC78" s="850"/>
      <c r="AD78" s="850"/>
      <c r="AE78" s="850"/>
      <c r="AF78" s="1925">
        <v>11</v>
      </c>
    </row>
    <row s="14730" customFormat="1" customHeight="1" ht="11.549999999999999">
      <c r="A79" s="1271"/>
      <c r="B79" s="1920"/>
      <c r="C79" s="1920"/>
      <c r="D79" s="635"/>
      <c r="K79" s="1444"/>
      <c r="L79" s="1920"/>
      <c r="M79" s="1920"/>
      <c r="N79" s="1444"/>
      <c r="O79" s="1444"/>
      <c r="P79" s="1444"/>
      <c r="Q79" s="1444"/>
      <c r="R79" s="1920"/>
      <c r="S79" s="1444"/>
      <c r="T79" s="1444"/>
      <c r="U79" s="828"/>
      <c r="V79" s="1444"/>
      <c r="W79" s="1444"/>
      <c r="X79" s="1444"/>
      <c r="Y79" s="1444"/>
      <c r="Z79" s="1444"/>
      <c r="AA79" s="1916"/>
      <c r="AB79" s="850"/>
      <c r="AC79" s="850"/>
      <c r="AD79" s="850"/>
      <c r="AE79" s="850"/>
      <c r="AF79" s="1925">
        <v>11</v>
      </c>
    </row>
    <row s="14730" customFormat="1" customHeight="1" ht="11.549999999999999">
      <c r="A80" s="1271"/>
      <c r="B80" s="1920"/>
      <c r="C80" s="1920"/>
      <c r="D80" s="635"/>
      <c r="K80" s="1444"/>
      <c r="L80" s="1920"/>
      <c r="M80" s="1920"/>
      <c r="N80" s="1444"/>
      <c r="O80" s="1444"/>
      <c r="P80" s="1444"/>
      <c r="Q80" s="1444"/>
      <c r="R80" s="1920"/>
      <c r="S80" s="1444"/>
      <c r="T80" s="1444"/>
      <c r="U80" s="828"/>
      <c r="V80" s="1444"/>
      <c r="W80" s="1444"/>
      <c r="X80" s="1444"/>
      <c r="Y80" s="1444"/>
      <c r="Z80" s="1444"/>
      <c r="AA80" s="1916"/>
      <c r="AB80" s="850"/>
      <c r="AC80" s="850"/>
      <c r="AD80" s="850"/>
      <c r="AE80" s="850"/>
      <c r="AF80" s="1925">
        <v>11</v>
      </c>
    </row>
    <row s="14730" customFormat="1" customHeight="1" ht="11.549999999999999">
      <c r="A81" s="1271"/>
      <c r="B81" s="1920"/>
      <c r="C81" s="1920"/>
      <c r="D81" s="635"/>
      <c r="K81" s="1444"/>
      <c r="L81" s="1920"/>
      <c r="M81" s="1920"/>
      <c r="N81" s="1444"/>
      <c r="O81" s="1444"/>
      <c r="P81" s="1444"/>
      <c r="Q81" s="1444"/>
      <c r="R81" s="1920"/>
      <c r="S81" s="1444"/>
      <c r="T81" s="1444"/>
      <c r="U81" s="828"/>
      <c r="V81" s="1444"/>
      <c r="W81" s="1444"/>
      <c r="X81" s="1444"/>
      <c r="Y81" s="1444"/>
      <c r="Z81" s="1444"/>
      <c r="AA81" s="1916"/>
      <c r="AB81" s="850"/>
      <c r="AC81" s="850"/>
      <c r="AD81" s="850"/>
      <c r="AE81" s="850"/>
      <c r="AF81" s="1925">
        <v>11</v>
      </c>
    </row>
    <row s="14730" customFormat="1" customHeight="1" ht="11.549999999999999">
      <c r="A82" s="1271"/>
      <c r="B82" s="1920"/>
      <c r="C82" s="1920"/>
      <c r="D82" s="635"/>
      <c r="K82" s="1444"/>
      <c r="L82" s="1920"/>
      <c r="M82" s="1920"/>
      <c r="N82" s="1444"/>
      <c r="O82" s="1444"/>
      <c r="P82" s="1444"/>
      <c r="Q82" s="1444"/>
      <c r="R82" s="1920"/>
      <c r="S82" s="1444"/>
      <c r="T82" s="1444"/>
      <c r="U82" s="828"/>
      <c r="V82" s="1444"/>
      <c r="W82" s="1444"/>
      <c r="X82" s="1444"/>
      <c r="Y82" s="1444"/>
      <c r="Z82" s="1444"/>
      <c r="AA82" s="1916"/>
      <c r="AB82" s="850"/>
      <c r="AC82" s="850"/>
      <c r="AD82" s="850"/>
      <c r="AE82" s="850"/>
      <c r="AF82" s="1925">
        <v>11</v>
      </c>
    </row>
    <row s="14730" customFormat="1" customHeight="1" ht="11.549999999999999">
      <c r="A83" s="1271"/>
      <c r="B83" s="1920"/>
      <c r="C83" s="1920"/>
      <c r="D83" s="635"/>
      <c r="K83" s="1444"/>
      <c r="L83" s="1920"/>
      <c r="M83" s="1920"/>
      <c r="N83" s="1444"/>
      <c r="O83" s="1444"/>
      <c r="P83" s="1444"/>
      <c r="Q83" s="1444"/>
      <c r="R83" s="1920"/>
      <c r="S83" s="1444"/>
      <c r="T83" s="1444"/>
      <c r="U83" s="828"/>
      <c r="V83" s="1444"/>
      <c r="W83" s="1444"/>
      <c r="X83" s="1444"/>
      <c r="Y83" s="1444"/>
      <c r="Z83" s="1444"/>
      <c r="AA83" s="1916"/>
      <c r="AB83" s="850"/>
      <c r="AC83" s="850"/>
      <c r="AD83" s="850"/>
      <c r="AE83" s="850"/>
      <c r="AF83" s="1925">
        <v>11</v>
      </c>
    </row>
    <row s="14730" customFormat="1" customHeight="1" ht="11.549999999999999">
      <c r="A84" s="1271"/>
      <c r="B84" s="1920"/>
      <c r="C84" s="1920"/>
      <c r="D84" s="635"/>
      <c r="K84" s="1444"/>
      <c r="L84" s="1920"/>
      <c r="M84" s="1920"/>
      <c r="N84" s="1444"/>
      <c r="O84" s="1444"/>
      <c r="P84" s="1444"/>
      <c r="Q84" s="1444"/>
      <c r="R84" s="1920"/>
      <c r="S84" s="1444"/>
      <c r="T84" s="1444"/>
      <c r="U84" s="828"/>
      <c r="V84" s="1444"/>
      <c r="W84" s="1444"/>
      <c r="X84" s="1444"/>
      <c r="Y84" s="1444"/>
      <c r="Z84" s="1444"/>
      <c r="AA84" s="1916"/>
      <c r="AB84" s="850"/>
      <c r="AC84" s="850"/>
      <c r="AD84" s="850"/>
      <c r="AE84" s="850"/>
      <c r="AF84" s="1925">
        <v>11</v>
      </c>
    </row>
    <row s="14730" customFormat="1" customHeight="1" ht="11.549999999999999">
      <c r="A85" s="1271"/>
      <c r="B85" s="1920"/>
      <c r="C85" s="1920"/>
      <c r="D85" s="635"/>
      <c r="K85" s="1444"/>
      <c r="L85" s="1920"/>
      <c r="M85" s="1920"/>
      <c r="N85" s="1444"/>
      <c r="O85" s="1444"/>
      <c r="P85" s="1444"/>
      <c r="Q85" s="1444"/>
      <c r="R85" s="1920"/>
      <c r="S85" s="1444"/>
      <c r="T85" s="1444"/>
      <c r="U85" s="828"/>
      <c r="V85" s="1444"/>
      <c r="W85" s="1444"/>
      <c r="X85" s="1444"/>
      <c r="Y85" s="1444"/>
      <c r="Z85" s="1444"/>
      <c r="AA85" s="1916"/>
      <c r="AB85" s="850"/>
      <c r="AC85" s="850"/>
      <c r="AD85" s="850"/>
      <c r="AE85" s="850"/>
      <c r="AF85" s="1925">
        <v>11</v>
      </c>
    </row>
    <row s="14730" customFormat="1" customHeight="1" ht="11.549999999999999">
      <c r="A86" s="1271"/>
      <c r="B86" s="1920"/>
      <c r="C86" s="1920"/>
      <c r="D86" s="635"/>
      <c r="K86" s="1444"/>
      <c r="L86" s="1920"/>
      <c r="M86" s="1920"/>
      <c r="N86" s="1444"/>
      <c r="O86" s="1444"/>
      <c r="P86" s="1444"/>
      <c r="Q86" s="1444"/>
      <c r="R86" s="1920"/>
      <c r="S86" s="1444"/>
      <c r="T86" s="1444"/>
      <c r="U86" s="828"/>
      <c r="V86" s="1444"/>
      <c r="W86" s="1444"/>
      <c r="X86" s="1444"/>
      <c r="Y86" s="1444"/>
      <c r="Z86" s="1444"/>
      <c r="AA86" s="1916"/>
      <c r="AB86" s="850"/>
      <c r="AC86" s="850"/>
      <c r="AD86" s="850"/>
      <c r="AE86" s="850"/>
      <c r="AF86" s="1925">
        <v>11</v>
      </c>
    </row>
    <row s="14730" customFormat="1" customHeight="1" ht="11.549999999999999">
      <c r="A87" s="1271"/>
      <c r="B87" s="1920"/>
      <c r="C87" s="1920"/>
      <c r="D87" s="635"/>
      <c r="K87" s="1444"/>
      <c r="L87" s="1920"/>
      <c r="M87" s="1920"/>
      <c r="N87" s="1444"/>
      <c r="O87" s="1444"/>
      <c r="P87" s="1444"/>
      <c r="Q87" s="1444"/>
      <c r="R87" s="1920"/>
      <c r="S87" s="1444"/>
      <c r="T87" s="1444"/>
      <c r="U87" s="828"/>
      <c r="V87" s="1444"/>
      <c r="W87" s="1444"/>
      <c r="X87" s="1444"/>
      <c r="Y87" s="1444"/>
      <c r="Z87" s="1444"/>
      <c r="AA87" s="1916"/>
      <c r="AB87" s="850"/>
      <c r="AC87" s="850"/>
      <c r="AD87" s="850"/>
      <c r="AE87" s="850"/>
      <c r="AF87" s="1925">
        <v>11</v>
      </c>
    </row>
    <row s="14730" customFormat="1" customHeight="1" ht="11.549999999999999">
      <c r="A88" s="1271"/>
      <c r="B88" s="1920"/>
      <c r="C88" s="1920"/>
      <c r="D88" s="635"/>
      <c r="K88" s="1444"/>
      <c r="L88" s="1920"/>
      <c r="M88" s="1920"/>
      <c r="N88" s="1444"/>
      <c r="O88" s="1444"/>
      <c r="P88" s="1444"/>
      <c r="Q88" s="1444"/>
      <c r="R88" s="1920"/>
      <c r="S88" s="1444"/>
      <c r="T88" s="1444"/>
      <c r="U88" s="828"/>
      <c r="V88" s="1444"/>
      <c r="W88" s="1444"/>
      <c r="X88" s="1444"/>
      <c r="Y88" s="1444"/>
      <c r="Z88" s="1444"/>
      <c r="AA88" s="1916"/>
      <c r="AB88" s="850"/>
      <c r="AC88" s="850"/>
      <c r="AD88" s="850"/>
      <c r="AE88" s="850"/>
      <c r="AF88" s="1925">
        <v>11</v>
      </c>
    </row>
    <row s="14730" customFormat="1" customHeight="1" ht="11.549999999999999">
      <c r="A89" s="1271"/>
      <c r="B89" s="1920"/>
      <c r="C89" s="1920"/>
      <c r="D89" s="635"/>
      <c r="K89" s="1444"/>
      <c r="L89" s="1920"/>
      <c r="M89" s="1920"/>
      <c r="N89" s="1444"/>
      <c r="O89" s="1444"/>
      <c r="P89" s="1444"/>
      <c r="Q89" s="1444"/>
      <c r="R89" s="1920"/>
      <c r="S89" s="1444"/>
      <c r="T89" s="1444"/>
      <c r="U89" s="828"/>
      <c r="V89" s="1444"/>
      <c r="W89" s="1444"/>
      <c r="X89" s="1444"/>
      <c r="Y89" s="1444"/>
      <c r="Z89" s="1444"/>
      <c r="AA89" s="1916"/>
      <c r="AB89" s="850"/>
      <c r="AC89" s="850"/>
      <c r="AD89" s="850"/>
      <c r="AE89" s="850"/>
      <c r="AF89" s="1925">
        <v>11</v>
      </c>
    </row>
    <row s="14730" customFormat="1" customHeight="1" ht="11.549999999999999">
      <c r="A90" s="1271"/>
      <c r="B90" s="1920"/>
      <c r="C90" s="1920"/>
      <c r="D90" s="635"/>
      <c r="K90" s="1444"/>
      <c r="L90" s="1920"/>
      <c r="M90" s="1920"/>
      <c r="N90" s="1444"/>
      <c r="O90" s="1444"/>
      <c r="P90" s="1444"/>
      <c r="Q90" s="1444"/>
      <c r="R90" s="1920"/>
      <c r="S90" s="1444"/>
      <c r="T90" s="1444"/>
      <c r="U90" s="828"/>
      <c r="V90" s="1444"/>
      <c r="W90" s="1444"/>
      <c r="X90" s="1444"/>
      <c r="Y90" s="1444"/>
      <c r="Z90" s="1444"/>
      <c r="AA90" s="1916"/>
      <c r="AB90" s="850"/>
      <c r="AC90" s="850"/>
      <c r="AD90" s="850"/>
      <c r="AE90" s="850"/>
      <c r="AF90" s="1925">
        <v>11</v>
      </c>
    </row>
    <row s="14730" customFormat="1" customHeight="1" ht="11.549999999999999">
      <c r="A91" s="1271"/>
      <c r="B91" s="1920"/>
      <c r="C91" s="1920"/>
      <c r="D91" s="635"/>
      <c r="K91" s="1444"/>
      <c r="L91" s="1920"/>
      <c r="M91" s="1920"/>
      <c r="N91" s="1444"/>
      <c r="O91" s="1444"/>
      <c r="P91" s="1444"/>
      <c r="Q91" s="1444"/>
      <c r="R91" s="1920"/>
      <c r="S91" s="1444"/>
      <c r="T91" s="1444"/>
      <c r="U91" s="828"/>
      <c r="V91" s="1444"/>
      <c r="W91" s="1444"/>
      <c r="X91" s="1444"/>
      <c r="Y91" s="1444"/>
      <c r="Z91" s="1444"/>
      <c r="AA91" s="1916"/>
      <c r="AB91" s="850"/>
      <c r="AC91" s="850"/>
      <c r="AD91" s="850"/>
      <c r="AE91" s="850"/>
      <c r="AF91" s="1925">
        <v>11</v>
      </c>
    </row>
    <row s="14730" customFormat="1" customHeight="1" ht="11.549999999999999">
      <c r="A92" s="1271"/>
      <c r="B92" s="1920"/>
      <c r="C92" s="1920"/>
      <c r="D92" s="635"/>
      <c r="K92" s="1444"/>
      <c r="L92" s="1920"/>
      <c r="M92" s="1920"/>
      <c r="N92" s="1444"/>
      <c r="O92" s="1444"/>
      <c r="P92" s="1444"/>
      <c r="Q92" s="1444"/>
      <c r="R92" s="1920"/>
      <c r="S92" s="1444"/>
      <c r="T92" s="1444"/>
      <c r="U92" s="828"/>
      <c r="V92" s="1444"/>
      <c r="W92" s="1444"/>
      <c r="X92" s="1444"/>
      <c r="Y92" s="1444"/>
      <c r="Z92" s="1444"/>
      <c r="AA92" s="1916"/>
      <c r="AB92" s="850"/>
      <c r="AC92" s="850"/>
      <c r="AD92" s="850"/>
      <c r="AE92" s="850"/>
      <c r="AF92" s="1925">
        <v>11</v>
      </c>
    </row>
    <row s="14730" customFormat="1" customHeight="1" ht="11.549999999999999">
      <c r="A93" s="1271"/>
      <c r="B93" s="1920"/>
      <c r="C93" s="1920"/>
      <c r="D93" s="635"/>
      <c r="K93" s="1444"/>
      <c r="L93" s="1920"/>
      <c r="M93" s="1920"/>
      <c r="N93" s="1444"/>
      <c r="O93" s="1444"/>
      <c r="P93" s="1444"/>
      <c r="Q93" s="1444"/>
      <c r="R93" s="1920"/>
      <c r="S93" s="1444"/>
      <c r="T93" s="1444"/>
      <c r="U93" s="828"/>
      <c r="V93" s="1444"/>
      <c r="W93" s="1444"/>
      <c r="X93" s="1444"/>
      <c r="Y93" s="1444"/>
      <c r="Z93" s="1444"/>
      <c r="AA93" s="1916"/>
      <c r="AB93" s="850"/>
      <c r="AC93" s="850"/>
      <c r="AD93" s="850"/>
      <c r="AE93" s="850"/>
      <c r="AF93" s="1925">
        <v>11</v>
      </c>
    </row>
    <row s="14730" customFormat="1" customHeight="1" ht="11.549999999999999">
      <c r="A94" s="1271"/>
      <c r="B94" s="1920"/>
      <c r="C94" s="1920"/>
      <c r="D94" s="635"/>
      <c r="K94" s="1444"/>
      <c r="L94" s="1920"/>
      <c r="M94" s="1920"/>
      <c r="N94" s="1444"/>
      <c r="O94" s="1444"/>
      <c r="P94" s="1444"/>
      <c r="Q94" s="1444"/>
      <c r="R94" s="1920"/>
      <c r="S94" s="1444"/>
      <c r="T94" s="1444"/>
      <c r="U94" s="828"/>
      <c r="V94" s="1444"/>
      <c r="W94" s="1444"/>
      <c r="X94" s="1444"/>
      <c r="Y94" s="1444"/>
      <c r="Z94" s="1444"/>
      <c r="AA94" s="1916"/>
      <c r="AB94" s="850"/>
      <c r="AC94" s="850"/>
      <c r="AD94" s="850"/>
      <c r="AE94" s="850"/>
      <c r="AF94" s="1925">
        <v>11</v>
      </c>
    </row>
    <row s="14730" customFormat="1" customHeight="1" ht="11.549999999999999">
      <c r="A95" s="1271"/>
      <c r="B95" s="1920"/>
      <c r="C95" s="1920"/>
      <c r="D95" s="635"/>
      <c r="K95" s="1444"/>
      <c r="L95" s="1920"/>
      <c r="M95" s="1920"/>
      <c r="N95" s="1444"/>
      <c r="O95" s="1444"/>
      <c r="P95" s="1444"/>
      <c r="Q95" s="1444"/>
      <c r="R95" s="1920"/>
      <c r="S95" s="1444"/>
      <c r="T95" s="1444"/>
      <c r="U95" s="828"/>
      <c r="V95" s="1444"/>
      <c r="W95" s="1444"/>
      <c r="X95" s="1444"/>
      <c r="Y95" s="1444"/>
      <c r="Z95" s="1444"/>
      <c r="AA95" s="1916"/>
      <c r="AB95" s="850"/>
      <c r="AC95" s="850"/>
      <c r="AD95" s="850"/>
      <c r="AE95" s="850"/>
      <c r="AF95" s="1925">
        <v>11</v>
      </c>
    </row>
    <row s="14730" customFormat="1" customHeight="1" ht="11.549999999999999">
      <c r="A96" s="1271"/>
      <c r="B96" s="1920"/>
      <c r="C96" s="1920"/>
      <c r="D96" s="635"/>
      <c r="K96" s="1444"/>
      <c r="L96" s="1920"/>
      <c r="M96" s="1920"/>
      <c r="N96" s="1444"/>
      <c r="O96" s="1444"/>
      <c r="P96" s="1444"/>
      <c r="Q96" s="1444"/>
      <c r="R96" s="1920"/>
      <c r="S96" s="1444"/>
      <c r="T96" s="1444"/>
      <c r="U96" s="828"/>
      <c r="V96" s="1444"/>
      <c r="W96" s="1444"/>
      <c r="X96" s="1444"/>
      <c r="Y96" s="1444"/>
      <c r="Z96" s="1444"/>
      <c r="AA96" s="1916"/>
      <c r="AB96" s="850"/>
      <c r="AC96" s="850"/>
      <c r="AD96" s="850"/>
      <c r="AE96" s="850"/>
      <c r="AF96" s="1925">
        <v>11</v>
      </c>
    </row>
    <row s="14730" customFormat="1" customHeight="1" ht="11.549999999999999">
      <c r="A97" s="1271"/>
      <c r="B97" s="1920"/>
      <c r="C97" s="1920"/>
      <c r="D97" s="635"/>
      <c r="K97" s="1444"/>
      <c r="L97" s="1920"/>
      <c r="M97" s="1920"/>
      <c r="N97" s="1444"/>
      <c r="O97" s="1444"/>
      <c r="P97" s="1444"/>
      <c r="Q97" s="1444"/>
      <c r="R97" s="1920"/>
      <c r="S97" s="1444"/>
      <c r="T97" s="1444"/>
      <c r="U97" s="828"/>
      <c r="V97" s="1444"/>
      <c r="W97" s="1444"/>
      <c r="X97" s="1444"/>
      <c r="Y97" s="1444"/>
      <c r="Z97" s="1444"/>
      <c r="AA97" s="1916"/>
      <c r="AB97" s="850"/>
      <c r="AC97" s="850"/>
      <c r="AD97" s="850"/>
      <c r="AE97" s="850"/>
      <c r="AF97" s="1925">
        <v>11</v>
      </c>
    </row>
    <row s="14730" customFormat="1" customHeight="1" ht="11.549999999999999">
      <c r="A98" s="1271"/>
      <c r="B98" s="1920"/>
      <c r="C98" s="1920"/>
      <c r="D98" s="635"/>
      <c r="K98" s="1444"/>
      <c r="L98" s="1920"/>
      <c r="M98" s="1920"/>
      <c r="N98" s="1444"/>
      <c r="O98" s="1444"/>
      <c r="P98" s="1444"/>
      <c r="Q98" s="1444"/>
      <c r="R98" s="1920"/>
      <c r="S98" s="1444"/>
      <c r="T98" s="1444"/>
      <c r="U98" s="828"/>
      <c r="V98" s="1444"/>
      <c r="W98" s="1444"/>
      <c r="X98" s="1444"/>
      <c r="Y98" s="1444"/>
      <c r="Z98" s="1444"/>
      <c r="AA98" s="1916"/>
      <c r="AB98" s="850"/>
      <c r="AC98" s="850"/>
      <c r="AD98" s="850"/>
      <c r="AE98" s="850"/>
      <c r="AF98" s="1925">
        <v>11</v>
      </c>
    </row>
    <row s="14730" customFormat="1" customHeight="1" ht="11.549999999999999">
      <c r="A99" s="1271"/>
      <c r="B99" s="1920"/>
      <c r="C99" s="1920"/>
      <c r="D99" s="635"/>
      <c r="K99" s="1444"/>
      <c r="L99" s="1920"/>
      <c r="M99" s="1920"/>
      <c r="N99" s="1444"/>
      <c r="O99" s="1444"/>
      <c r="P99" s="1444"/>
      <c r="Q99" s="1444"/>
      <c r="R99" s="1920"/>
      <c r="S99" s="1444"/>
      <c r="T99" s="1444"/>
      <c r="U99" s="828"/>
      <c r="V99" s="1444"/>
      <c r="W99" s="1444"/>
      <c r="X99" s="1444"/>
      <c r="Y99" s="1444"/>
      <c r="Z99" s="1444"/>
      <c r="AA99" s="1916"/>
      <c r="AB99" s="850"/>
      <c r="AC99" s="850"/>
      <c r="AD99" s="850"/>
      <c r="AE99" s="850"/>
      <c r="AF99" s="1925">
        <v>11</v>
      </c>
    </row>
    <row s="14730" customFormat="1" customHeight="1" ht="11.549999999999999">
      <c r="A100" s="1271"/>
      <c r="B100" s="1920"/>
      <c r="C100" s="1920"/>
      <c r="D100" s="635"/>
      <c r="K100" s="1444"/>
      <c r="L100" s="1920"/>
      <c r="M100" s="1920"/>
      <c r="N100" s="1444"/>
      <c r="O100" s="1444"/>
      <c r="P100" s="1444"/>
      <c r="Q100" s="1444"/>
      <c r="R100" s="1920"/>
      <c r="S100" s="1444"/>
      <c r="T100" s="1444"/>
      <c r="U100" s="828"/>
      <c r="V100" s="1444"/>
      <c r="W100" s="1444"/>
      <c r="X100" s="1444"/>
      <c r="Y100" s="1444"/>
      <c r="Z100" s="1444"/>
      <c r="AA100" s="1916"/>
      <c r="AB100" s="850"/>
      <c r="AC100" s="850"/>
      <c r="AD100" s="850"/>
      <c r="AE100" s="850"/>
      <c r="AF100" s="1925">
        <v>11</v>
      </c>
    </row>
    <row s="14730" customFormat="1" customHeight="1" ht="11.549999999999999">
      <c r="A101" s="1271"/>
      <c r="B101" s="1920"/>
      <c r="C101" s="1920"/>
      <c r="D101" s="635"/>
      <c r="K101" s="1444"/>
      <c r="L101" s="1920"/>
      <c r="M101" s="1920"/>
      <c r="N101" s="1444"/>
      <c r="O101" s="1444"/>
      <c r="P101" s="1444"/>
      <c r="Q101" s="1444"/>
      <c r="R101" s="1920"/>
      <c r="S101" s="1444"/>
      <c r="T101" s="1444"/>
      <c r="U101" s="828"/>
      <c r="V101" s="1444"/>
      <c r="W101" s="1444"/>
      <c r="X101" s="1444"/>
      <c r="Y101" s="1444"/>
      <c r="Z101" s="1444"/>
      <c r="AA101" s="1916"/>
      <c r="AB101" s="850"/>
      <c r="AC101" s="850"/>
      <c r="AD101" s="850"/>
      <c r="AE101" s="850"/>
      <c r="AF101" s="1925">
        <v>11</v>
      </c>
    </row>
    <row s="14730" customFormat="1" customHeight="1" ht="11.549999999999999">
      <c r="A102" s="1271"/>
      <c r="B102" s="1920"/>
      <c r="C102" s="1920"/>
      <c r="D102" s="635"/>
      <c r="K102" s="1444"/>
      <c r="L102" s="1920"/>
      <c r="M102" s="1920"/>
      <c r="N102" s="1444"/>
      <c r="O102" s="1444"/>
      <c r="P102" s="1444"/>
      <c r="Q102" s="1444"/>
      <c r="R102" s="1920"/>
      <c r="S102" s="1444"/>
      <c r="T102" s="1444"/>
      <c r="U102" s="828"/>
      <c r="V102" s="1444"/>
      <c r="W102" s="1444"/>
      <c r="X102" s="1444"/>
      <c r="Y102" s="1444"/>
      <c r="Z102" s="1444"/>
      <c r="AA102" s="1916"/>
      <c r="AB102" s="850"/>
      <c r="AC102" s="850"/>
      <c r="AD102" s="850"/>
      <c r="AE102" s="850"/>
      <c r="AF102" s="1925">
        <v>11</v>
      </c>
    </row>
    <row s="14730" customFormat="1" customHeight="1" ht="11.549999999999999">
      <c r="A103" s="1271"/>
      <c r="B103" s="1920"/>
      <c r="C103" s="1920"/>
      <c r="D103" s="635"/>
      <c r="K103" s="1444"/>
      <c r="L103" s="1920"/>
      <c r="M103" s="1920"/>
      <c r="N103" s="1444"/>
      <c r="O103" s="1444"/>
      <c r="P103" s="1444"/>
      <c r="Q103" s="1444"/>
      <c r="R103" s="1920"/>
      <c r="S103" s="1444"/>
      <c r="T103" s="1444"/>
      <c r="U103" s="828"/>
      <c r="V103" s="1444"/>
      <c r="W103" s="1444"/>
      <c r="X103" s="1444"/>
      <c r="Y103" s="1444"/>
      <c r="Z103" s="1444"/>
      <c r="AA103" s="1916"/>
      <c r="AB103" s="850"/>
      <c r="AC103" s="850"/>
      <c r="AD103" s="850"/>
      <c r="AE103" s="850"/>
      <c r="AF103" s="1925">
        <v>11</v>
      </c>
    </row>
    <row s="14730" customFormat="1" customHeight="1" ht="11.549999999999999">
      <c r="A104" s="1271"/>
      <c r="B104" s="1920"/>
      <c r="C104" s="1920"/>
      <c r="D104" s="635"/>
      <c r="K104" s="1444"/>
      <c r="L104" s="1920"/>
      <c r="M104" s="1920"/>
      <c r="N104" s="1444"/>
      <c r="O104" s="1444"/>
      <c r="P104" s="1444"/>
      <c r="Q104" s="1444"/>
      <c r="R104" s="1920"/>
      <c r="S104" s="1444"/>
      <c r="T104" s="1444"/>
      <c r="U104" s="828"/>
      <c r="V104" s="1444"/>
      <c r="W104" s="1444"/>
      <c r="X104" s="1444"/>
      <c r="Y104" s="1444"/>
      <c r="Z104" s="1444"/>
      <c r="AA104" s="1916"/>
      <c r="AB104" s="850"/>
      <c r="AC104" s="850"/>
      <c r="AD104" s="850"/>
      <c r="AE104" s="850"/>
      <c r="AF104" s="1925">
        <v>11</v>
      </c>
    </row>
    <row s="14730" customFormat="1" customHeight="1" ht="11.549999999999999">
      <c r="A105" s="1271"/>
      <c r="B105" s="1920"/>
      <c r="C105" s="1920"/>
      <c r="D105" s="635"/>
      <c r="K105" s="1444"/>
      <c r="L105" s="1920"/>
      <c r="M105" s="1920"/>
      <c r="N105" s="1444"/>
      <c r="O105" s="1444"/>
      <c r="P105" s="1444"/>
      <c r="Q105" s="1444"/>
      <c r="R105" s="1920"/>
      <c r="S105" s="1444"/>
      <c r="T105" s="1444"/>
      <c r="U105" s="828"/>
      <c r="V105" s="1444"/>
      <c r="W105" s="1444"/>
      <c r="X105" s="1444"/>
      <c r="Y105" s="1444"/>
      <c r="Z105" s="1444"/>
      <c r="AA105" s="1916"/>
      <c r="AB105" s="850"/>
      <c r="AC105" s="850"/>
      <c r="AD105" s="850"/>
      <c r="AE105" s="850"/>
      <c r="AF105" s="1925">
        <v>11</v>
      </c>
    </row>
    <row s="14730" customFormat="1" customHeight="1" ht="11.549999999999999">
      <c r="A106" s="1271"/>
      <c r="B106" s="1920"/>
      <c r="C106" s="1920"/>
      <c r="D106" s="635"/>
      <c r="K106" s="1444"/>
      <c r="L106" s="1920"/>
      <c r="M106" s="1920"/>
      <c r="N106" s="1444"/>
      <c r="O106" s="1444"/>
      <c r="P106" s="1444"/>
      <c r="Q106" s="1444"/>
      <c r="R106" s="1920"/>
      <c r="S106" s="1444"/>
      <c r="T106" s="1444"/>
      <c r="U106" s="828"/>
      <c r="V106" s="1444"/>
      <c r="W106" s="1444"/>
      <c r="X106" s="1444"/>
      <c r="Y106" s="1444"/>
      <c r="Z106" s="1444"/>
      <c r="AA106" s="1916"/>
      <c r="AB106" s="850"/>
      <c r="AC106" s="850"/>
      <c r="AD106" s="850"/>
      <c r="AE106" s="850"/>
      <c r="AF106" s="1925">
        <v>11</v>
      </c>
    </row>
    <row s="14730" customFormat="1" customHeight="1" ht="11.549999999999999">
      <c r="A107" s="1271"/>
      <c r="B107" s="1920"/>
      <c r="C107" s="1920"/>
      <c r="D107" s="635"/>
      <c r="K107" s="1444"/>
      <c r="L107" s="1920"/>
      <c r="M107" s="1920"/>
      <c r="N107" s="1444"/>
      <c r="O107" s="1444"/>
      <c r="P107" s="1444"/>
      <c r="Q107" s="1444"/>
      <c r="R107" s="1920"/>
      <c r="S107" s="1444"/>
      <c r="T107" s="1444"/>
      <c r="U107" s="828"/>
      <c r="V107" s="1444"/>
      <c r="W107" s="1444"/>
      <c r="X107" s="1444"/>
      <c r="Y107" s="1444"/>
      <c r="Z107" s="1444"/>
      <c r="AA107" s="1916"/>
      <c r="AB107" s="850"/>
      <c r="AC107" s="850"/>
      <c r="AD107" s="850"/>
      <c r="AE107" s="850"/>
      <c r="AF107" s="1925">
        <v>11</v>
      </c>
    </row>
    <row s="14730" customFormat="1" customHeight="1" ht="11.549999999999999">
      <c r="A108" s="1271"/>
      <c r="B108" s="1920"/>
      <c r="C108" s="1920"/>
      <c r="D108" s="635"/>
      <c r="K108" s="1444"/>
      <c r="L108" s="1920"/>
      <c r="M108" s="1920"/>
      <c r="N108" s="1444"/>
      <c r="O108" s="1444"/>
      <c r="P108" s="1444"/>
      <c r="Q108" s="1444"/>
      <c r="R108" s="1920"/>
      <c r="S108" s="1444"/>
      <c r="T108" s="1444"/>
      <c r="U108" s="828"/>
      <c r="V108" s="1444"/>
      <c r="W108" s="1444"/>
      <c r="X108" s="1444"/>
      <c r="Y108" s="1444"/>
      <c r="Z108" s="1444"/>
      <c r="AA108" s="1916"/>
      <c r="AB108" s="850"/>
      <c r="AC108" s="850"/>
      <c r="AD108" s="850"/>
      <c r="AE108" s="850"/>
      <c r="AF108" s="1925">
        <v>11</v>
      </c>
    </row>
    <row s="14730" customFormat="1" customHeight="1" ht="11.549999999999999">
      <c r="A109" s="1271"/>
      <c r="B109" s="1920"/>
      <c r="C109" s="1920"/>
      <c r="D109" s="635"/>
      <c r="K109" s="1444"/>
      <c r="L109" s="1920"/>
      <c r="M109" s="1920"/>
      <c r="N109" s="1444"/>
      <c r="O109" s="1444"/>
      <c r="P109" s="1444"/>
      <c r="Q109" s="1444"/>
      <c r="R109" s="1920"/>
      <c r="S109" s="1444"/>
      <c r="T109" s="1444"/>
      <c r="U109" s="828"/>
      <c r="V109" s="1444"/>
      <c r="W109" s="1444"/>
      <c r="X109" s="1444"/>
      <c r="Y109" s="1444"/>
      <c r="Z109" s="1444"/>
      <c r="AA109" s="1916"/>
      <c r="AB109" s="850"/>
      <c r="AC109" s="850"/>
      <c r="AD109" s="850"/>
      <c r="AE109" s="850"/>
      <c r="AF109" s="1925">
        <v>11</v>
      </c>
    </row>
    <row s="14730" customFormat="1" customHeight="1" ht="11.549999999999999">
      <c r="A110" s="1271"/>
      <c r="B110" s="1920"/>
      <c r="C110" s="1920"/>
      <c r="D110" s="635"/>
      <c r="K110" s="1444"/>
      <c r="L110" s="1920"/>
      <c r="M110" s="1920"/>
      <c r="N110" s="1444"/>
      <c r="O110" s="1444"/>
      <c r="P110" s="1444"/>
      <c r="Q110" s="1444"/>
      <c r="R110" s="1920"/>
      <c r="S110" s="1444"/>
      <c r="T110" s="1444"/>
      <c r="U110" s="828"/>
      <c r="V110" s="1444"/>
      <c r="W110" s="1444"/>
      <c r="X110" s="1444"/>
      <c r="Y110" s="1444"/>
      <c r="Z110" s="1444"/>
      <c r="AA110" s="1916"/>
      <c r="AB110" s="850"/>
      <c r="AC110" s="850"/>
      <c r="AD110" s="850"/>
      <c r="AE110" s="850"/>
      <c r="AF110" s="1925">
        <v>11</v>
      </c>
    </row>
    <row s="14730" customFormat="1" customHeight="1" ht="11.549999999999999">
      <c r="A111" s="1271"/>
      <c r="B111" s="1920"/>
      <c r="C111" s="1920"/>
      <c r="D111" s="635"/>
      <c r="K111" s="1444"/>
      <c r="L111" s="1920"/>
      <c r="M111" s="1920"/>
      <c r="N111" s="1444"/>
      <c r="O111" s="1444"/>
      <c r="P111" s="1444"/>
      <c r="Q111" s="1444"/>
      <c r="R111" s="1920"/>
      <c r="S111" s="1444"/>
      <c r="T111" s="1444"/>
      <c r="U111" s="828"/>
      <c r="V111" s="1444"/>
      <c r="W111" s="1444"/>
      <c r="X111" s="1444"/>
      <c r="Y111" s="1444"/>
      <c r="Z111" s="1444"/>
      <c r="AA111" s="1916"/>
      <c r="AB111" s="850"/>
      <c r="AC111" s="850"/>
      <c r="AD111" s="850"/>
      <c r="AE111" s="850"/>
      <c r="AF111" s="1925">
        <v>11</v>
      </c>
    </row>
    <row s="14730" customFormat="1" customHeight="1" ht="11.549999999999999">
      <c r="A112" s="1271"/>
      <c r="B112" s="1920"/>
      <c r="C112" s="1920"/>
      <c r="D112" s="635"/>
      <c r="K112" s="1444"/>
      <c r="L112" s="1920"/>
      <c r="M112" s="1920"/>
      <c r="N112" s="1444"/>
      <c r="O112" s="1444"/>
      <c r="P112" s="1444"/>
      <c r="Q112" s="1444"/>
      <c r="R112" s="1920"/>
      <c r="S112" s="1444"/>
      <c r="T112" s="1444"/>
      <c r="U112" s="828"/>
      <c r="V112" s="1444"/>
      <c r="W112" s="1444"/>
      <c r="X112" s="1444"/>
      <c r="Y112" s="1444"/>
      <c r="Z112" s="1444"/>
      <c r="AA112" s="1916"/>
      <c r="AB112" s="850"/>
      <c r="AC112" s="850"/>
      <c r="AD112" s="850"/>
      <c r="AE112" s="850"/>
      <c r="AF112" s="1925">
        <v>11</v>
      </c>
    </row>
    <row s="14730" customFormat="1" customHeight="1" ht="11.549999999999999">
      <c r="A113" s="1271"/>
      <c r="B113" s="1920"/>
      <c r="C113" s="1920"/>
      <c r="D113" s="635"/>
      <c r="K113" s="1444"/>
      <c r="L113" s="1920"/>
      <c r="M113" s="1920"/>
      <c r="N113" s="1444"/>
      <c r="O113" s="1444"/>
      <c r="P113" s="1444"/>
      <c r="Q113" s="1444"/>
      <c r="R113" s="1920"/>
      <c r="S113" s="1444"/>
      <c r="T113" s="1444"/>
      <c r="U113" s="828"/>
      <c r="V113" s="1444"/>
      <c r="W113" s="1444"/>
      <c r="X113" s="1444"/>
      <c r="Y113" s="1444"/>
      <c r="Z113" s="1444"/>
      <c r="AA113" s="1916"/>
      <c r="AB113" s="850"/>
      <c r="AC113" s="850"/>
      <c r="AD113" s="850"/>
      <c r="AE113" s="850"/>
      <c r="AF113" s="1925">
        <v>11</v>
      </c>
    </row>
    <row s="14730" customFormat="1" customHeight="1" ht="11.549999999999999">
      <c r="A114" s="1271"/>
      <c r="B114" s="1920"/>
      <c r="C114" s="1920"/>
      <c r="D114" s="635"/>
      <c r="K114" s="1444"/>
      <c r="L114" s="1920"/>
      <c r="M114" s="1920"/>
      <c r="N114" s="1444"/>
      <c r="O114" s="1444"/>
      <c r="P114" s="1444"/>
      <c r="Q114" s="1444"/>
      <c r="R114" s="1920"/>
      <c r="S114" s="1444"/>
      <c r="T114" s="1444"/>
      <c r="U114" s="828"/>
      <c r="V114" s="1444"/>
      <c r="W114" s="1444"/>
      <c r="X114" s="1444"/>
      <c r="Y114" s="1444"/>
      <c r="Z114" s="1444"/>
      <c r="AA114" s="1916"/>
      <c r="AB114" s="850"/>
      <c r="AC114" s="850"/>
      <c r="AD114" s="850"/>
      <c r="AE114" s="850"/>
      <c r="AF114" s="1925">
        <v>11</v>
      </c>
    </row>
    <row s="14730" customFormat="1" customHeight="1" ht="11.549999999999999">
      <c r="A115" s="1271"/>
      <c r="B115" s="1920"/>
      <c r="C115" s="1920"/>
      <c r="D115" s="635"/>
      <c r="K115" s="1444"/>
      <c r="L115" s="1920"/>
      <c r="M115" s="1920"/>
      <c r="N115" s="1444"/>
      <c r="O115" s="1444"/>
      <c r="P115" s="1444"/>
      <c r="Q115" s="1444"/>
      <c r="R115" s="1920"/>
      <c r="S115" s="1444"/>
      <c r="T115" s="1444"/>
      <c r="U115" s="828"/>
      <c r="V115" s="1444"/>
      <c r="W115" s="1444"/>
      <c r="X115" s="1444"/>
      <c r="Y115" s="1444"/>
      <c r="Z115" s="1444"/>
      <c r="AA115" s="1916"/>
      <c r="AB115" s="850"/>
      <c r="AC115" s="850"/>
      <c r="AD115" s="850"/>
      <c r="AE115" s="850"/>
      <c r="AF115" s="1925">
        <v>11</v>
      </c>
    </row>
    <row s="14730" customFormat="1" customHeight="1" ht="11.549999999999999">
      <c r="A116" s="1271"/>
      <c r="B116" s="1920"/>
      <c r="C116" s="1920"/>
      <c r="D116" s="635"/>
      <c r="K116" s="1444"/>
      <c r="L116" s="1920"/>
      <c r="M116" s="1920"/>
      <c r="N116" s="1444"/>
      <c r="O116" s="1444"/>
      <c r="P116" s="1444"/>
      <c r="Q116" s="1444"/>
      <c r="R116" s="1920"/>
      <c r="S116" s="1444"/>
      <c r="T116" s="1444"/>
      <c r="U116" s="828"/>
      <c r="V116" s="1444"/>
      <c r="W116" s="1444"/>
      <c r="X116" s="1444"/>
      <c r="Y116" s="1444"/>
      <c r="Z116" s="1444"/>
      <c r="AA116" s="1916"/>
      <c r="AB116" s="850"/>
      <c r="AC116" s="850"/>
      <c r="AD116" s="850"/>
      <c r="AE116" s="850"/>
      <c r="AF116" s="1925">
        <v>11</v>
      </c>
    </row>
    <row s="14730" customFormat="1" customHeight="1" ht="11.549999999999999">
      <c r="A117" s="1271"/>
      <c r="B117" s="1920"/>
      <c r="C117" s="1920"/>
      <c r="D117" s="635"/>
      <c r="K117" s="1444"/>
      <c r="L117" s="1920"/>
      <c r="M117" s="1920"/>
      <c r="N117" s="1444"/>
      <c r="O117" s="1444"/>
      <c r="P117" s="1444"/>
      <c r="Q117" s="1444"/>
      <c r="R117" s="1920"/>
      <c r="S117" s="1444"/>
      <c r="T117" s="1444"/>
      <c r="U117" s="828"/>
      <c r="V117" s="1444"/>
      <c r="W117" s="1444"/>
      <c r="X117" s="1444"/>
      <c r="Y117" s="1444"/>
      <c r="Z117" s="1444"/>
      <c r="AA117" s="1916"/>
      <c r="AB117" s="850"/>
      <c r="AC117" s="850"/>
      <c r="AD117" s="850"/>
      <c r="AE117" s="850"/>
      <c r="AF117" s="1925">
        <v>11</v>
      </c>
    </row>
    <row s="14730" customFormat="1" customHeight="1" ht="11.549999999999999">
      <c r="A118" s="1271"/>
      <c r="B118" s="1920"/>
      <c r="C118" s="1920"/>
      <c r="D118" s="635"/>
      <c r="K118" s="1444"/>
      <c r="L118" s="1920"/>
      <c r="M118" s="1920"/>
      <c r="N118" s="1444"/>
      <c r="O118" s="1444"/>
      <c r="P118" s="1444"/>
      <c r="Q118" s="1444"/>
      <c r="R118" s="1920"/>
      <c r="S118" s="1444"/>
      <c r="T118" s="1444"/>
      <c r="U118" s="828"/>
      <c r="V118" s="1444"/>
      <c r="W118" s="1444"/>
      <c r="X118" s="1444"/>
      <c r="Y118" s="1444"/>
      <c r="Z118" s="1444"/>
      <c r="AA118" s="1916"/>
      <c r="AB118" s="850"/>
      <c r="AC118" s="850"/>
      <c r="AD118" s="850"/>
      <c r="AE118" s="850"/>
      <c r="AF118" s="1925">
        <v>11</v>
      </c>
    </row>
    <row s="14730" customFormat="1" customHeight="1" ht="11.549999999999999">
      <c r="A119" s="1271"/>
      <c r="B119" s="1920"/>
      <c r="C119" s="1920"/>
      <c r="D119" s="635"/>
      <c r="K119" s="1444"/>
      <c r="L119" s="1920"/>
      <c r="M119" s="1920"/>
      <c r="N119" s="1444"/>
      <c r="O119" s="1444"/>
      <c r="P119" s="1444"/>
      <c r="Q119" s="1444"/>
      <c r="R119" s="1920"/>
      <c r="S119" s="1444"/>
      <c r="T119" s="1444"/>
      <c r="U119" s="828"/>
      <c r="V119" s="1444"/>
      <c r="W119" s="1444"/>
      <c r="X119" s="1444"/>
      <c r="Y119" s="1444"/>
      <c r="Z119" s="1444"/>
      <c r="AA119" s="1916"/>
      <c r="AB119" s="850"/>
      <c r="AC119" s="850"/>
      <c r="AD119" s="850"/>
      <c r="AE119" s="850"/>
      <c r="AF119" s="1925">
        <v>11</v>
      </c>
    </row>
    <row s="14730" customFormat="1" customHeight="1" ht="11.549999999999999">
      <c r="A120" s="1271"/>
      <c r="B120" s="1920"/>
      <c r="C120" s="1920"/>
      <c r="D120" s="635"/>
      <c r="K120" s="1444"/>
      <c r="L120" s="1920"/>
      <c r="M120" s="1920"/>
      <c r="N120" s="1444"/>
      <c r="O120" s="1444"/>
      <c r="P120" s="1444"/>
      <c r="Q120" s="1444"/>
      <c r="R120" s="1920"/>
      <c r="S120" s="1444"/>
      <c r="T120" s="1444"/>
      <c r="U120" s="828"/>
      <c r="V120" s="1444"/>
      <c r="W120" s="1444"/>
      <c r="X120" s="1444"/>
      <c r="Y120" s="1444"/>
      <c r="Z120" s="1444"/>
      <c r="AA120" s="1916"/>
      <c r="AB120" s="850"/>
      <c r="AC120" s="850"/>
      <c r="AD120" s="850"/>
      <c r="AE120" s="850"/>
      <c r="AF120" s="1925">
        <v>11</v>
      </c>
    </row>
    <row s="14730" customFormat="1" customHeight="1" ht="11.549999999999999">
      <c r="A121" s="1271"/>
      <c r="B121" s="1920"/>
      <c r="C121" s="1920"/>
      <c r="D121" s="635"/>
      <c r="K121" s="1444"/>
      <c r="L121" s="1920"/>
      <c r="M121" s="1920"/>
      <c r="N121" s="1444"/>
      <c r="O121" s="1444"/>
      <c r="P121" s="1444"/>
      <c r="Q121" s="1444"/>
      <c r="R121" s="1920"/>
      <c r="S121" s="1444"/>
      <c r="T121" s="1444"/>
      <c r="U121" s="828"/>
      <c r="V121" s="1444"/>
      <c r="W121" s="1444"/>
      <c r="X121" s="1444"/>
      <c r="Y121" s="1444"/>
      <c r="Z121" s="1444"/>
      <c r="AA121" s="1916"/>
      <c r="AB121" s="850"/>
      <c r="AC121" s="850"/>
      <c r="AD121" s="850"/>
      <c r="AE121" s="850"/>
      <c r="AF121" s="1925">
        <v>11</v>
      </c>
    </row>
    <row s="14730" customFormat="1" customHeight="1" ht="11.549999999999999">
      <c r="A122" s="1271"/>
      <c r="B122" s="1920"/>
      <c r="C122" s="1920"/>
      <c r="D122" s="635"/>
      <c r="K122" s="1444"/>
      <c r="L122" s="1920"/>
      <c r="M122" s="1920"/>
      <c r="N122" s="1444"/>
      <c r="O122" s="1444"/>
      <c r="P122" s="1444"/>
      <c r="Q122" s="1444"/>
      <c r="R122" s="1920"/>
      <c r="S122" s="1444"/>
      <c r="T122" s="1444"/>
      <c r="U122" s="828"/>
      <c r="V122" s="1444"/>
      <c r="W122" s="1444"/>
      <c r="X122" s="1444"/>
      <c r="Y122" s="1444"/>
      <c r="Z122" s="1444"/>
      <c r="AA122" s="1916"/>
      <c r="AB122" s="850"/>
      <c r="AC122" s="850"/>
      <c r="AD122" s="850"/>
      <c r="AE122" s="850"/>
      <c r="AF122" s="1925">
        <v>11</v>
      </c>
    </row>
    <row s="14730" customFormat="1" customHeight="1" ht="11.549999999999999">
      <c r="A123" s="1271"/>
      <c r="B123" s="1920"/>
      <c r="C123" s="1920"/>
      <c r="D123" s="635"/>
      <c r="K123" s="1444"/>
      <c r="L123" s="1920"/>
      <c r="M123" s="1920"/>
      <c r="N123" s="1444"/>
      <c r="O123" s="1444"/>
      <c r="P123" s="1444"/>
      <c r="Q123" s="1444"/>
      <c r="R123" s="1920"/>
      <c r="S123" s="1444"/>
      <c r="T123" s="1444"/>
      <c r="U123" s="828"/>
      <c r="V123" s="1444"/>
      <c r="W123" s="1444"/>
      <c r="X123" s="1444"/>
      <c r="Y123" s="1444"/>
      <c r="Z123" s="1444"/>
      <c r="AA123" s="1916"/>
      <c r="AB123" s="850"/>
      <c r="AC123" s="850"/>
      <c r="AD123" s="850"/>
      <c r="AE123" s="850"/>
      <c r="AF123" s="1925">
        <v>11</v>
      </c>
    </row>
    <row s="14730" customFormat="1" customHeight="1" ht="11.549999999999999">
      <c r="A124" s="1271"/>
      <c r="B124" s="1920"/>
      <c r="C124" s="1920"/>
      <c r="D124" s="635"/>
      <c r="K124" s="1444"/>
      <c r="L124" s="1920"/>
      <c r="M124" s="1920"/>
      <c r="N124" s="1444"/>
      <c r="O124" s="1444"/>
      <c r="P124" s="1444"/>
      <c r="Q124" s="1444"/>
      <c r="R124" s="1920"/>
      <c r="S124" s="1444"/>
      <c r="T124" s="1444"/>
      <c r="U124" s="828"/>
      <c r="V124" s="1444"/>
      <c r="W124" s="1444"/>
      <c r="X124" s="1444"/>
      <c r="Y124" s="1444"/>
      <c r="Z124" s="1444"/>
      <c r="AA124" s="1916"/>
      <c r="AB124" s="850"/>
      <c r="AC124" s="850"/>
      <c r="AD124" s="850"/>
      <c r="AE124" s="850"/>
      <c r="AF124" s="1925">
        <v>11</v>
      </c>
    </row>
    <row s="14730" customFormat="1" customHeight="1" ht="11.549999999999999">
      <c r="A125" s="1271"/>
      <c r="B125" s="1920"/>
      <c r="C125" s="1920"/>
      <c r="D125" s="635"/>
      <c r="K125" s="1444"/>
      <c r="L125" s="1920"/>
      <c r="M125" s="1920"/>
      <c r="N125" s="1444"/>
      <c r="O125" s="1444"/>
      <c r="P125" s="1444"/>
      <c r="Q125" s="1444"/>
      <c r="R125" s="1920"/>
      <c r="S125" s="1444"/>
      <c r="T125" s="1444"/>
      <c r="U125" s="828"/>
      <c r="V125" s="1444"/>
      <c r="W125" s="1444"/>
      <c r="X125" s="1444"/>
      <c r="Y125" s="1444"/>
      <c r="Z125" s="1444"/>
      <c r="AA125" s="1916"/>
      <c r="AB125" s="850"/>
      <c r="AC125" s="850"/>
      <c r="AD125" s="850"/>
      <c r="AE125" s="850"/>
      <c r="AF125" s="1925">
        <v>11</v>
      </c>
    </row>
    <row s="14730" customFormat="1" customHeight="1" ht="11.549999999999999">
      <c r="A126" s="1271"/>
      <c r="B126" s="1920"/>
      <c r="C126" s="1920"/>
      <c r="D126" s="635"/>
      <c r="K126" s="1444"/>
      <c r="L126" s="1920"/>
      <c r="M126" s="1920"/>
      <c r="N126" s="1444"/>
      <c r="O126" s="1444"/>
      <c r="P126" s="1444"/>
      <c r="Q126" s="1444"/>
      <c r="R126" s="1920"/>
      <c r="S126" s="1444"/>
      <c r="T126" s="1444"/>
      <c r="U126" s="828"/>
      <c r="V126" s="1444"/>
      <c r="W126" s="1444"/>
      <c r="X126" s="1444"/>
      <c r="Y126" s="1444"/>
      <c r="Z126" s="1444"/>
      <c r="AA126" s="1916"/>
      <c r="AB126" s="850"/>
      <c r="AC126" s="850"/>
      <c r="AD126" s="850"/>
      <c r="AE126" s="850"/>
      <c r="AF126" s="1925">
        <v>11</v>
      </c>
    </row>
    <row s="14730" customFormat="1" customHeight="1" ht="11.549999999999999">
      <c r="A127" s="1271"/>
      <c r="B127" s="1920"/>
      <c r="C127" s="1920"/>
      <c r="D127" s="635"/>
      <c r="K127" s="1444"/>
      <c r="L127" s="1920"/>
      <c r="M127" s="1920"/>
      <c r="N127" s="1444"/>
      <c r="O127" s="1444"/>
      <c r="P127" s="1444"/>
      <c r="Q127" s="1444"/>
      <c r="R127" s="1920"/>
      <c r="S127" s="1444"/>
      <c r="T127" s="1444"/>
      <c r="U127" s="828"/>
      <c r="V127" s="1444"/>
      <c r="W127" s="1444"/>
      <c r="X127" s="1444"/>
      <c r="Y127" s="1444"/>
      <c r="Z127" s="1444"/>
      <c r="AA127" s="1916"/>
      <c r="AB127" s="850"/>
      <c r="AC127" s="850"/>
      <c r="AD127" s="850"/>
      <c r="AE127" s="850"/>
      <c r="AF127" s="1925">
        <v>11</v>
      </c>
    </row>
    <row s="14730" customFormat="1" customHeight="1" ht="11.549999999999999">
      <c r="A128" s="1271"/>
      <c r="B128" s="1920"/>
      <c r="C128" s="1920"/>
      <c r="D128" s="635"/>
      <c r="K128" s="1444"/>
      <c r="L128" s="1920"/>
      <c r="M128" s="1920"/>
      <c r="N128" s="1444"/>
      <c r="O128" s="1444"/>
      <c r="P128" s="1444"/>
      <c r="Q128" s="1444"/>
      <c r="R128" s="1920"/>
      <c r="S128" s="1444"/>
      <c r="T128" s="1444"/>
      <c r="U128" s="828"/>
      <c r="V128" s="1444"/>
      <c r="W128" s="1444"/>
      <c r="X128" s="1444"/>
      <c r="Y128" s="1444"/>
      <c r="Z128" s="1444"/>
      <c r="AA128" s="1916"/>
      <c r="AB128" s="850"/>
      <c r="AC128" s="850"/>
      <c r="AD128" s="850"/>
      <c r="AE128" s="850"/>
      <c r="AF128" s="1925">
        <v>11</v>
      </c>
    </row>
    <row s="14730" customFormat="1" customHeight="1" ht="11.549999999999999">
      <c r="A129" s="1271"/>
      <c r="B129" s="1920"/>
      <c r="C129" s="1920"/>
      <c r="D129" s="635"/>
      <c r="K129" s="1444"/>
      <c r="L129" s="1920"/>
      <c r="M129" s="1920"/>
      <c r="N129" s="1444"/>
      <c r="O129" s="1444"/>
      <c r="P129" s="1444"/>
      <c r="Q129" s="1444"/>
      <c r="R129" s="1920"/>
      <c r="S129" s="1444"/>
      <c r="T129" s="1444"/>
      <c r="U129" s="828"/>
      <c r="V129" s="1444"/>
      <c r="W129" s="1444"/>
      <c r="X129" s="1444"/>
      <c r="Y129" s="1444"/>
      <c r="Z129" s="1444"/>
      <c r="AA129" s="1916"/>
      <c r="AB129" s="850"/>
      <c r="AC129" s="850"/>
      <c r="AD129" s="850"/>
      <c r="AE129" s="850"/>
      <c r="AF129" s="1925">
        <v>11</v>
      </c>
    </row>
    <row s="14730" customFormat="1" customHeight="1" ht="11.549999999999999">
      <c r="A130" s="1271"/>
      <c r="B130" s="1920"/>
      <c r="C130" s="1920"/>
      <c r="D130" s="635"/>
      <c r="K130" s="1444"/>
      <c r="L130" s="1920"/>
      <c r="M130" s="1920"/>
      <c r="N130" s="1444"/>
      <c r="O130" s="1444"/>
      <c r="P130" s="1444"/>
      <c r="Q130" s="1444"/>
      <c r="R130" s="1920"/>
      <c r="S130" s="1444"/>
      <c r="T130" s="1444"/>
      <c r="U130" s="828"/>
      <c r="V130" s="1444"/>
      <c r="W130" s="1444"/>
      <c r="X130" s="1444"/>
      <c r="Y130" s="1444"/>
      <c r="Z130" s="1444"/>
      <c r="AA130" s="1916"/>
      <c r="AB130" s="850"/>
      <c r="AC130" s="850"/>
      <c r="AD130" s="850"/>
      <c r="AE130" s="850"/>
      <c r="AF130" s="1925">
        <v>11</v>
      </c>
    </row>
    <row s="14730" customFormat="1" customHeight="1" ht="11.549999999999999">
      <c r="A131" s="1271"/>
      <c r="B131" s="1920"/>
      <c r="C131" s="1920"/>
      <c r="D131" s="635"/>
      <c r="K131" s="1444"/>
      <c r="L131" s="1920"/>
      <c r="M131" s="1920"/>
      <c r="N131" s="1444"/>
      <c r="O131" s="1444"/>
      <c r="P131" s="1444"/>
      <c r="Q131" s="1444"/>
      <c r="R131" s="1920"/>
      <c r="S131" s="1444"/>
      <c r="T131" s="1444"/>
      <c r="U131" s="828"/>
      <c r="V131" s="1444"/>
      <c r="W131" s="1444"/>
      <c r="X131" s="1444"/>
      <c r="Y131" s="1444"/>
      <c r="Z131" s="1444"/>
      <c r="AA131" s="1916"/>
      <c r="AB131" s="850"/>
      <c r="AC131" s="850"/>
      <c r="AD131" s="850"/>
      <c r="AE131" s="850"/>
      <c r="AF131" s="1925">
        <v>11</v>
      </c>
    </row>
    <row s="14730" customFormat="1" customHeight="1" ht="11.549999999999999">
      <c r="A132" s="1271"/>
      <c r="B132" s="1920"/>
      <c r="C132" s="1920"/>
      <c r="D132" s="635"/>
      <c r="K132" s="1444"/>
      <c r="L132" s="1920"/>
      <c r="M132" s="1920"/>
      <c r="N132" s="1444"/>
      <c r="O132" s="1444"/>
      <c r="P132" s="1444"/>
      <c r="Q132" s="1444"/>
      <c r="R132" s="1920"/>
      <c r="S132" s="1444"/>
      <c r="T132" s="1444"/>
      <c r="U132" s="828"/>
      <c r="V132" s="1444"/>
      <c r="W132" s="1444"/>
      <c r="X132" s="1444"/>
      <c r="Y132" s="1444"/>
      <c r="Z132" s="1444"/>
      <c r="AA132" s="1916"/>
      <c r="AB132" s="850"/>
      <c r="AC132" s="850"/>
      <c r="AD132" s="850"/>
      <c r="AE132" s="850"/>
      <c r="AF132" s="1925">
        <v>11</v>
      </c>
    </row>
    <row s="14730" customFormat="1" customHeight="1" ht="11.549999999999999">
      <c r="A133" s="1271"/>
      <c r="B133" s="1920"/>
      <c r="C133" s="1920"/>
      <c r="D133" s="635"/>
      <c r="K133" s="1444"/>
      <c r="L133" s="1920"/>
      <c r="M133" s="1920"/>
      <c r="N133" s="1444"/>
      <c r="O133" s="1444"/>
      <c r="P133" s="1444"/>
      <c r="Q133" s="1444"/>
      <c r="R133" s="1920"/>
      <c r="S133" s="1444"/>
      <c r="T133" s="1444"/>
      <c r="U133" s="828"/>
      <c r="V133" s="1444"/>
      <c r="W133" s="1444"/>
      <c r="X133" s="1444"/>
      <c r="Y133" s="1444"/>
      <c r="Z133" s="1444"/>
      <c r="AA133" s="1916"/>
      <c r="AB133" s="850"/>
      <c r="AC133" s="850"/>
      <c r="AD133" s="850"/>
      <c r="AE133" s="850"/>
      <c r="AF133" s="1925">
        <v>11</v>
      </c>
    </row>
    <row s="14730" customFormat="1" customHeight="1" ht="11.549999999999999">
      <c r="A134" s="1271"/>
      <c r="B134" s="1920"/>
      <c r="C134" s="1920"/>
      <c r="D134" s="635"/>
      <c r="K134" s="1444"/>
      <c r="L134" s="1920"/>
      <c r="M134" s="1920"/>
      <c r="N134" s="1444"/>
      <c r="O134" s="1444"/>
      <c r="P134" s="1444"/>
      <c r="Q134" s="1444"/>
      <c r="R134" s="1920"/>
      <c r="S134" s="1444"/>
      <c r="T134" s="1444"/>
      <c r="U134" s="828"/>
      <c r="V134" s="1444"/>
      <c r="W134" s="1444"/>
      <c r="X134" s="1444"/>
      <c r="Y134" s="1444"/>
      <c r="Z134" s="1444"/>
      <c r="AA134" s="1916"/>
      <c r="AB134" s="850"/>
      <c r="AC134" s="850"/>
      <c r="AD134" s="850"/>
      <c r="AE134" s="850"/>
      <c r="AF134" s="1925">
        <v>11</v>
      </c>
    </row>
    <row s="14730" customFormat="1" customHeight="1" ht="11.549999999999999">
      <c r="A135" s="1271"/>
      <c r="B135" s="1920"/>
      <c r="C135" s="1920"/>
      <c r="D135" s="635"/>
      <c r="K135" s="1444"/>
      <c r="L135" s="1920"/>
      <c r="M135" s="1920"/>
      <c r="N135" s="1444"/>
      <c r="O135" s="1444"/>
      <c r="P135" s="1444"/>
      <c r="Q135" s="1444"/>
      <c r="R135" s="1920"/>
      <c r="S135" s="1444"/>
      <c r="T135" s="1444"/>
      <c r="U135" s="828"/>
      <c r="V135" s="1444"/>
      <c r="W135" s="1444"/>
      <c r="X135" s="1444"/>
      <c r="Y135" s="1444"/>
      <c r="Z135" s="1444"/>
      <c r="AA135" s="1916"/>
      <c r="AB135" s="850"/>
      <c r="AC135" s="850"/>
      <c r="AD135" s="850"/>
      <c r="AE135" s="850"/>
      <c r="AF135" s="1925">
        <v>11</v>
      </c>
    </row>
    <row s="14730" customFormat="1" customHeight="1" ht="11.549999999999999">
      <c r="A136" s="1271"/>
      <c r="B136" s="1920"/>
      <c r="C136" s="1920"/>
      <c r="D136" s="635"/>
      <c r="K136" s="1444"/>
      <c r="L136" s="1920"/>
      <c r="M136" s="1920"/>
      <c r="N136" s="1444"/>
      <c r="O136" s="1444"/>
      <c r="P136" s="1444"/>
      <c r="Q136" s="1444"/>
      <c r="R136" s="1920"/>
      <c r="S136" s="1444"/>
      <c r="T136" s="1444"/>
      <c r="U136" s="828"/>
      <c r="V136" s="1444"/>
      <c r="W136" s="1444"/>
      <c r="X136" s="1444"/>
      <c r="Y136" s="1444"/>
      <c r="Z136" s="1444"/>
      <c r="AA136" s="1916"/>
      <c r="AB136" s="850"/>
      <c r="AC136" s="850"/>
      <c r="AD136" s="850"/>
      <c r="AE136" s="850"/>
      <c r="AF136" s="1925">
        <v>11</v>
      </c>
    </row>
    <row s="14730" customFormat="1" customHeight="1" ht="11.549999999999999">
      <c r="A137" s="1271"/>
      <c r="B137" s="1920"/>
      <c r="C137" s="1920"/>
      <c r="D137" s="635"/>
      <c r="K137" s="1444"/>
      <c r="L137" s="1920"/>
      <c r="M137" s="1920"/>
      <c r="N137" s="1444"/>
      <c r="O137" s="1444"/>
      <c r="P137" s="1444"/>
      <c r="Q137" s="1444"/>
      <c r="R137" s="1920"/>
      <c r="S137" s="1444"/>
      <c r="T137" s="1444"/>
      <c r="U137" s="828"/>
      <c r="V137" s="1444"/>
      <c r="W137" s="1444"/>
      <c r="X137" s="1444"/>
      <c r="Y137" s="1444"/>
      <c r="Z137" s="1444"/>
      <c r="AA137" s="1916"/>
      <c r="AB137" s="850"/>
      <c r="AC137" s="850"/>
      <c r="AD137" s="850"/>
      <c r="AE137" s="850"/>
      <c r="AF137" s="1925">
        <v>11</v>
      </c>
    </row>
    <row s="14730" customFormat="1" customHeight="1" ht="11.549999999999999">
      <c r="A138" s="1271"/>
      <c r="B138" s="1920"/>
      <c r="C138" s="1920"/>
      <c r="D138" s="635"/>
      <c r="K138" s="1444"/>
      <c r="L138" s="1920"/>
      <c r="M138" s="1920"/>
      <c r="N138" s="1444"/>
      <c r="O138" s="1444"/>
      <c r="P138" s="1444"/>
      <c r="Q138" s="1444"/>
      <c r="R138" s="1920"/>
      <c r="S138" s="1444"/>
      <c r="T138" s="1444"/>
      <c r="U138" s="828"/>
      <c r="V138" s="1444"/>
      <c r="W138" s="1444"/>
      <c r="X138" s="1444"/>
      <c r="Y138" s="1444"/>
      <c r="Z138" s="1444"/>
      <c r="AA138" s="1916"/>
      <c r="AB138" s="850"/>
      <c r="AC138" s="850"/>
      <c r="AD138" s="850"/>
      <c r="AE138" s="850"/>
      <c r="AF138" s="1925">
        <v>11</v>
      </c>
    </row>
    <row s="14730" customFormat="1" customHeight="1" ht="11.549999999999999">
      <c r="A139" s="1271"/>
      <c r="B139" s="1920"/>
      <c r="C139" s="1920"/>
      <c r="D139" s="635"/>
      <c r="K139" s="1444"/>
      <c r="L139" s="1920"/>
      <c r="M139" s="1920"/>
      <c r="N139" s="1444"/>
      <c r="O139" s="1444"/>
      <c r="P139" s="1444"/>
      <c r="Q139" s="1444"/>
      <c r="R139" s="1920"/>
      <c r="S139" s="1444"/>
      <c r="T139" s="1444"/>
      <c r="U139" s="828"/>
      <c r="V139" s="1444"/>
      <c r="W139" s="1444"/>
      <c r="X139" s="1444"/>
      <c r="Y139" s="1444"/>
      <c r="Z139" s="1444"/>
      <c r="AA139" s="1916"/>
      <c r="AB139" s="850"/>
      <c r="AC139" s="850"/>
      <c r="AD139" s="850"/>
      <c r="AE139" s="850"/>
      <c r="AF139" s="1925">
        <v>11</v>
      </c>
    </row>
    <row s="14730" customFormat="1" customHeight="1" ht="11.549999999999999">
      <c r="A140" s="1271"/>
      <c r="B140" s="1920"/>
      <c r="C140" s="1920"/>
      <c r="D140" s="635"/>
      <c r="K140" s="1444"/>
      <c r="L140" s="1920"/>
      <c r="M140" s="1920"/>
      <c r="N140" s="1444"/>
      <c r="O140" s="1444"/>
      <c r="P140" s="1444"/>
      <c r="Q140" s="1444"/>
      <c r="R140" s="1920"/>
      <c r="S140" s="1444"/>
      <c r="T140" s="1444"/>
      <c r="U140" s="828"/>
      <c r="V140" s="1444"/>
      <c r="W140" s="1444"/>
      <c r="X140" s="1444"/>
      <c r="Y140" s="1444"/>
      <c r="Z140" s="1444"/>
      <c r="AA140" s="1916"/>
      <c r="AB140" s="850"/>
      <c r="AC140" s="850"/>
      <c r="AD140" s="850"/>
      <c r="AE140" s="850"/>
      <c r="AF140" s="1925">
        <v>11</v>
      </c>
    </row>
    <row s="14730" customFormat="1" customHeight="1" ht="11.549999999999999">
      <c r="A141" s="1271"/>
      <c r="B141" s="1920"/>
      <c r="C141" s="1920"/>
      <c r="D141" s="635"/>
      <c r="K141" s="1444"/>
      <c r="L141" s="1920"/>
      <c r="M141" s="1920"/>
      <c r="N141" s="1444"/>
      <c r="O141" s="1444"/>
      <c r="P141" s="1444"/>
      <c r="Q141" s="1444"/>
      <c r="R141" s="1920"/>
      <c r="S141" s="1444"/>
      <c r="T141" s="1444"/>
      <c r="U141" s="828"/>
      <c r="V141" s="1444"/>
      <c r="W141" s="1444"/>
      <c r="X141" s="1444"/>
      <c r="Y141" s="1444"/>
      <c r="Z141" s="1444"/>
      <c r="AA141" s="1916"/>
      <c r="AB141" s="850"/>
      <c r="AC141" s="850"/>
      <c r="AD141" s="850"/>
      <c r="AE141" s="850"/>
      <c r="AF141" s="1925">
        <v>11</v>
      </c>
    </row>
    <row s="14730" customFormat="1" customHeight="1" ht="11.549999999999999">
      <c r="A142" s="1271"/>
      <c r="B142" s="1920"/>
      <c r="C142" s="1920"/>
      <c r="D142" s="635"/>
      <c r="K142" s="1444"/>
      <c r="L142" s="1920"/>
      <c r="M142" s="1920"/>
      <c r="N142" s="1444"/>
      <c r="O142" s="1444"/>
      <c r="P142" s="1444"/>
      <c r="Q142" s="1444"/>
      <c r="R142" s="1920"/>
      <c r="S142" s="1444"/>
      <c r="T142" s="1444"/>
      <c r="U142" s="828"/>
      <c r="V142" s="1444"/>
      <c r="W142" s="1444"/>
      <c r="X142" s="1444"/>
      <c r="Y142" s="1444"/>
      <c r="Z142" s="1444"/>
      <c r="AA142" s="1916"/>
      <c r="AB142" s="850"/>
      <c r="AC142" s="850"/>
      <c r="AD142" s="850"/>
      <c r="AE142" s="850"/>
      <c r="AF142" s="1925">
        <v>11</v>
      </c>
    </row>
    <row s="14730" customFormat="1" customHeight="1" ht="11.549999999999999">
      <c r="A143" s="1271"/>
      <c r="B143" s="1920"/>
      <c r="C143" s="1920"/>
      <c r="D143" s="635"/>
      <c r="K143" s="1444"/>
      <c r="L143" s="1920"/>
      <c r="M143" s="1920"/>
      <c r="N143" s="1444"/>
      <c r="O143" s="1444"/>
      <c r="P143" s="1444"/>
      <c r="Q143" s="1444"/>
      <c r="R143" s="1920"/>
      <c r="S143" s="1444"/>
      <c r="T143" s="1444"/>
      <c r="U143" s="828"/>
      <c r="V143" s="1444"/>
      <c r="W143" s="1444"/>
      <c r="X143" s="1444"/>
      <c r="Y143" s="1444"/>
      <c r="Z143" s="1444"/>
      <c r="AA143" s="1916"/>
      <c r="AB143" s="850"/>
      <c r="AC143" s="850"/>
      <c r="AD143" s="850"/>
      <c r="AE143" s="850"/>
      <c r="AF143" s="1925">
        <v>11</v>
      </c>
    </row>
    <row s="14730" customFormat="1" customHeight="1" ht="11.549999999999999">
      <c r="A144" s="1271"/>
      <c r="B144" s="1920"/>
      <c r="C144" s="1920"/>
      <c r="D144" s="635"/>
      <c r="K144" s="1444"/>
      <c r="L144" s="1920"/>
      <c r="M144" s="1920"/>
      <c r="N144" s="1444"/>
      <c r="O144" s="1444"/>
      <c r="P144" s="1444"/>
      <c r="Q144" s="1444"/>
      <c r="R144" s="1920"/>
      <c r="S144" s="1444"/>
      <c r="T144" s="1444"/>
      <c r="U144" s="828"/>
      <c r="V144" s="1444"/>
      <c r="W144" s="1444"/>
      <c r="X144" s="1444"/>
      <c r="Y144" s="1444"/>
      <c r="Z144" s="1444"/>
      <c r="AA144" s="1916"/>
      <c r="AB144" s="850"/>
      <c r="AC144" s="850"/>
      <c r="AD144" s="850"/>
      <c r="AE144" s="850"/>
      <c r="AF144" s="1925">
        <v>11</v>
      </c>
    </row>
    <row s="14730" customFormat="1" customHeight="1" ht="11.549999999999999">
      <c r="A145" s="1271"/>
      <c r="B145" s="1920"/>
      <c r="C145" s="1920"/>
      <c r="D145" s="635"/>
      <c r="K145" s="1444"/>
      <c r="L145" s="1920"/>
      <c r="M145" s="1920"/>
      <c r="N145" s="1444"/>
      <c r="O145" s="1444"/>
      <c r="P145" s="1444"/>
      <c r="Q145" s="1444"/>
      <c r="R145" s="1920"/>
      <c r="S145" s="1444"/>
      <c r="T145" s="1444"/>
      <c r="U145" s="828"/>
      <c r="V145" s="1444"/>
      <c r="W145" s="1444"/>
      <c r="X145" s="1444"/>
      <c r="Y145" s="1444"/>
      <c r="Z145" s="1444"/>
      <c r="AA145" s="1916"/>
      <c r="AB145" s="850"/>
      <c r="AC145" s="850"/>
      <c r="AD145" s="850"/>
      <c r="AE145" s="850"/>
      <c r="AF145" s="1925">
        <v>11</v>
      </c>
    </row>
    <row s="14730" customFormat="1" customHeight="1" ht="11.549999999999999">
      <c r="A146" s="1271"/>
      <c r="B146" s="1920"/>
      <c r="C146" s="1920"/>
      <c r="D146" s="635"/>
      <c r="K146" s="1444"/>
      <c r="L146" s="1920"/>
      <c r="M146" s="1920"/>
      <c r="N146" s="1444"/>
      <c r="O146" s="1444"/>
      <c r="P146" s="1444"/>
      <c r="Q146" s="1444"/>
      <c r="R146" s="1920"/>
      <c r="S146" s="1444"/>
      <c r="T146" s="1444"/>
      <c r="U146" s="828"/>
      <c r="V146" s="1444"/>
      <c r="W146" s="1444"/>
      <c r="X146" s="1444"/>
      <c r="Y146" s="1444"/>
      <c r="Z146" s="1444"/>
      <c r="AA146" s="1916"/>
      <c r="AB146" s="850"/>
      <c r="AC146" s="850"/>
      <c r="AD146" s="850"/>
      <c r="AE146" s="850"/>
      <c r="AF146" s="1925">
        <v>11</v>
      </c>
    </row>
    <row s="14730" customFormat="1" customHeight="1" ht="11.549999999999999">
      <c r="A147" s="1271"/>
      <c r="B147" s="1920"/>
      <c r="C147" s="1920"/>
      <c r="D147" s="635"/>
      <c r="K147" s="1444"/>
      <c r="L147" s="1920"/>
      <c r="M147" s="1920"/>
      <c r="N147" s="1444"/>
      <c r="O147" s="1444"/>
      <c r="P147" s="1444"/>
      <c r="Q147" s="1444"/>
      <c r="R147" s="1920"/>
      <c r="S147" s="1444"/>
      <c r="T147" s="1444"/>
      <c r="U147" s="828"/>
      <c r="V147" s="1444"/>
      <c r="W147" s="1444"/>
      <c r="X147" s="1444"/>
      <c r="Y147" s="1444"/>
      <c r="Z147" s="1444"/>
      <c r="AA147" s="1916"/>
      <c r="AB147" s="850"/>
      <c r="AC147" s="850"/>
      <c r="AD147" s="850"/>
      <c r="AE147" s="850"/>
      <c r="AF147" s="1925">
        <v>11</v>
      </c>
    </row>
    <row s="14730" customFormat="1" customHeight="1" ht="11.549999999999999">
      <c r="A148" s="1271"/>
      <c r="B148" s="1920"/>
      <c r="C148" s="1920"/>
      <c r="D148" s="635"/>
      <c r="K148" s="1444"/>
      <c r="L148" s="1920"/>
      <c r="M148" s="1920"/>
      <c r="N148" s="1444"/>
      <c r="O148" s="1444"/>
      <c r="P148" s="1444"/>
      <c r="Q148" s="1444"/>
      <c r="R148" s="1920"/>
      <c r="S148" s="1444"/>
      <c r="T148" s="1444"/>
      <c r="U148" s="828"/>
      <c r="V148" s="1444"/>
      <c r="W148" s="1444"/>
      <c r="X148" s="1444"/>
      <c r="Y148" s="1444"/>
      <c r="Z148" s="1444"/>
      <c r="AA148" s="1916"/>
      <c r="AB148" s="850"/>
      <c r="AC148" s="850"/>
      <c r="AD148" s="850"/>
      <c r="AE148" s="850"/>
      <c r="AF148" s="1925">
        <v>11</v>
      </c>
    </row>
    <row s="14730" customFormat="1" customHeight="1" ht="11.549999999999999">
      <c r="A149" s="1271"/>
      <c r="B149" s="1920"/>
      <c r="C149" s="1920"/>
      <c r="D149" s="635"/>
      <c r="K149" s="1444"/>
      <c r="L149" s="1920"/>
      <c r="M149" s="1920"/>
      <c r="N149" s="1444"/>
      <c r="O149" s="1444"/>
      <c r="P149" s="1444"/>
      <c r="Q149" s="1444"/>
      <c r="R149" s="1920"/>
      <c r="S149" s="1444"/>
      <c r="T149" s="1444"/>
      <c r="U149" s="828"/>
      <c r="V149" s="1444"/>
      <c r="W149" s="1444"/>
      <c r="X149" s="1444"/>
      <c r="Y149" s="1444"/>
      <c r="Z149" s="1444"/>
      <c r="AA149" s="1916"/>
      <c r="AB149" s="850"/>
      <c r="AC149" s="850"/>
      <c r="AD149" s="850"/>
      <c r="AE149" s="850"/>
      <c r="AF149" s="1925">
        <v>11</v>
      </c>
    </row>
    <row s="14730" customFormat="1" customHeight="1" ht="11.549999999999999">
      <c r="A150" s="1271"/>
      <c r="B150" s="1920"/>
      <c r="C150" s="1920"/>
      <c r="D150" s="635"/>
      <c r="K150" s="1444"/>
      <c r="L150" s="1920"/>
      <c r="M150" s="1920"/>
      <c r="N150" s="1444"/>
      <c r="O150" s="1444"/>
      <c r="P150" s="1444"/>
      <c r="Q150" s="1444"/>
      <c r="R150" s="1920"/>
      <c r="S150" s="1444"/>
      <c r="T150" s="1444"/>
      <c r="U150" s="828"/>
      <c r="V150" s="1444"/>
      <c r="W150" s="1444"/>
      <c r="X150" s="1444"/>
      <c r="Y150" s="1444"/>
      <c r="Z150" s="1444"/>
      <c r="AA150" s="1916"/>
      <c r="AB150" s="850"/>
      <c r="AC150" s="850"/>
      <c r="AD150" s="850"/>
      <c r="AE150" s="850"/>
      <c r="AF150" s="1925">
        <v>11</v>
      </c>
    </row>
    <row s="14730" customFormat="1" customHeight="1" ht="11.549999999999999">
      <c r="A151" s="1271"/>
      <c r="B151" s="1920"/>
      <c r="C151" s="1920"/>
      <c r="D151" s="635"/>
      <c r="K151" s="1444"/>
      <c r="L151" s="1920"/>
      <c r="M151" s="1920"/>
      <c r="N151" s="1444"/>
      <c r="O151" s="1444"/>
      <c r="P151" s="1444"/>
      <c r="Q151" s="1444"/>
      <c r="R151" s="1920"/>
      <c r="S151" s="1444"/>
      <c r="T151" s="1444"/>
      <c r="U151" s="828"/>
      <c r="V151" s="1444"/>
      <c r="W151" s="1444"/>
      <c r="X151" s="1444"/>
      <c r="Y151" s="1444"/>
      <c r="Z151" s="1444"/>
      <c r="AA151" s="1916"/>
      <c r="AB151" s="850"/>
      <c r="AC151" s="850"/>
      <c r="AD151" s="850"/>
      <c r="AE151" s="850"/>
      <c r="AF151" s="1925">
        <v>11</v>
      </c>
    </row>
    <row s="14730" customFormat="1" customHeight="1" ht="11.549999999999999">
      <c r="A152" s="1271"/>
      <c r="B152" s="1920"/>
      <c r="C152" s="1920"/>
      <c r="D152" s="635"/>
      <c r="K152" s="1444"/>
      <c r="L152" s="1920"/>
      <c r="M152" s="1920"/>
      <c r="N152" s="1444"/>
      <c r="O152" s="1444"/>
      <c r="P152" s="1444"/>
      <c r="Q152" s="1444"/>
      <c r="R152" s="1920"/>
      <c r="S152" s="1444"/>
      <c r="T152" s="1444"/>
      <c r="U152" s="828"/>
      <c r="V152" s="1444"/>
      <c r="W152" s="1444"/>
      <c r="X152" s="1444"/>
      <c r="Y152" s="1444"/>
      <c r="Z152" s="1444"/>
      <c r="AA152" s="1916"/>
      <c r="AB152" s="850"/>
      <c r="AC152" s="850"/>
      <c r="AD152" s="850"/>
      <c r="AE152" s="850"/>
      <c r="AF152" s="1925">
        <v>11</v>
      </c>
    </row>
    <row s="14730" customFormat="1" customHeight="1" ht="11.549999999999999">
      <c r="A153" s="1271"/>
      <c r="B153" s="1920"/>
      <c r="C153" s="1920"/>
      <c r="D153" s="635"/>
      <c r="K153" s="1444"/>
      <c r="L153" s="1920"/>
      <c r="M153" s="1920"/>
      <c r="N153" s="1444"/>
      <c r="O153" s="1444"/>
      <c r="P153" s="1444"/>
      <c r="Q153" s="1444"/>
      <c r="R153" s="1920"/>
      <c r="S153" s="1444"/>
      <c r="T153" s="1444"/>
      <c r="U153" s="828"/>
      <c r="V153" s="1444"/>
      <c r="W153" s="1444"/>
      <c r="X153" s="1444"/>
      <c r="Y153" s="1444"/>
      <c r="Z153" s="1444"/>
      <c r="AA153" s="1916"/>
      <c r="AB153" s="850"/>
      <c r="AC153" s="850"/>
      <c r="AD153" s="850"/>
      <c r="AE153" s="850"/>
      <c r="AF153" s="1925">
        <v>11</v>
      </c>
    </row>
    <row s="14730" customFormat="1" customHeight="1" ht="11.549999999999999">
      <c r="A154" s="1271"/>
      <c r="B154" s="1920"/>
      <c r="C154" s="1920"/>
      <c r="D154" s="635"/>
      <c r="K154" s="1444"/>
      <c r="L154" s="1920"/>
      <c r="M154" s="1920"/>
      <c r="N154" s="1444"/>
      <c r="O154" s="1444"/>
      <c r="P154" s="1444"/>
      <c r="Q154" s="1444"/>
      <c r="R154" s="1920"/>
      <c r="S154" s="1444"/>
      <c r="T154" s="1444"/>
      <c r="U154" s="828"/>
      <c r="V154" s="1444"/>
      <c r="W154" s="1444"/>
      <c r="X154" s="1444"/>
      <c r="Y154" s="1444"/>
      <c r="Z154" s="1444"/>
      <c r="AA154" s="1916"/>
      <c r="AB154" s="850"/>
      <c r="AC154" s="850"/>
      <c r="AD154" s="850"/>
      <c r="AE154" s="850"/>
      <c r="AF154" s="1925">
        <v>11</v>
      </c>
    </row>
    <row s="14730" customFormat="1" customHeight="1" ht="11.549999999999999">
      <c r="A155" s="1271"/>
      <c r="B155" s="1920"/>
      <c r="C155" s="1920"/>
      <c r="D155" s="635"/>
      <c r="K155" s="1444"/>
      <c r="L155" s="1920"/>
      <c r="M155" s="1920"/>
      <c r="N155" s="1444"/>
      <c r="O155" s="1444"/>
      <c r="P155" s="1444"/>
      <c r="Q155" s="1444"/>
      <c r="R155" s="1920"/>
      <c r="S155" s="1444"/>
      <c r="T155" s="1444"/>
      <c r="U155" s="828"/>
      <c r="V155" s="1444"/>
      <c r="W155" s="1444"/>
      <c r="X155" s="1444"/>
      <c r="Y155" s="1444"/>
      <c r="Z155" s="1444"/>
      <c r="AA155" s="1916"/>
      <c r="AB155" s="850"/>
      <c r="AC155" s="850"/>
      <c r="AD155" s="850"/>
      <c r="AE155" s="850"/>
      <c r="AF155" s="1925">
        <v>11</v>
      </c>
    </row>
    <row s="14730" customFormat="1" customHeight="1" ht="11.549999999999999">
      <c r="A156" s="1271"/>
      <c r="B156" s="1920"/>
      <c r="C156" s="1920"/>
      <c r="D156" s="635"/>
      <c r="K156" s="1444"/>
      <c r="L156" s="1920"/>
      <c r="M156" s="1920"/>
      <c r="N156" s="1444"/>
      <c r="O156" s="1444"/>
      <c r="P156" s="1444"/>
      <c r="Q156" s="1444"/>
      <c r="R156" s="1920"/>
      <c r="S156" s="1444"/>
      <c r="T156" s="1444"/>
      <c r="U156" s="828"/>
      <c r="V156" s="1444"/>
      <c r="W156" s="1444"/>
      <c r="X156" s="1444"/>
      <c r="Y156" s="1444"/>
      <c r="Z156" s="1444"/>
      <c r="AA156" s="1916"/>
      <c r="AB156" s="850"/>
      <c r="AC156" s="850"/>
      <c r="AD156" s="850"/>
      <c r="AE156" s="850"/>
      <c r="AF156" s="1925">
        <v>11</v>
      </c>
    </row>
    <row s="14730" customFormat="1" customHeight="1" ht="11.549999999999999">
      <c r="A157" s="1271"/>
      <c r="B157" s="1920"/>
      <c r="C157" s="1920"/>
      <c r="D157" s="635"/>
      <c r="K157" s="1444"/>
      <c r="L157" s="1920"/>
      <c r="M157" s="1920"/>
      <c r="N157" s="1444"/>
      <c r="O157" s="1444"/>
      <c r="P157" s="1444"/>
      <c r="Q157" s="1444"/>
      <c r="R157" s="1920"/>
      <c r="S157" s="1444"/>
      <c r="T157" s="1444"/>
      <c r="U157" s="828"/>
      <c r="V157" s="1444"/>
      <c r="W157" s="1444"/>
      <c r="X157" s="1444"/>
      <c r="Y157" s="1444"/>
      <c r="Z157" s="1444"/>
      <c r="AA157" s="1916"/>
      <c r="AB157" s="850"/>
      <c r="AC157" s="850"/>
      <c r="AD157" s="850"/>
      <c r="AE157" s="850"/>
      <c r="AF157" s="1925">
        <v>11</v>
      </c>
    </row>
    <row s="14730" customFormat="1" customHeight="1" ht="11.549999999999999">
      <c r="A158" s="1271"/>
      <c r="B158" s="1920"/>
      <c r="C158" s="1920"/>
      <c r="D158" s="635"/>
      <c r="K158" s="1444"/>
      <c r="L158" s="1920"/>
      <c r="M158" s="1920"/>
      <c r="N158" s="1444"/>
      <c r="O158" s="1444"/>
      <c r="P158" s="1444"/>
      <c r="Q158" s="1444"/>
      <c r="R158" s="1920"/>
      <c r="S158" s="1444"/>
      <c r="T158" s="1444"/>
      <c r="U158" s="828"/>
      <c r="V158" s="1444"/>
      <c r="W158" s="1444"/>
      <c r="X158" s="1444"/>
      <c r="Y158" s="1444"/>
      <c r="Z158" s="1444"/>
      <c r="AA158" s="1916"/>
      <c r="AB158" s="850"/>
      <c r="AC158" s="850"/>
      <c r="AD158" s="850"/>
      <c r="AE158" s="850"/>
      <c r="AF158" s="1925">
        <v>11</v>
      </c>
    </row>
    <row s="14730" customFormat="1" customHeight="1" ht="11.549999999999999">
      <c r="A159" s="1271"/>
      <c r="B159" s="1920"/>
      <c r="C159" s="1920"/>
      <c r="D159" s="635"/>
      <c r="K159" s="1444"/>
      <c r="L159" s="1920"/>
      <c r="M159" s="1920"/>
      <c r="N159" s="1444"/>
      <c r="O159" s="1444"/>
      <c r="P159" s="1444"/>
      <c r="Q159" s="1444"/>
      <c r="R159" s="1920"/>
      <c r="S159" s="1444"/>
      <c r="T159" s="1444"/>
      <c r="U159" s="828"/>
      <c r="V159" s="1444"/>
      <c r="W159" s="1444"/>
      <c r="X159" s="1444"/>
      <c r="Y159" s="1444"/>
      <c r="Z159" s="1444"/>
      <c r="AA159" s="1916"/>
      <c r="AB159" s="850"/>
      <c r="AC159" s="850"/>
      <c r="AD159" s="850"/>
      <c r="AE159" s="850"/>
      <c r="AF159" s="1925">
        <v>11</v>
      </c>
    </row>
    <row s="14730" customFormat="1" customHeight="1" ht="11.549999999999999">
      <c r="A160" s="1271"/>
      <c r="B160" s="1920"/>
      <c r="C160" s="1920"/>
      <c r="D160" s="635"/>
      <c r="K160" s="1444"/>
      <c r="L160" s="1920"/>
      <c r="M160" s="1920"/>
      <c r="N160" s="1444"/>
      <c r="O160" s="1444"/>
      <c r="P160" s="1444"/>
      <c r="Q160" s="1444"/>
      <c r="R160" s="1920"/>
      <c r="S160" s="1444"/>
      <c r="T160" s="1444"/>
      <c r="U160" s="828"/>
      <c r="V160" s="1444"/>
      <c r="W160" s="1444"/>
      <c r="X160" s="1444"/>
      <c r="Y160" s="1444"/>
      <c r="Z160" s="1444"/>
      <c r="AA160" s="1916"/>
      <c r="AB160" s="850"/>
      <c r="AC160" s="850"/>
      <c r="AD160" s="850"/>
      <c r="AE160" s="850"/>
      <c r="AF160" s="1925">
        <v>11</v>
      </c>
    </row>
    <row s="14730" customFormat="1" customHeight="1" ht="11.549999999999999">
      <c r="A161" s="1271"/>
      <c r="B161" s="1920"/>
      <c r="C161" s="1920"/>
      <c r="D161" s="635"/>
      <c r="K161" s="1444"/>
      <c r="L161" s="1920"/>
      <c r="M161" s="1920"/>
      <c r="N161" s="1444"/>
      <c r="O161" s="1444"/>
      <c r="P161" s="1444"/>
      <c r="Q161" s="1444"/>
      <c r="R161" s="1920"/>
      <c r="S161" s="1444"/>
      <c r="T161" s="1444"/>
      <c r="U161" s="828"/>
      <c r="V161" s="1444"/>
      <c r="W161" s="1444"/>
      <c r="X161" s="1444"/>
      <c r="Y161" s="1444"/>
      <c r="Z161" s="1444"/>
      <c r="AA161" s="1916"/>
      <c r="AB161" s="850"/>
      <c r="AC161" s="850"/>
      <c r="AD161" s="850"/>
      <c r="AE161" s="850"/>
      <c r="AF161" s="1925">
        <v>11</v>
      </c>
    </row>
    <row s="14730" customFormat="1" customHeight="1" ht="11.549999999999999">
      <c r="A162" s="1271"/>
      <c r="B162" s="1920"/>
      <c r="C162" s="1920"/>
      <c r="D162" s="635"/>
      <c r="K162" s="1444"/>
      <c r="L162" s="1920"/>
      <c r="M162" s="1920"/>
      <c r="N162" s="1444"/>
      <c r="O162" s="1444"/>
      <c r="P162" s="1444"/>
      <c r="Q162" s="1444"/>
      <c r="R162" s="1920"/>
      <c r="S162" s="1444"/>
      <c r="T162" s="1444"/>
      <c r="U162" s="828"/>
      <c r="V162" s="1444"/>
      <c r="W162" s="1444"/>
      <c r="X162" s="1444"/>
      <c r="Y162" s="1444"/>
      <c r="Z162" s="1444"/>
      <c r="AA162" s="1916"/>
      <c r="AB162" s="850"/>
      <c r="AC162" s="850"/>
      <c r="AD162" s="850"/>
      <c r="AE162" s="850"/>
      <c r="AF162" s="1925">
        <v>11</v>
      </c>
    </row>
    <row s="14730" customFormat="1" customHeight="1" ht="11.549999999999999">
      <c r="A163" s="1271"/>
      <c r="B163" s="1920"/>
      <c r="C163" s="1920"/>
      <c r="D163" s="635"/>
      <c r="K163" s="1444"/>
      <c r="L163" s="1920"/>
      <c r="M163" s="1920"/>
      <c r="N163" s="1444"/>
      <c r="O163" s="1444"/>
      <c r="P163" s="1444"/>
      <c r="Q163" s="1444"/>
      <c r="R163" s="1920"/>
      <c r="S163" s="1444"/>
      <c r="T163" s="1444"/>
      <c r="U163" s="828"/>
      <c r="V163" s="1444"/>
      <c r="W163" s="1444"/>
      <c r="X163" s="1444"/>
      <c r="Y163" s="1444"/>
      <c r="Z163" s="1444"/>
      <c r="AA163" s="1916"/>
      <c r="AB163" s="850"/>
      <c r="AC163" s="850"/>
      <c r="AD163" s="850"/>
      <c r="AE163" s="850"/>
      <c r="AF163" s="1925">
        <v>11</v>
      </c>
    </row>
    <row s="14730" customFormat="1" customHeight="1" ht="11.549999999999999">
      <c r="A164" s="1271"/>
      <c r="B164" s="1920"/>
      <c r="C164" s="1920"/>
      <c r="D164" s="635"/>
      <c r="K164" s="1444"/>
      <c r="L164" s="1920"/>
      <c r="M164" s="1920"/>
      <c r="N164" s="1444"/>
      <c r="O164" s="1444"/>
      <c r="P164" s="1444"/>
      <c r="Q164" s="1444"/>
      <c r="R164" s="1920"/>
      <c r="S164" s="1444"/>
      <c r="T164" s="1444"/>
      <c r="U164" s="828"/>
      <c r="V164" s="1444"/>
      <c r="W164" s="1444"/>
      <c r="X164" s="1444"/>
      <c r="Y164" s="1444"/>
      <c r="Z164" s="1444"/>
      <c r="AA164" s="1916"/>
      <c r="AB164" s="850"/>
      <c r="AC164" s="850"/>
      <c r="AD164" s="850"/>
      <c r="AE164" s="850"/>
      <c r="AF164" s="1925">
        <v>11</v>
      </c>
    </row>
    <row s="14730" customFormat="1" customHeight="1" ht="11.549999999999999">
      <c r="A165" s="1271"/>
      <c r="B165" s="1920"/>
      <c r="C165" s="1920"/>
      <c r="D165" s="635"/>
      <c r="K165" s="1444"/>
      <c r="L165" s="1920"/>
      <c r="M165" s="1920"/>
      <c r="N165" s="1444"/>
      <c r="O165" s="1444"/>
      <c r="P165" s="1444"/>
      <c r="Q165" s="1444"/>
      <c r="R165" s="1920"/>
      <c r="S165" s="1444"/>
      <c r="T165" s="1444"/>
      <c r="U165" s="828"/>
      <c r="V165" s="1444"/>
      <c r="W165" s="1444"/>
      <c r="X165" s="1444"/>
      <c r="Y165" s="1444"/>
      <c r="Z165" s="1444"/>
      <c r="AA165" s="1916"/>
      <c r="AB165" s="850"/>
      <c r="AC165" s="850"/>
      <c r="AD165" s="850"/>
      <c r="AE165" s="850"/>
      <c r="AF165" s="1925">
        <v>11</v>
      </c>
    </row>
    <row s="14730" customFormat="1" customHeight="1" ht="11.549999999999999">
      <c r="A166" s="1271"/>
      <c r="B166" s="1920"/>
      <c r="C166" s="1920"/>
      <c r="D166" s="635"/>
      <c r="K166" s="1444"/>
      <c r="L166" s="1920"/>
      <c r="M166" s="1920"/>
      <c r="N166" s="1444"/>
      <c r="O166" s="1444"/>
      <c r="P166" s="1444"/>
      <c r="Q166" s="1444"/>
      <c r="R166" s="1920"/>
      <c r="S166" s="1444"/>
      <c r="T166" s="1444"/>
      <c r="U166" s="828"/>
      <c r="V166" s="1444"/>
      <c r="W166" s="1444"/>
      <c r="X166" s="1444"/>
      <c r="Y166" s="1444"/>
      <c r="Z166" s="1444"/>
      <c r="AA166" s="1916"/>
      <c r="AB166" s="850"/>
      <c r="AC166" s="850"/>
      <c r="AD166" s="850"/>
      <c r="AE166" s="850"/>
      <c r="AF166" s="1925">
        <v>11</v>
      </c>
    </row>
    <row s="14730" customFormat="1" customHeight="1" ht="11.549999999999999">
      <c r="A167" s="1271"/>
      <c r="B167" s="1920"/>
      <c r="C167" s="1920"/>
      <c r="D167" s="635"/>
      <c r="K167" s="1444"/>
      <c r="L167" s="1920"/>
      <c r="M167" s="1920"/>
      <c r="N167" s="1444"/>
      <c r="O167" s="1444"/>
      <c r="P167" s="1444"/>
      <c r="Q167" s="1444"/>
      <c r="R167" s="1920"/>
      <c r="S167" s="1444"/>
      <c r="T167" s="1444"/>
      <c r="U167" s="828"/>
      <c r="V167" s="1444"/>
      <c r="W167" s="1444"/>
      <c r="X167" s="1444"/>
      <c r="Y167" s="1444"/>
      <c r="Z167" s="1444"/>
      <c r="AA167" s="1916"/>
      <c r="AB167" s="850"/>
      <c r="AC167" s="850"/>
      <c r="AD167" s="850"/>
      <c r="AE167" s="850"/>
      <c r="AF167" s="1925">
        <v>11</v>
      </c>
    </row>
    <row s="14730" customFormat="1" customHeight="1" ht="11.549999999999999">
      <c r="A168" s="1271"/>
      <c r="B168" s="1920"/>
      <c r="C168" s="1920"/>
      <c r="D168" s="635"/>
      <c r="K168" s="1444"/>
      <c r="L168" s="1920"/>
      <c r="M168" s="1920"/>
      <c r="N168" s="1444"/>
      <c r="O168" s="1444"/>
      <c r="P168" s="1444"/>
      <c r="Q168" s="1444"/>
      <c r="R168" s="1920"/>
      <c r="S168" s="1444"/>
      <c r="T168" s="1444"/>
      <c r="U168" s="828"/>
      <c r="V168" s="1444"/>
      <c r="W168" s="1444"/>
      <c r="X168" s="1444"/>
      <c r="Y168" s="1444"/>
      <c r="Z168" s="1444"/>
      <c r="AA168" s="1916"/>
      <c r="AB168" s="850"/>
      <c r="AC168" s="850"/>
      <c r="AD168" s="850"/>
      <c r="AE168" s="850"/>
      <c r="AF168" s="1925">
        <v>11</v>
      </c>
    </row>
    <row s="14730" customFormat="1" customHeight="1" ht="11.549999999999999">
      <c r="A169" s="1271"/>
      <c r="B169" s="1920"/>
      <c r="C169" s="1920"/>
      <c r="D169" s="635"/>
      <c r="K169" s="1444"/>
      <c r="L169" s="1920"/>
      <c r="M169" s="1920"/>
      <c r="N169" s="1444"/>
      <c r="O169" s="1444"/>
      <c r="P169" s="1444"/>
      <c r="Q169" s="1444"/>
      <c r="R169" s="1920"/>
      <c r="S169" s="1444"/>
      <c r="T169" s="1444"/>
      <c r="U169" s="828"/>
      <c r="V169" s="1444"/>
      <c r="W169" s="1444"/>
      <c r="X169" s="1444"/>
      <c r="Y169" s="1444"/>
      <c r="Z169" s="1444"/>
      <c r="AA169" s="1916"/>
      <c r="AB169" s="850"/>
      <c r="AC169" s="850"/>
      <c r="AD169" s="850"/>
      <c r="AE169" s="850"/>
      <c r="AF169" s="1925">
        <v>11</v>
      </c>
    </row>
    <row s="14730" customFormat="1" customHeight="1" ht="11.549999999999999">
      <c r="A170" s="1271"/>
      <c r="B170" s="1920"/>
      <c r="C170" s="1920"/>
      <c r="D170" s="635"/>
      <c r="K170" s="1444"/>
      <c r="L170" s="1920"/>
      <c r="M170" s="1920"/>
      <c r="N170" s="1444"/>
      <c r="O170" s="1444"/>
      <c r="P170" s="1444"/>
      <c r="Q170" s="1444"/>
      <c r="R170" s="1920"/>
      <c r="S170" s="1444"/>
      <c r="T170" s="1444"/>
      <c r="U170" s="828"/>
      <c r="V170" s="1444"/>
      <c r="W170" s="1444"/>
      <c r="X170" s="1444"/>
      <c r="Y170" s="1444"/>
      <c r="Z170" s="1444"/>
      <c r="AA170" s="1916"/>
      <c r="AB170" s="850"/>
      <c r="AC170" s="850"/>
      <c r="AD170" s="850"/>
      <c r="AE170" s="850"/>
      <c r="AF170" s="1925">
        <v>11</v>
      </c>
    </row>
    <row s="14730" customFormat="1" customHeight="1" ht="11.549999999999999">
      <c r="A171" s="1271"/>
      <c r="B171" s="1920"/>
      <c r="C171" s="1920"/>
      <c r="D171" s="635"/>
      <c r="K171" s="1444"/>
      <c r="L171" s="1920"/>
      <c r="M171" s="1920"/>
      <c r="N171" s="1444"/>
      <c r="O171" s="1444"/>
      <c r="P171" s="1444"/>
      <c r="Q171" s="1444"/>
      <c r="R171" s="1920"/>
      <c r="S171" s="1444"/>
      <c r="T171" s="1444"/>
      <c r="U171" s="828"/>
      <c r="V171" s="1444"/>
      <c r="W171" s="1444"/>
      <c r="X171" s="1444"/>
      <c r="Y171" s="1444"/>
      <c r="Z171" s="1444"/>
      <c r="AA171" s="1916"/>
      <c r="AB171" s="850"/>
      <c r="AC171" s="850"/>
      <c r="AD171" s="850"/>
      <c r="AE171" s="850"/>
      <c r="AF171" s="1925">
        <v>11</v>
      </c>
    </row>
    <row s="14730" customFormat="1" customHeight="1" ht="11.549999999999999">
      <c r="A172" s="1271"/>
      <c r="B172" s="1920"/>
      <c r="C172" s="1920"/>
      <c r="D172" s="635"/>
      <c r="K172" s="1444"/>
      <c r="L172" s="1920"/>
      <c r="M172" s="1920"/>
      <c r="N172" s="1444"/>
      <c r="O172" s="1444"/>
      <c r="P172" s="1444"/>
      <c r="Q172" s="1444"/>
      <c r="R172" s="1920"/>
      <c r="S172" s="1444"/>
      <c r="T172" s="1444"/>
      <c r="U172" s="828"/>
      <c r="V172" s="1444"/>
      <c r="W172" s="1444"/>
      <c r="X172" s="1444"/>
      <c r="Y172" s="1444"/>
      <c r="Z172" s="1444"/>
      <c r="AA172" s="1916"/>
      <c r="AB172" s="850"/>
      <c r="AC172" s="850"/>
      <c r="AD172" s="850"/>
      <c r="AE172" s="850"/>
      <c r="AF172" s="1925">
        <v>11</v>
      </c>
    </row>
    <row s="14730" customFormat="1" customHeight="1" ht="11.549999999999999">
      <c r="A173" s="1271"/>
      <c r="B173" s="1920"/>
      <c r="C173" s="1920"/>
      <c r="D173" s="635"/>
      <c r="K173" s="1444"/>
      <c r="L173" s="1920"/>
      <c r="M173" s="1920"/>
      <c r="N173" s="1444"/>
      <c r="O173" s="1444"/>
      <c r="P173" s="1444"/>
      <c r="Q173" s="1444"/>
      <c r="R173" s="1920"/>
      <c r="S173" s="1444"/>
      <c r="T173" s="1444"/>
      <c r="U173" s="828"/>
      <c r="V173" s="1444"/>
      <c r="W173" s="1444"/>
      <c r="X173" s="1444"/>
      <c r="Y173" s="1444"/>
      <c r="Z173" s="1444"/>
      <c r="AA173" s="1916"/>
      <c r="AB173" s="850"/>
      <c r="AC173" s="850"/>
      <c r="AD173" s="850"/>
      <c r="AE173" s="850"/>
      <c r="AF173" s="1925">
        <v>11</v>
      </c>
    </row>
    <row s="14730" customFormat="1" customHeight="1" ht="11.549999999999999">
      <c r="A174" s="1271"/>
      <c r="B174" s="1920"/>
      <c r="C174" s="1920"/>
      <c r="D174" s="635"/>
      <c r="K174" s="1444"/>
      <c r="L174" s="1920"/>
      <c r="M174" s="1920"/>
      <c r="N174" s="1444"/>
      <c r="O174" s="1444"/>
      <c r="P174" s="1444"/>
      <c r="Q174" s="1444"/>
      <c r="R174" s="1920"/>
      <c r="S174" s="1444"/>
      <c r="T174" s="1444"/>
      <c r="U174" s="828"/>
      <c r="V174" s="1444"/>
      <c r="W174" s="1444"/>
      <c r="X174" s="1444"/>
      <c r="Y174" s="1444"/>
      <c r="Z174" s="1444"/>
      <c r="AA174" s="1916"/>
      <c r="AB174" s="850"/>
      <c r="AC174" s="850"/>
      <c r="AD174" s="850"/>
      <c r="AE174" s="850"/>
      <c r="AF174" s="1925">
        <v>11</v>
      </c>
    </row>
    <row s="14730" customFormat="1" customHeight="1" ht="11.549999999999999">
      <c r="A175" s="1271"/>
      <c r="B175" s="1920"/>
      <c r="C175" s="1920"/>
      <c r="D175" s="635"/>
      <c r="K175" s="1444"/>
      <c r="L175" s="1920"/>
      <c r="M175" s="1920"/>
      <c r="N175" s="1444"/>
      <c r="O175" s="1444"/>
      <c r="P175" s="1444"/>
      <c r="Q175" s="1444"/>
      <c r="R175" s="1920"/>
      <c r="S175" s="1444"/>
      <c r="T175" s="1444"/>
      <c r="U175" s="828"/>
      <c r="V175" s="1444"/>
      <c r="W175" s="1444"/>
      <c r="X175" s="1444"/>
      <c r="Y175" s="1444"/>
      <c r="Z175" s="1444"/>
      <c r="AA175" s="1916"/>
      <c r="AB175" s="850"/>
      <c r="AC175" s="850"/>
      <c r="AD175" s="850"/>
      <c r="AE175" s="850"/>
      <c r="AF175" s="1925">
        <v>11</v>
      </c>
    </row>
    <row s="14730" customFormat="1" customHeight="1" ht="11.549999999999999">
      <c r="A176" s="1271"/>
      <c r="B176" s="1920"/>
      <c r="C176" s="1920"/>
      <c r="D176" s="635"/>
      <c r="K176" s="1444"/>
      <c r="L176" s="1920"/>
      <c r="M176" s="1920"/>
      <c r="N176" s="1444"/>
      <c r="O176" s="1444"/>
      <c r="P176" s="1444"/>
      <c r="Q176" s="1444"/>
      <c r="R176" s="1920"/>
      <c r="S176" s="1444"/>
      <c r="T176" s="1444"/>
      <c r="U176" s="828"/>
      <c r="V176" s="1444"/>
      <c r="W176" s="1444"/>
      <c r="X176" s="1444"/>
      <c r="Y176" s="1444"/>
      <c r="Z176" s="1444"/>
      <c r="AA176" s="1916"/>
      <c r="AB176" s="850"/>
      <c r="AC176" s="850"/>
      <c r="AD176" s="850"/>
      <c r="AE176" s="850"/>
      <c r="AF176" s="1925">
        <v>11</v>
      </c>
    </row>
    <row s="14730" customFormat="1" customHeight="1" ht="11.549999999999999">
      <c r="A177" s="1271"/>
      <c r="B177" s="1920"/>
      <c r="C177" s="1920"/>
      <c r="D177" s="635"/>
      <c r="K177" s="1444"/>
      <c r="L177" s="1920"/>
      <c r="M177" s="1920"/>
      <c r="N177" s="1444"/>
      <c r="O177" s="1444"/>
      <c r="P177" s="1444"/>
      <c r="Q177" s="1444"/>
      <c r="R177" s="1920"/>
      <c r="S177" s="1444"/>
      <c r="T177" s="1444"/>
      <c r="U177" s="828"/>
      <c r="V177" s="1444"/>
      <c r="W177" s="1444"/>
      <c r="X177" s="1444"/>
      <c r="Y177" s="1444"/>
      <c r="Z177" s="1444"/>
      <c r="AA177" s="1916"/>
      <c r="AB177" s="850"/>
      <c r="AC177" s="850"/>
      <c r="AD177" s="850"/>
      <c r="AE177" s="850"/>
      <c r="AF177" s="1925">
        <v>11</v>
      </c>
    </row>
    <row s="14730" customFormat="1" customHeight="1" ht="11.549999999999999">
      <c r="A178" s="1271"/>
      <c r="B178" s="1920"/>
      <c r="C178" s="1920"/>
      <c r="D178" s="635"/>
      <c r="K178" s="1444"/>
      <c r="L178" s="1920"/>
      <c r="M178" s="1920"/>
      <c r="N178" s="1444"/>
      <c r="O178" s="1444"/>
      <c r="P178" s="1444"/>
      <c r="Q178" s="1444"/>
      <c r="R178" s="1920"/>
      <c r="S178" s="1444"/>
      <c r="T178" s="1444"/>
      <c r="U178" s="828"/>
      <c r="V178" s="1444"/>
      <c r="W178" s="1444"/>
      <c r="X178" s="1444"/>
      <c r="Y178" s="1444"/>
      <c r="Z178" s="1444"/>
      <c r="AA178" s="1916"/>
      <c r="AB178" s="850"/>
      <c r="AC178" s="850"/>
      <c r="AD178" s="850"/>
      <c r="AE178" s="850"/>
      <c r="AF178" s="1925">
        <v>11</v>
      </c>
    </row>
    <row s="14730" customFormat="1" customHeight="1" ht="11.549999999999999">
      <c r="A179" s="1271"/>
      <c r="B179" s="1920"/>
      <c r="C179" s="1920"/>
      <c r="D179" s="635"/>
      <c r="K179" s="1444"/>
      <c r="L179" s="1920"/>
      <c r="M179" s="1920"/>
      <c r="N179" s="1444"/>
      <c r="O179" s="1444"/>
      <c r="P179" s="1444"/>
      <c r="Q179" s="1444"/>
      <c r="R179" s="1920"/>
      <c r="S179" s="1444"/>
      <c r="T179" s="1444"/>
      <c r="U179" s="828"/>
      <c r="V179" s="1444"/>
      <c r="W179" s="1444"/>
      <c r="X179" s="1444"/>
      <c r="Y179" s="1444"/>
      <c r="Z179" s="1444"/>
      <c r="AA179" s="1916"/>
      <c r="AB179" s="850"/>
      <c r="AC179" s="850"/>
      <c r="AD179" s="850"/>
      <c r="AE179" s="850"/>
      <c r="AF179" s="1925">
        <v>11</v>
      </c>
    </row>
    <row s="14730" customFormat="1" customHeight="1" ht="11.549999999999999">
      <c r="A180" s="1271"/>
      <c r="B180" s="1920"/>
      <c r="C180" s="1920"/>
      <c r="D180" s="635"/>
      <c r="K180" s="1444"/>
      <c r="L180" s="1920"/>
      <c r="M180" s="1920"/>
      <c r="N180" s="1444"/>
      <c r="O180" s="1444"/>
      <c r="P180" s="1444"/>
      <c r="Q180" s="1444"/>
      <c r="R180" s="1920"/>
      <c r="S180" s="1444"/>
      <c r="T180" s="1444"/>
      <c r="U180" s="828"/>
      <c r="V180" s="1444"/>
      <c r="W180" s="1444"/>
      <c r="X180" s="1444"/>
      <c r="Y180" s="1444"/>
      <c r="Z180" s="1444"/>
      <c r="AA180" s="1916"/>
      <c r="AB180" s="850"/>
      <c r="AC180" s="850"/>
      <c r="AD180" s="850"/>
      <c r="AE180" s="850"/>
      <c r="AF180" s="1925">
        <v>11</v>
      </c>
    </row>
    <row s="14730" customFormat="1" customHeight="1" ht="11.549999999999999">
      <c r="A181" s="1271"/>
      <c r="B181" s="1920"/>
      <c r="C181" s="1920"/>
      <c r="D181" s="635"/>
      <c r="K181" s="1444"/>
      <c r="L181" s="1920"/>
      <c r="M181" s="1920"/>
      <c r="N181" s="1444"/>
      <c r="O181" s="1444"/>
      <c r="P181" s="1444"/>
      <c r="Q181" s="1444"/>
      <c r="R181" s="1920"/>
      <c r="S181" s="1444"/>
      <c r="T181" s="1444"/>
      <c r="U181" s="828"/>
      <c r="V181" s="1444"/>
      <c r="W181" s="1444"/>
      <c r="X181" s="1444"/>
      <c r="Y181" s="1444"/>
      <c r="Z181" s="1444"/>
      <c r="AA181" s="1916"/>
      <c r="AB181" s="850"/>
      <c r="AC181" s="850"/>
      <c r="AD181" s="850"/>
      <c r="AE181" s="850"/>
      <c r="AF181" s="1925">
        <v>11</v>
      </c>
    </row>
    <row s="14730" customFormat="1" customHeight="1" ht="11.549999999999999">
      <c r="A182" s="1271"/>
      <c r="B182" s="1920"/>
      <c r="C182" s="1920"/>
      <c r="D182" s="635"/>
      <c r="K182" s="1444"/>
      <c r="L182" s="1920"/>
      <c r="M182" s="1920"/>
      <c r="N182" s="1444"/>
      <c r="O182" s="1444"/>
      <c r="P182" s="1444"/>
      <c r="Q182" s="1444"/>
      <c r="R182" s="1920"/>
      <c r="S182" s="1444"/>
      <c r="T182" s="1444"/>
      <c r="U182" s="828"/>
      <c r="V182" s="1444"/>
      <c r="W182" s="1444"/>
      <c r="X182" s="1444"/>
      <c r="Y182" s="1444"/>
      <c r="Z182" s="1444"/>
      <c r="AA182" s="1916"/>
      <c r="AB182" s="850"/>
      <c r="AC182" s="850"/>
      <c r="AD182" s="850"/>
      <c r="AE182" s="850"/>
      <c r="AF182" s="1925">
        <v>11</v>
      </c>
    </row>
    <row s="14730" customFormat="1" customHeight="1" ht="11.549999999999999">
      <c r="A183" s="1271"/>
      <c r="B183" s="1920"/>
      <c r="C183" s="1920"/>
      <c r="D183" s="635"/>
      <c r="K183" s="1444"/>
      <c r="L183" s="1920"/>
      <c r="M183" s="1920"/>
      <c r="N183" s="1444"/>
      <c r="O183" s="1444"/>
      <c r="P183" s="1444"/>
      <c r="Q183" s="1444"/>
      <c r="R183" s="1920"/>
      <c r="S183" s="1444"/>
      <c r="T183" s="1444"/>
      <c r="U183" s="828"/>
      <c r="V183" s="1444"/>
      <c r="W183" s="1444"/>
      <c r="X183" s="1444"/>
      <c r="Y183" s="1444"/>
      <c r="Z183" s="1444"/>
      <c r="AA183" s="1916"/>
      <c r="AB183" s="850"/>
      <c r="AC183" s="850"/>
      <c r="AD183" s="850"/>
      <c r="AE183" s="850"/>
      <c r="AF183" s="1925">
        <v>11</v>
      </c>
    </row>
    <row s="14730" customFormat="1" customHeight="1" ht="11.549999999999999">
      <c r="A184" s="1271"/>
      <c r="B184" s="1920"/>
      <c r="C184" s="1920"/>
      <c r="D184" s="635"/>
      <c r="K184" s="1444"/>
      <c r="L184" s="1920"/>
      <c r="M184" s="1920"/>
      <c r="N184" s="1444"/>
      <c r="O184" s="1444"/>
      <c r="P184" s="1444"/>
      <c r="Q184" s="1444"/>
      <c r="R184" s="1920"/>
      <c r="S184" s="1444"/>
      <c r="T184" s="1444"/>
      <c r="U184" s="828"/>
      <c r="V184" s="1444"/>
      <c r="W184" s="1444"/>
      <c r="X184" s="1444"/>
      <c r="Y184" s="1444"/>
      <c r="Z184" s="1444"/>
      <c r="AA184" s="1916"/>
      <c r="AB184" s="850"/>
      <c r="AC184" s="850"/>
      <c r="AD184" s="850"/>
      <c r="AE184" s="850"/>
      <c r="AF184" s="1925">
        <v>11</v>
      </c>
    </row>
    <row s="14730" customFormat="1" customHeight="1" ht="11.549999999999999">
      <c r="A185" s="1271"/>
      <c r="B185" s="1920"/>
      <c r="C185" s="1920"/>
      <c r="D185" s="635"/>
      <c r="K185" s="1444"/>
      <c r="L185" s="1920"/>
      <c r="M185" s="1920"/>
      <c r="N185" s="1444"/>
      <c r="O185" s="1444"/>
      <c r="P185" s="1444"/>
      <c r="Q185" s="1444"/>
      <c r="R185" s="1920"/>
      <c r="S185" s="1444"/>
      <c r="T185" s="1444"/>
      <c r="U185" s="828"/>
      <c r="V185" s="1444"/>
      <c r="W185" s="1444"/>
      <c r="X185" s="1444"/>
      <c r="Y185" s="1444"/>
      <c r="Z185" s="1444"/>
      <c r="AA185" s="1916"/>
      <c r="AB185" s="850"/>
      <c r="AC185" s="850"/>
      <c r="AD185" s="850"/>
      <c r="AE185" s="850"/>
      <c r="AF185" s="1925">
        <v>11</v>
      </c>
    </row>
    <row s="14730" customFormat="1" customHeight="1" ht="11.549999999999999">
      <c r="A186" s="1271"/>
      <c r="B186" s="1920"/>
      <c r="C186" s="1920"/>
      <c r="D186" s="635"/>
      <c r="K186" s="1444"/>
      <c r="L186" s="1920"/>
      <c r="M186" s="1920"/>
      <c r="N186" s="1444"/>
      <c r="O186" s="1444"/>
      <c r="P186" s="1444"/>
      <c r="Q186" s="1444"/>
      <c r="R186" s="1920"/>
      <c r="S186" s="1444"/>
      <c r="T186" s="1444"/>
      <c r="U186" s="828"/>
      <c r="V186" s="1444"/>
      <c r="W186" s="1444"/>
      <c r="X186" s="1444"/>
      <c r="Y186" s="1444"/>
      <c r="Z186" s="1444"/>
      <c r="AA186" s="1916"/>
      <c r="AB186" s="850"/>
      <c r="AC186" s="850"/>
      <c r="AD186" s="850"/>
      <c r="AE186" s="850"/>
      <c r="AF186" s="1925">
        <v>11</v>
      </c>
    </row>
    <row s="14730" customFormat="1" customHeight="1" ht="11.549999999999999">
      <c r="A187" s="1271"/>
      <c r="B187" s="1920"/>
      <c r="C187" s="1920"/>
      <c r="D187" s="635"/>
      <c r="K187" s="1444"/>
      <c r="L187" s="1920"/>
      <c r="M187" s="1920"/>
      <c r="N187" s="1444"/>
      <c r="O187" s="1444"/>
      <c r="P187" s="1444"/>
      <c r="Q187" s="1444"/>
      <c r="R187" s="1920"/>
      <c r="S187" s="1444"/>
      <c r="T187" s="1444"/>
      <c r="U187" s="828"/>
      <c r="V187" s="1444"/>
      <c r="W187" s="1444"/>
      <c r="X187" s="1444"/>
      <c r="Y187" s="1444"/>
      <c r="Z187" s="1444"/>
      <c r="AA187" s="1916"/>
      <c r="AB187" s="850"/>
      <c r="AC187" s="850"/>
      <c r="AD187" s="850"/>
      <c r="AE187" s="850"/>
      <c r="AF187" s="1925">
        <v>11</v>
      </c>
    </row>
    <row s="14730" customFormat="1" customHeight="1" ht="11.549999999999999">
      <c r="A188" s="1271"/>
      <c r="B188" s="1920"/>
      <c r="C188" s="1920"/>
      <c r="D188" s="635"/>
      <c r="K188" s="1444"/>
      <c r="L188" s="1920"/>
      <c r="M188" s="1920"/>
      <c r="N188" s="1444"/>
      <c r="O188" s="1444"/>
      <c r="P188" s="1444"/>
      <c r="Q188" s="1444"/>
      <c r="R188" s="1920"/>
      <c r="S188" s="1444"/>
      <c r="T188" s="1444"/>
      <c r="U188" s="828"/>
      <c r="V188" s="1444"/>
      <c r="W188" s="1444"/>
      <c r="X188" s="1444"/>
      <c r="Y188" s="1444"/>
      <c r="Z188" s="1444"/>
      <c r="AA188" s="1916"/>
      <c r="AB188" s="850"/>
      <c r="AC188" s="850"/>
      <c r="AD188" s="850"/>
      <c r="AE188" s="850"/>
      <c r="AF188" s="1925">
        <v>11</v>
      </c>
    </row>
    <row s="14730" customFormat="1" customHeight="1" ht="11.549999999999999">
      <c r="A189" s="1271"/>
      <c r="B189" s="1920"/>
      <c r="C189" s="1920"/>
      <c r="D189" s="635"/>
      <c r="K189" s="1444"/>
      <c r="L189" s="1920"/>
      <c r="M189" s="1920"/>
      <c r="N189" s="1444"/>
      <c r="O189" s="1444"/>
      <c r="P189" s="1444"/>
      <c r="Q189" s="1444"/>
      <c r="R189" s="1920"/>
      <c r="S189" s="1444"/>
      <c r="T189" s="1444"/>
      <c r="U189" s="828"/>
      <c r="V189" s="1444"/>
      <c r="W189" s="1444"/>
      <c r="X189" s="1444"/>
      <c r="Y189" s="1444"/>
      <c r="Z189" s="1444"/>
      <c r="AA189" s="1916"/>
      <c r="AB189" s="850"/>
      <c r="AC189" s="850"/>
      <c r="AD189" s="850"/>
      <c r="AE189" s="850"/>
      <c r="AF189" s="1925">
        <v>11</v>
      </c>
    </row>
    <row s="14730" customFormat="1" customHeight="1" ht="11.549999999999999">
      <c r="A190" s="1271"/>
      <c r="B190" s="1920"/>
      <c r="C190" s="1920"/>
      <c r="D190" s="635"/>
      <c r="K190" s="1444"/>
      <c r="L190" s="1920"/>
      <c r="M190" s="1920"/>
      <c r="N190" s="1444"/>
      <c r="O190" s="1444"/>
      <c r="P190" s="1444"/>
      <c r="Q190" s="1444"/>
      <c r="R190" s="1920"/>
      <c r="S190" s="1444"/>
      <c r="T190" s="1444"/>
      <c r="U190" s="828"/>
      <c r="V190" s="1444"/>
      <c r="W190" s="1444"/>
      <c r="X190" s="1444"/>
      <c r="Y190" s="1444"/>
      <c r="Z190" s="1444"/>
      <c r="AA190" s="1916"/>
      <c r="AB190" s="850"/>
      <c r="AC190" s="850"/>
      <c r="AD190" s="850"/>
      <c r="AE190" s="850"/>
      <c r="AF190" s="1925">
        <v>11</v>
      </c>
    </row>
    <row s="14730" customFormat="1" customHeight="1" ht="11.549999999999999">
      <c r="A191" s="1271"/>
      <c r="B191" s="1920"/>
      <c r="C191" s="1920"/>
      <c r="D191" s="635"/>
      <c r="K191" s="1444"/>
      <c r="L191" s="1920"/>
      <c r="M191" s="1920"/>
      <c r="N191" s="1444"/>
      <c r="O191" s="1444"/>
      <c r="P191" s="1444"/>
      <c r="Q191" s="1444"/>
      <c r="R191" s="1920"/>
      <c r="S191" s="1444"/>
      <c r="T191" s="1444"/>
      <c r="U191" s="828"/>
      <c r="V191" s="1444"/>
      <c r="W191" s="1444"/>
      <c r="X191" s="1444"/>
      <c r="Y191" s="1444"/>
      <c r="Z191" s="1444"/>
      <c r="AA191" s="1916"/>
      <c r="AB191" s="850"/>
      <c r="AC191" s="850"/>
      <c r="AD191" s="850"/>
      <c r="AE191" s="850"/>
      <c r="AF191" s="1925">
        <v>11</v>
      </c>
    </row>
    <row s="14730" customFormat="1" customHeight="1" ht="11.549999999999999">
      <c r="A192" s="1271"/>
      <c r="B192" s="1920"/>
      <c r="C192" s="1920"/>
      <c r="D192" s="635"/>
      <c r="K192" s="1444"/>
      <c r="L192" s="1920"/>
      <c r="M192" s="1920"/>
      <c r="N192" s="1444"/>
      <c r="O192" s="1444"/>
      <c r="P192" s="1444"/>
      <c r="Q192" s="1444"/>
      <c r="R192" s="1920"/>
      <c r="S192" s="1444"/>
      <c r="T192" s="1444"/>
      <c r="U192" s="828"/>
      <c r="V192" s="1444"/>
      <c r="W192" s="1444"/>
      <c r="X192" s="1444"/>
      <c r="Y192" s="1444"/>
      <c r="Z192" s="1444"/>
      <c r="AA192" s="1916"/>
      <c r="AB192" s="850"/>
      <c r="AC192" s="850"/>
      <c r="AD192" s="850"/>
      <c r="AE192" s="850"/>
      <c r="AF192" s="1925">
        <v>11</v>
      </c>
    </row>
    <row s="14730" customFormat="1" customHeight="1" ht="11.549999999999999">
      <c r="A193" s="1271"/>
      <c r="B193" s="1920"/>
      <c r="C193" s="1920"/>
      <c r="D193" s="635"/>
      <c r="K193" s="1444"/>
      <c r="L193" s="1920"/>
      <c r="M193" s="1920"/>
      <c r="N193" s="1444"/>
      <c r="O193" s="1444"/>
      <c r="P193" s="1444"/>
      <c r="Q193" s="1444"/>
      <c r="R193" s="1920"/>
      <c r="S193" s="1444"/>
      <c r="T193" s="1444"/>
      <c r="U193" s="828"/>
      <c r="V193" s="1444"/>
      <c r="W193" s="1444"/>
      <c r="X193" s="1444"/>
      <c r="Y193" s="1444"/>
      <c r="Z193" s="1444"/>
      <c r="AA193" s="1916"/>
      <c r="AB193" s="850"/>
      <c r="AC193" s="850"/>
      <c r="AD193" s="850"/>
      <c r="AE193" s="850"/>
      <c r="AF193" s="1925">
        <v>11</v>
      </c>
    </row>
    <row s="14730" customFormat="1" customHeight="1" ht="11.549999999999999">
      <c r="A194" s="1271"/>
      <c r="B194" s="1920"/>
      <c r="C194" s="1920"/>
      <c r="D194" s="635"/>
      <c r="K194" s="1444"/>
      <c r="L194" s="1920"/>
      <c r="M194" s="1920"/>
      <c r="N194" s="1444"/>
      <c r="O194" s="1444"/>
      <c r="P194" s="1444"/>
      <c r="Q194" s="1444"/>
      <c r="R194" s="1920"/>
      <c r="S194" s="1444"/>
      <c r="T194" s="1444"/>
      <c r="U194" s="828"/>
      <c r="V194" s="1444"/>
      <c r="W194" s="1444"/>
      <c r="X194" s="1444"/>
      <c r="Y194" s="1444"/>
      <c r="Z194" s="1444"/>
      <c r="AA194" s="1916"/>
      <c r="AB194" s="850"/>
      <c r="AC194" s="850"/>
      <c r="AD194" s="850"/>
      <c r="AE194" s="850"/>
      <c r="AF194" s="1925">
        <v>11</v>
      </c>
    </row>
    <row s="14730" customFormat="1" customHeight="1" ht="11.549999999999999">
      <c r="A195" s="1271"/>
      <c r="B195" s="1920"/>
      <c r="C195" s="1920"/>
      <c r="D195" s="635"/>
      <c r="K195" s="1444"/>
      <c r="L195" s="1920"/>
      <c r="M195" s="1920"/>
      <c r="N195" s="1444"/>
      <c r="O195" s="1444"/>
      <c r="P195" s="1444"/>
      <c r="Q195" s="1444"/>
      <c r="R195" s="1920"/>
      <c r="S195" s="1444"/>
      <c r="T195" s="1444"/>
      <c r="U195" s="828"/>
      <c r="V195" s="1444"/>
      <c r="W195" s="1444"/>
      <c r="X195" s="1444"/>
      <c r="Y195" s="1444"/>
      <c r="Z195" s="1444"/>
      <c r="AA195" s="1916"/>
      <c r="AB195" s="850"/>
      <c r="AC195" s="850"/>
      <c r="AD195" s="850"/>
      <c r="AE195" s="850"/>
      <c r="AF195" s="1925">
        <v>11</v>
      </c>
    </row>
    <row customHeight="1" ht="11.549999999999999">
      <c r="AF196" s="1915">
        <v>11</v>
      </c>
    </row>
    <row customHeight="1" ht="11.549999999999999">
      <c r="AF197" s="1915">
        <v>11</v>
      </c>
    </row>
    <row customHeight="1" ht="11.549999999999999">
      <c r="AF198" s="1915">
        <v>11</v>
      </c>
    </row>
    <row customHeight="1" ht="11.549999999999999">
      <c r="A199" s="1274"/>
      <c r="B199" s="1915"/>
      <c r="D199" s="1915"/>
      <c r="K199" s="1915"/>
      <c r="N199" s="1915"/>
      <c r="O199" s="1915"/>
      <c r="P199" s="1915"/>
      <c r="Q199" s="1915"/>
      <c r="S199" s="1915"/>
      <c r="T199" s="1915"/>
      <c r="U199" s="1915"/>
      <c r="V199" s="1915"/>
      <c r="W199" s="1915"/>
      <c r="X199" s="1915"/>
      <c r="Y199" s="1915"/>
      <c r="Z199" s="1915"/>
      <c r="AA199" s="1915"/>
      <c r="AB199" s="1915"/>
      <c r="AC199" s="1915"/>
      <c r="AD199" s="1915"/>
      <c r="AE199" s="1915"/>
      <c r="AF199" s="1915">
        <v>11</v>
      </c>
    </row>
    <row customHeight="1" ht="11.549999999999999">
      <c r="A200" s="1274"/>
      <c r="B200" s="1915"/>
      <c r="D200" s="1915"/>
      <c r="K200" s="1915"/>
      <c r="N200" s="1915"/>
      <c r="O200" s="1915"/>
      <c r="P200" s="1915"/>
      <c r="Q200" s="1915"/>
      <c r="S200" s="1915"/>
      <c r="T200" s="1915"/>
      <c r="U200" s="1915"/>
      <c r="V200" s="1915"/>
      <c r="W200" s="1915"/>
      <c r="X200" s="1915"/>
      <c r="Y200" s="1915"/>
      <c r="Z200" s="1915"/>
      <c r="AA200" s="1915"/>
      <c r="AB200" s="1915"/>
      <c r="AC200" s="1915"/>
      <c r="AD200" s="1915"/>
      <c r="AE200" s="1915"/>
      <c r="AF200" s="1915">
        <v>11</v>
      </c>
    </row>
    <row customHeight="1" ht="11.549999999999999">
      <c r="A201" s="1274"/>
      <c r="B201" s="1915"/>
      <c r="D201" s="1915"/>
      <c r="K201" s="1915"/>
      <c r="N201" s="1915"/>
      <c r="O201" s="1915"/>
      <c r="P201" s="1915"/>
      <c r="Q201" s="1915"/>
      <c r="S201" s="1915"/>
      <c r="T201" s="1915"/>
      <c r="U201" s="1915"/>
      <c r="V201" s="1915"/>
      <c r="W201" s="1915"/>
      <c r="X201" s="1915"/>
      <c r="Y201" s="1915"/>
      <c r="Z201" s="1915"/>
      <c r="AA201" s="1915"/>
      <c r="AB201" s="1915"/>
      <c r="AC201" s="1915"/>
      <c r="AD201" s="1915"/>
      <c r="AE201" s="1915"/>
      <c r="AF201" s="1915">
        <v>11</v>
      </c>
    </row>
    <row customHeight="1" ht="11.549999999999999">
      <c r="A202" s="1274"/>
      <c r="B202" s="1915"/>
      <c r="D202" s="1915"/>
      <c r="K202" s="1915"/>
      <c r="N202" s="1915"/>
      <c r="O202" s="1915"/>
      <c r="P202" s="1915"/>
      <c r="Q202" s="1915"/>
      <c r="S202" s="1915"/>
      <c r="T202" s="1915"/>
      <c r="U202" s="1915"/>
      <c r="V202" s="1915"/>
      <c r="W202" s="1915"/>
      <c r="X202" s="1915"/>
      <c r="Y202" s="1915"/>
      <c r="Z202" s="1915"/>
      <c r="AA202" s="1915"/>
      <c r="AB202" s="1915"/>
      <c r="AC202" s="1915"/>
      <c r="AD202" s="1915"/>
      <c r="AE202" s="1915"/>
      <c r="AF202" s="1915">
        <v>11</v>
      </c>
    </row>
    <row customHeight="1" ht="11.549999999999999">
      <c r="A203" s="1274"/>
      <c r="B203" s="1915"/>
      <c r="D203" s="1915"/>
      <c r="K203" s="1915"/>
      <c r="N203" s="1915"/>
      <c r="O203" s="1915"/>
      <c r="P203" s="1915"/>
      <c r="Q203" s="1915"/>
      <c r="S203" s="1915"/>
      <c r="T203" s="1915"/>
      <c r="U203" s="1915"/>
      <c r="V203" s="1915"/>
      <c r="W203" s="1915"/>
      <c r="X203" s="1915"/>
      <c r="Y203" s="1915"/>
      <c r="Z203" s="1915"/>
      <c r="AA203" s="1915"/>
      <c r="AB203" s="1915"/>
      <c r="AC203" s="1915"/>
      <c r="AD203" s="1915"/>
      <c r="AE203" s="1915"/>
      <c r="AF203" s="1915">
        <v>11</v>
      </c>
    </row>
    <row customHeight="1" ht="11.549999999999999">
      <c r="A204" s="1274"/>
      <c r="B204" s="1915"/>
      <c r="D204" s="1915"/>
      <c r="K204" s="1915"/>
      <c r="N204" s="1915"/>
      <c r="O204" s="1915"/>
      <c r="P204" s="1915"/>
      <c r="Q204" s="1915"/>
      <c r="S204" s="1915"/>
      <c r="T204" s="1915"/>
      <c r="U204" s="1915"/>
      <c r="V204" s="1915"/>
      <c r="W204" s="1915"/>
      <c r="X204" s="1915"/>
      <c r="Y204" s="1915"/>
      <c r="Z204" s="1915"/>
      <c r="AA204" s="1915"/>
      <c r="AB204" s="1915"/>
      <c r="AC204" s="1915"/>
      <c r="AD204" s="1915"/>
      <c r="AE204" s="1915"/>
      <c r="AF204" s="1915">
        <v>11</v>
      </c>
    </row>
    <row customHeight="1" ht="11.549999999999999">
      <c r="A205" s="1274"/>
      <c r="B205" s="1915"/>
      <c r="D205" s="1915"/>
      <c r="K205" s="1915"/>
      <c r="N205" s="1915"/>
      <c r="O205" s="1915"/>
      <c r="P205" s="1915"/>
      <c r="Q205" s="1915"/>
      <c r="S205" s="1915"/>
      <c r="T205" s="1915"/>
      <c r="U205" s="1915"/>
      <c r="V205" s="1915"/>
      <c r="W205" s="1915"/>
      <c r="X205" s="1915"/>
      <c r="Y205" s="1915"/>
      <c r="Z205" s="1915"/>
      <c r="AA205" s="1915"/>
      <c r="AB205" s="1915"/>
      <c r="AC205" s="1915"/>
      <c r="AD205" s="1915"/>
      <c r="AE205" s="1915"/>
      <c r="AF205" s="1915">
        <v>11</v>
      </c>
    </row>
    <row customHeight="1" ht="11.549999999999999">
      <c r="A206" s="1274"/>
      <c r="B206" s="1915"/>
      <c r="D206" s="1915"/>
      <c r="K206" s="1915"/>
      <c r="N206" s="1915"/>
      <c r="O206" s="1915"/>
      <c r="P206" s="1915"/>
      <c r="Q206" s="1915"/>
      <c r="S206" s="1915"/>
      <c r="T206" s="1915"/>
      <c r="U206" s="1915"/>
      <c r="V206" s="1915"/>
      <c r="W206" s="1915"/>
      <c r="X206" s="1915"/>
      <c r="Y206" s="1915"/>
      <c r="Z206" s="1915"/>
      <c r="AA206" s="1915"/>
      <c r="AB206" s="1915"/>
      <c r="AC206" s="1915"/>
      <c r="AD206" s="1915"/>
      <c r="AE206" s="1915"/>
      <c r="AF206" s="1915">
        <v>11</v>
      </c>
    </row>
    <row customHeight="1" ht="11.549999999999999">
      <c r="A207" s="1274"/>
      <c r="B207" s="1915"/>
      <c r="D207" s="1915"/>
      <c r="K207" s="1915"/>
      <c r="N207" s="1915"/>
      <c r="O207" s="1915"/>
      <c r="P207" s="1915"/>
      <c r="Q207" s="1915"/>
      <c r="S207" s="1915"/>
      <c r="T207" s="1915"/>
      <c r="U207" s="1915"/>
      <c r="V207" s="1915"/>
      <c r="W207" s="1915"/>
      <c r="X207" s="1915"/>
      <c r="Y207" s="1915"/>
      <c r="Z207" s="1915"/>
      <c r="AA207" s="1915"/>
      <c r="AB207" s="1915"/>
      <c r="AC207" s="1915"/>
      <c r="AD207" s="1915"/>
      <c r="AE207" s="1915"/>
      <c r="AF207" s="1915">
        <v>11</v>
      </c>
    </row>
    <row customHeight="1" ht="11.549999999999999">
      <c r="A208" s="1274"/>
      <c r="B208" s="1915"/>
      <c r="D208" s="1915"/>
      <c r="K208" s="1915"/>
      <c r="N208" s="1915"/>
      <c r="O208" s="1915"/>
      <c r="P208" s="1915"/>
      <c r="Q208" s="1915"/>
      <c r="S208" s="1915"/>
      <c r="T208" s="1915"/>
      <c r="U208" s="1915"/>
      <c r="V208" s="1915"/>
      <c r="W208" s="1915"/>
      <c r="X208" s="1915"/>
      <c r="Y208" s="1915"/>
      <c r="Z208" s="1915"/>
      <c r="AA208" s="1915"/>
      <c r="AB208" s="1915"/>
      <c r="AC208" s="1915"/>
      <c r="AD208" s="1915"/>
      <c r="AE208" s="1915"/>
      <c r="AF208" s="1915">
        <v>11</v>
      </c>
    </row>
    <row customHeight="1" ht="11.549999999999999">
      <c r="A209" s="1274"/>
      <c r="B209" s="1915"/>
      <c r="D209" s="1915"/>
      <c r="K209" s="1915"/>
      <c r="N209" s="1915"/>
      <c r="O209" s="1915"/>
      <c r="P209" s="1915"/>
      <c r="Q209" s="1915"/>
      <c r="S209" s="1915"/>
      <c r="T209" s="1915"/>
      <c r="U209" s="1915"/>
      <c r="V209" s="1915"/>
      <c r="W209" s="1915"/>
      <c r="X209" s="1915"/>
      <c r="Y209" s="1915"/>
      <c r="Z209" s="1915"/>
      <c r="AA209" s="1915"/>
      <c r="AB209" s="1915"/>
      <c r="AC209" s="1915"/>
      <c r="AD209" s="1915"/>
      <c r="AE209" s="1915"/>
      <c r="AF209" s="1915">
        <v>11</v>
      </c>
    </row>
    <row customHeight="1" ht="11.25" hidden="1">
      <c r="A210" s="1271" t="s">
        <v>83</v>
      </c>
      <c r="B210" s="1444">
        <v>0</v>
      </c>
      <c r="C210" s="1920">
        <v>0</v>
      </c>
      <c r="D210" s="1919">
        <v>3</v>
      </c>
      <c r="E210" s="1915">
        <v>7</v>
      </c>
      <c r="F210" s="1915">
        <v>54</v>
      </c>
      <c r="G210" s="1915">
        <v>10</v>
      </c>
      <c r="H210" s="1915">
        <v>0</v>
      </c>
      <c r="I210" s="1915">
        <v>40</v>
      </c>
      <c r="J210" s="1915">
        <v>102</v>
      </c>
      <c r="K210" s="1444">
        <v>9</v>
      </c>
      <c r="L210" s="1920">
        <v>5</v>
      </c>
      <c r="M210" s="1920">
        <v>3</v>
      </c>
      <c r="N210" s="1444">
        <v>3</v>
      </c>
      <c r="O210" s="1444">
        <v>3</v>
      </c>
      <c r="P210" s="1444">
        <v>3</v>
      </c>
      <c r="Q210" s="1444">
        <v>3</v>
      </c>
      <c r="R210" s="1920">
        <v>10</v>
      </c>
      <c r="S210" s="1444">
        <v>34</v>
      </c>
      <c r="T210" s="1444">
        <v>9</v>
      </c>
      <c r="U210" s="828">
        <v>8</v>
      </c>
      <c r="V210" s="1444">
        <v>8</v>
      </c>
      <c r="W210" s="1444">
        <v>8</v>
      </c>
      <c r="X210" s="1444">
        <v>8</v>
      </c>
      <c r="Y210" s="1444">
        <v>8</v>
      </c>
      <c r="Z210" s="1444">
        <v>8</v>
      </c>
      <c r="AA210" s="1916">
        <v>8</v>
      </c>
      <c r="AB210" s="1916">
        <v>8</v>
      </c>
      <c r="AC210" s="1916">
        <v>8</v>
      </c>
      <c r="AD210" s="1916">
        <v>8</v>
      </c>
      <c r="AE210" s="1916">
        <v>8</v>
      </c>
      <c r="AF210" s="1915">
        <v>11</v>
      </c>
    </row>
  </sheetData>
  <sheetProtection formatColumns="0" formatRows="0" autoFilter="0" sort="0" insertRows="0" insertColumns="1" deleteRows="0" deleteColumns="0"/>
  <mergeCells count="9">
    <mergeCell ref="F40:G40"/>
    <mergeCell ref="E6:I6"/>
    <mergeCell ref="E7:I7"/>
    <mergeCell ref="F10:G10"/>
    <mergeCell ref="J10:J14"/>
    <mergeCell ref="F11:G11"/>
    <mergeCell ref="F12:G12"/>
    <mergeCell ref="E13:G13"/>
    <mergeCell ref="F39:G39"/>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I28">
      <formula1>900</formula1>
    </dataValidation>
    <dataValidation type="decimal" allowBlank="1" showErrorMessage="1" errorTitle="Ошибка" error="Допускается ввод только неотрицательных чисел!" sqref="H31:I31 H2:I2 H15:I15 H17:I27 H36:I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5:I35">
      <formula1>900</formula1>
    </dataValidation>
    <dataValidation type="decimal" allowBlank="1" showErrorMessage="1" errorTitle="Ошибка" error="Допускается ввод только действительных чисел!" sqref="H30:I30">
      <formula1>-9.99999999999999E+23</formula1>
      <formula2>9.99999999999999E+23</formula2>
    </dataValidation>
    <dataValidation type="decimal" allowBlank="1" showErrorMessage="1" errorTitle="Ошибка" error="Допускается ввод только действительных чисел!" sqref="H32:I34">
      <formula1>-9.99999999999999E+37</formula1>
      <formula2>9.99999999999999E+37</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3F83D18-7138-BD38-4988-CF535EBE86A7}" mc:Ignorable="x14ac xr xr2 xr3">
  <sheetPr>
    <tabColor theme="9" tint="-0.25"/>
  </sheetPr>
  <dimension ref="A1:X102"/>
  <sheetViews>
    <sheetView topLeftCell="A1" showGridLines="0" zoomScale="90" workbookViewId="0">
      <selection activeCell="A1" sqref="A1"/>
    </sheetView>
  </sheetViews>
  <sheetFormatPr defaultColWidth="10.57421875" customHeight="1" defaultRowHeight="11.25"/>
  <cols>
    <col min="1" max="1" style="15728" width="9.140625" hidden="1" customWidth="1"/>
    <col min="2" max="2" style="14158" width="3.57421875" hidden="1" customWidth="1"/>
    <col min="3" max="3" style="14077" width="3.00390625" customWidth="1"/>
    <col min="4" max="4" style="14077" width="7.00390625" customWidth="1"/>
    <col min="5" max="5" style="14077" width="69.00390625" customWidth="1"/>
    <col min="6" max="6" style="14077" width="10.00390625" customWidth="1"/>
    <col min="7" max="8" style="14077" width="44.00390625" hidden="1" customWidth="1"/>
    <col min="9" max="9" style="14077" width="44.00390625" customWidth="1"/>
    <col min="10" max="10" style="14077" width="43.00390625" customWidth="1"/>
    <col min="11" max="11" style="14077" width="73.00390625" customWidth="1"/>
    <col min="12" max="12" style="14077" width="3.00390625" customWidth="1"/>
    <col min="13" max="23" style="14077" width="10.00390625" customWidth="1"/>
    <col min="24" max="24" style="14077" width="10.57421875" hidden="1"/>
  </cols>
  <sheetData>
    <row s="14157" customFormat="1" customHeight="1" ht="22.5" hidden="1">
      <c r="A1" s="820"/>
      <c r="B1" s="795"/>
      <c r="G1" s="701">
        <v>4</v>
      </c>
      <c r="I1" s="701">
        <v>4</v>
      </c>
      <c r="K1" s="701">
        <v>5</v>
      </c>
      <c r="X1" s="701" t="s">
        <v>14</v>
      </c>
    </row>
    <row customHeight="1" ht="3">
      <c r="X2" s="789">
        <v>3</v>
      </c>
    </row>
    <row customHeight="1" ht="78.75">
      <c r="D3" s="2522"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3" s="2523"/>
      <c r="F3" s="2524"/>
      <c r="X3" s="789">
        <v>75</v>
      </c>
    </row>
    <row s="14077" customFormat="1" customHeight="1" ht="21">
      <c r="A4" s="1235"/>
      <c r="B4" s="795"/>
      <c r="D4" s="2498" t="str">
        <f>IF(org=0,"Не определено",org)</f>
        <v>МУП г. Азова "Теплоэнерго"</v>
      </c>
      <c r="E4" s="2499"/>
      <c r="F4" s="2500"/>
      <c r="X4" s="1042">
        <v>20</v>
      </c>
    </row>
    <row customHeight="1" ht="11.549999999999999">
      <c r="C5" s="793"/>
      <c r="D5" s="872"/>
      <c r="E5" s="872"/>
      <c r="F5" s="872"/>
      <c r="G5" s="872"/>
      <c r="H5" s="1036"/>
      <c r="I5" s="872"/>
      <c r="J5" s="1036"/>
      <c r="K5" s="872"/>
      <c r="X5" s="789">
        <v>11</v>
      </c>
    </row>
    <row customHeight="1" ht="1.05">
      <c r="C6" s="793"/>
      <c r="D6" s="793"/>
      <c r="E6" s="806"/>
      <c r="F6" s="898"/>
      <c r="G6" s="1306"/>
      <c r="H6" s="1306"/>
      <c r="I6" s="1306" t="s">
        <v>118</v>
      </c>
      <c r="J6" s="1306"/>
      <c r="X6" s="789">
        <v>1</v>
      </c>
    </row>
    <row customHeight="1" ht="11.549999999999999">
      <c r="D7" s="995"/>
      <c r="E7" s="2651" t="s">
        <v>106</v>
      </c>
      <c r="F7" s="2652"/>
      <c r="G7" s="2677" t="str">
        <f>IF(G6="","",INDEX(DIFFERENTIATION_UNMERGE_VD,MATCH(G6,DIFFERENTIATION_ID_DIFF,0)))</f>
        <v/>
      </c>
      <c r="H7" s="2678"/>
      <c r="I7" s="2677">
        <f>IF(I6="","",INDEX(DIFFERENTIATION_UNMERGE_VD,MATCH(I6,DIFFERENTIATION_ID_DIFF,0)))</f>
        <v>0</v>
      </c>
      <c r="J7" s="2678"/>
      <c r="K7" s="2459"/>
      <c r="L7" s="793"/>
      <c r="X7" s="789">
        <v>11</v>
      </c>
    </row>
    <row customHeight="1" ht="11.549999999999999">
      <c r="A8" s="988"/>
      <c r="D8" s="995"/>
      <c r="E8" s="2651" t="s">
        <v>572</v>
      </c>
      <c r="F8" s="2652"/>
      <c r="G8" s="2677" t="str">
        <f>IF(G6="","",INDEX(DIFFERENTIATION_UNMERGE_AREA,MATCH(G6,DIFFERENTIATION_ID_DIFF,0)))</f>
        <v/>
      </c>
      <c r="H8" s="2678"/>
      <c r="I8" s="2677" t="str">
        <f>IF(I6="","",INDEX(DIFFERENTIATION_UNMERGE_AREA,MATCH(I6,DIFFERENTIATION_ID_DIFF,0)))</f>
        <v/>
      </c>
      <c r="J8" s="2678"/>
      <c r="K8" s="2483"/>
      <c r="L8" s="793"/>
      <c r="X8" s="789">
        <v>11</v>
      </c>
    </row>
    <row customHeight="1" ht="11.549999999999999">
      <c r="A9" s="988"/>
      <c r="D9" s="995"/>
      <c r="E9" s="2651" t="s">
        <v>573</v>
      </c>
      <c r="F9" s="2652"/>
      <c r="G9" s="2677" t="str">
        <f>IF(G6="","",INDEX(DIFFERENTIATION_UNMERGE_SYSTEM,MATCH(G6,DIFFERENTIATION_ID_DIFF,0)))</f>
        <v/>
      </c>
      <c r="H9" s="2678"/>
      <c r="I9" s="2677" t="str">
        <f>IF(I6="","",INDEX(DIFFERENTIATION_UNMERGE_SYSTEM,MATCH(I6,DIFFERENTIATION_ID_DIFF,0)))</f>
        <v>без дифференциации</v>
      </c>
      <c r="J9" s="2678"/>
      <c r="K9" s="2483"/>
      <c r="L9" s="793"/>
      <c r="X9" s="789">
        <v>11</v>
      </c>
    </row>
    <row s="14077" customFormat="1" customHeight="1" ht="11.549999999999999">
      <c r="A10" s="1305"/>
      <c r="B10" s="795"/>
      <c r="D10" s="2385" t="s">
        <v>305</v>
      </c>
      <c r="E10" s="2386"/>
      <c r="F10" s="2386"/>
      <c r="G10" s="2386"/>
      <c r="H10" s="2386"/>
      <c r="I10" s="2386"/>
      <c r="J10" s="2387"/>
      <c r="K10" s="2483"/>
      <c r="L10" s="793"/>
      <c r="X10" s="1042">
        <v>11</v>
      </c>
    </row>
    <row s="14077" customFormat="1" customHeight="1" ht="24">
      <c r="A11" s="2669"/>
      <c r="B11" s="2669"/>
      <c r="C11" s="941"/>
      <c r="D11" s="987" t="s">
        <v>89</v>
      </c>
      <c r="E11" s="989" t="s">
        <v>814</v>
      </c>
      <c r="F11" s="989" t="s">
        <v>574</v>
      </c>
      <c r="G11" s="749" t="s">
        <v>308</v>
      </c>
      <c r="H11" s="749" t="s">
        <v>395</v>
      </c>
      <c r="I11" s="1091" t="s">
        <v>308</v>
      </c>
      <c r="J11" s="1092" t="s">
        <v>395</v>
      </c>
      <c r="K11" s="2516"/>
      <c r="L11" s="942"/>
      <c r="X11" s="793">
        <v>23</v>
      </c>
    </row>
    <row s="14158" customFormat="1" customHeight="1" ht="10.5">
      <c r="A12" s="1236"/>
      <c r="D12" s="1309" t="s">
        <v>110</v>
      </c>
      <c r="E12" s="1309" t="s">
        <v>111</v>
      </c>
      <c r="F12" s="1309" t="s">
        <v>91</v>
      </c>
      <c r="G12" s="1310" t="str">
        <f>G1&amp;".1"</f>
        <v>4.1</v>
      </c>
      <c r="H12" s="1310" t="str">
        <f>G1&amp;".2"</f>
        <v>4.2</v>
      </c>
      <c r="I12" s="1310" t="str">
        <f>I1&amp;".1"</f>
        <v>4.1</v>
      </c>
      <c r="J12" s="1310" t="str">
        <f>I1&amp;".2"</f>
        <v>4.2</v>
      </c>
      <c r="K12" s="1310"/>
      <c r="X12" s="795">
        <v>10</v>
      </c>
    </row>
    <row customHeight="1" ht="22.5">
      <c r="A13" s="2676" t="s">
        <v>815</v>
      </c>
      <c r="D13" s="1237" t="s">
        <v>110</v>
      </c>
      <c r="E13" s="563" t="s">
        <v>816</v>
      </c>
      <c r="F13" s="944" t="s">
        <v>817</v>
      </c>
      <c r="G13" s="841"/>
      <c r="H13" s="945"/>
      <c r="I13" s="841"/>
      <c r="J13" s="945"/>
      <c r="K13" s="573" t="s">
        <v>818</v>
      </c>
      <c r="L13" s="1004"/>
      <c r="X13" s="789">
        <v>0</v>
      </c>
    </row>
    <row customHeight="1" ht="22.5">
      <c r="A14" s="2676"/>
      <c r="D14" s="823" t="s">
        <v>111</v>
      </c>
      <c r="E14" s="563" t="s">
        <v>819</v>
      </c>
      <c r="F14" s="944" t="s">
        <v>820</v>
      </c>
      <c r="G14" s="841"/>
      <c r="H14" s="946"/>
      <c r="I14" s="841"/>
      <c r="J14" s="946"/>
      <c r="K14" s="573" t="s">
        <v>821</v>
      </c>
      <c r="L14" s="1004"/>
      <c r="X14" s="789">
        <v>0</v>
      </c>
    </row>
    <row s="14077" customFormat="1" customHeight="1" ht="78.75">
      <c r="A15" s="2676"/>
      <c r="B15" s="795"/>
      <c r="D15" s="1237" t="s">
        <v>91</v>
      </c>
      <c r="E15" s="991" t="s">
        <v>822</v>
      </c>
      <c r="F15" s="1234" t="s">
        <v>311</v>
      </c>
      <c r="G15" s="1234" t="s">
        <v>311</v>
      </c>
      <c r="H15" s="390"/>
      <c r="I15" s="1234" t="s">
        <v>311</v>
      </c>
      <c r="J15" s="390"/>
      <c r="K15" s="573" t="s">
        <v>823</v>
      </c>
      <c r="L15" s="1004"/>
      <c r="X15" s="1042">
        <v>0</v>
      </c>
    </row>
    <row s="14077" customFormat="1" customHeight="1" ht="22.5">
      <c r="A16" s="2676"/>
      <c r="B16" s="795"/>
      <c r="D16" s="1237" t="s">
        <v>329</v>
      </c>
      <c r="E16" s="1238" t="s">
        <v>824</v>
      </c>
      <c r="F16" s="1234" t="s">
        <v>825</v>
      </c>
      <c r="G16" s="1101"/>
      <c r="H16" s="390"/>
      <c r="I16" s="1101"/>
      <c r="J16" s="390"/>
      <c r="K16" s="573"/>
      <c r="L16" s="1004"/>
      <c r="X16" s="1042">
        <v>0</v>
      </c>
    </row>
    <row s="14077" customFormat="1" customHeight="1" ht="22.5">
      <c r="A17" s="2676"/>
      <c r="B17" s="795"/>
      <c r="D17" s="1237" t="s">
        <v>337</v>
      </c>
      <c r="E17" s="1238" t="s">
        <v>826</v>
      </c>
      <c r="F17" s="1234" t="s">
        <v>827</v>
      </c>
      <c r="G17" s="1101"/>
      <c r="H17" s="390"/>
      <c r="I17" s="1101"/>
      <c r="J17" s="390"/>
      <c r="K17" s="573"/>
      <c r="L17" s="1004"/>
      <c r="X17" s="1042">
        <v>0</v>
      </c>
    </row>
    <row s="14077" customFormat="1" customHeight="1" ht="33.75">
      <c r="A18" s="2676"/>
      <c r="B18" s="795"/>
      <c r="D18" s="1237" t="s">
        <v>339</v>
      </c>
      <c r="E18" s="1238" t="s">
        <v>828</v>
      </c>
      <c r="F18" s="1234" t="s">
        <v>579</v>
      </c>
      <c r="G18" s="964"/>
      <c r="H18" s="390"/>
      <c r="I18" s="964"/>
      <c r="J18" s="390"/>
      <c r="K18" s="573"/>
      <c r="L18" s="1004"/>
      <c r="X18" s="1042">
        <v>0</v>
      </c>
    </row>
    <row customHeight="1" ht="101.25">
      <c r="A19" s="2676"/>
      <c r="D19" s="1237" t="s">
        <v>92</v>
      </c>
      <c r="E19" s="563" t="s">
        <v>829</v>
      </c>
      <c r="F19" s="944" t="s">
        <v>554</v>
      </c>
      <c r="G19" s="947"/>
      <c r="H19" s="946"/>
      <c r="I19" s="1239"/>
      <c r="J19" s="946"/>
      <c r="K19" s="573" t="s">
        <v>830</v>
      </c>
      <c r="L19" s="1004"/>
      <c r="X19" s="789">
        <v>0</v>
      </c>
    </row>
    <row s="14077" customFormat="1" customHeight="1" ht="18.75">
      <c r="A20" s="2676"/>
      <c r="C20" s="1240"/>
      <c r="D20" s="1237" t="s">
        <v>761</v>
      </c>
      <c r="E20" s="1238" t="s">
        <v>831</v>
      </c>
      <c r="F20" s="1234" t="s">
        <v>311</v>
      </c>
      <c r="G20" s="1234" t="s">
        <v>311</v>
      </c>
      <c r="H20" s="1233" t="s">
        <v>311</v>
      </c>
      <c r="I20" s="1234" t="s">
        <v>311</v>
      </c>
      <c r="J20" s="1233" t="s">
        <v>311</v>
      </c>
      <c r="K20" s="1232"/>
      <c r="L20" s="1004"/>
      <c r="W20" s="959"/>
      <c r="X20" s="1042">
        <v>0</v>
      </c>
    </row>
    <row s="14077" customFormat="1" customHeight="1" ht="33.75">
      <c r="A21" s="2676"/>
      <c r="C21" s="1240"/>
      <c r="D21" s="1237" t="s">
        <v>764</v>
      </c>
      <c r="E21" s="860" t="s">
        <v>832</v>
      </c>
      <c r="F21" s="1234" t="s">
        <v>833</v>
      </c>
      <c r="G21" s="964"/>
      <c r="H21" s="390"/>
      <c r="I21" s="964"/>
      <c r="J21" s="390"/>
      <c r="K21" s="1232"/>
      <c r="L21" s="1004"/>
      <c r="W21" s="959"/>
      <c r="X21" s="1042">
        <v>0</v>
      </c>
    </row>
    <row s="14077" customFormat="1" customHeight="1" ht="33.75">
      <c r="A22" s="2676"/>
      <c r="C22" s="1240"/>
      <c r="D22" s="1237" t="s">
        <v>767</v>
      </c>
      <c r="E22" s="860" t="s">
        <v>834</v>
      </c>
      <c r="F22" s="1234" t="s">
        <v>835</v>
      </c>
      <c r="G22" s="964"/>
      <c r="H22" s="390"/>
      <c r="I22" s="964"/>
      <c r="J22" s="390"/>
      <c r="K22" s="1232"/>
      <c r="L22" s="1004"/>
      <c r="W22" s="959"/>
      <c r="X22" s="1042">
        <v>0</v>
      </c>
    </row>
    <row s="14077" customFormat="1" customHeight="1" ht="22.5">
      <c r="A23" s="2676"/>
      <c r="C23" s="1240"/>
      <c r="D23" s="1237" t="s">
        <v>803</v>
      </c>
      <c r="E23" s="1238" t="s">
        <v>836</v>
      </c>
      <c r="F23" s="1234" t="s">
        <v>311</v>
      </c>
      <c r="G23" s="1234" t="s">
        <v>311</v>
      </c>
      <c r="H23" s="1233" t="s">
        <v>311</v>
      </c>
      <c r="I23" s="1234" t="s">
        <v>311</v>
      </c>
      <c r="J23" s="1233" t="s">
        <v>311</v>
      </c>
      <c r="K23" s="1232"/>
      <c r="L23" s="1004"/>
      <c r="W23" s="959"/>
      <c r="X23" s="1042">
        <v>0</v>
      </c>
    </row>
    <row s="14077" customFormat="1" customHeight="1" ht="22.5">
      <c r="A24" s="2676"/>
      <c r="C24" s="1240"/>
      <c r="D24" s="1237" t="s">
        <v>837</v>
      </c>
      <c r="E24" s="860" t="s">
        <v>838</v>
      </c>
      <c r="F24" s="1234" t="s">
        <v>839</v>
      </c>
      <c r="G24" s="964"/>
      <c r="H24" s="970"/>
      <c r="I24" s="964"/>
      <c r="J24" s="970"/>
      <c r="K24" s="1232"/>
      <c r="L24" s="1004"/>
      <c r="W24" s="959"/>
      <c r="X24" s="1042">
        <v>0</v>
      </c>
    </row>
    <row s="14077" customFormat="1" customHeight="1" ht="22.5">
      <c r="A25" s="2676"/>
      <c r="C25" s="1240"/>
      <c r="D25" s="1237" t="s">
        <v>840</v>
      </c>
      <c r="E25" s="860" t="s">
        <v>841</v>
      </c>
      <c r="F25" s="1234" t="s">
        <v>311</v>
      </c>
      <c r="G25" s="1234" t="s">
        <v>311</v>
      </c>
      <c r="H25" s="1233" t="s">
        <v>311</v>
      </c>
      <c r="I25" s="1234" t="s">
        <v>311</v>
      </c>
      <c r="J25" s="1233" t="s">
        <v>311</v>
      </c>
      <c r="K25" s="1232"/>
      <c r="L25" s="1004"/>
      <c r="W25" s="959"/>
      <c r="X25" s="1042">
        <v>0</v>
      </c>
    </row>
    <row s="14077" customFormat="1" customHeight="1" ht="18.75">
      <c r="A26" s="2676"/>
      <c r="C26" s="1240"/>
      <c r="D26" s="1237" t="s">
        <v>842</v>
      </c>
      <c r="E26" s="837" t="s">
        <v>843</v>
      </c>
      <c r="F26" s="1234" t="s">
        <v>844</v>
      </c>
      <c r="G26" s="964"/>
      <c r="H26" s="970"/>
      <c r="I26" s="964"/>
      <c r="J26" s="970"/>
      <c r="K26" s="1232"/>
      <c r="L26" s="1004"/>
      <c r="W26" s="959"/>
      <c r="X26" s="1042">
        <v>0</v>
      </c>
    </row>
    <row s="14077" customFormat="1" customHeight="1" ht="18.75">
      <c r="A27" s="2676"/>
      <c r="C27" s="1240"/>
      <c r="D27" s="1237" t="s">
        <v>845</v>
      </c>
      <c r="E27" s="837" t="s">
        <v>846</v>
      </c>
      <c r="F27" s="1234" t="s">
        <v>847</v>
      </c>
      <c r="G27" s="964"/>
      <c r="H27" s="970"/>
      <c r="I27" s="964"/>
      <c r="J27" s="970"/>
      <c r="K27" s="1232"/>
      <c r="L27" s="1004"/>
      <c r="W27" s="959"/>
      <c r="X27" s="1042">
        <v>0</v>
      </c>
    </row>
    <row s="14077" customFormat="1" customHeight="1" ht="18.75">
      <c r="A28" s="2676"/>
      <c r="C28" s="1240"/>
      <c r="D28" s="1237" t="s">
        <v>848</v>
      </c>
      <c r="E28" s="860" t="s">
        <v>849</v>
      </c>
      <c r="F28" s="1234" t="s">
        <v>311</v>
      </c>
      <c r="G28" s="1234" t="s">
        <v>311</v>
      </c>
      <c r="H28" s="1233" t="s">
        <v>311</v>
      </c>
      <c r="I28" s="1234" t="s">
        <v>311</v>
      </c>
      <c r="J28" s="1233" t="s">
        <v>311</v>
      </c>
      <c r="K28" s="1232"/>
      <c r="L28" s="1004"/>
      <c r="W28" s="959"/>
      <c r="X28" s="1042">
        <v>0</v>
      </c>
    </row>
    <row s="14077" customFormat="1" customHeight="1" ht="18.75">
      <c r="A29" s="2676"/>
      <c r="C29" s="1240"/>
      <c r="D29" s="1237" t="s">
        <v>850</v>
      </c>
      <c r="E29" s="837" t="s">
        <v>843</v>
      </c>
      <c r="F29" s="1234" t="s">
        <v>851</v>
      </c>
      <c r="G29" s="964"/>
      <c r="H29" s="970"/>
      <c r="I29" s="964"/>
      <c r="J29" s="970"/>
      <c r="K29" s="1232"/>
      <c r="L29" s="1004"/>
      <c r="W29" s="959"/>
      <c r="X29" s="1042">
        <v>0</v>
      </c>
    </row>
    <row s="14077" customFormat="1" customHeight="1" ht="18.75">
      <c r="A30" s="2676"/>
      <c r="C30" s="1240"/>
      <c r="D30" s="1237" t="s">
        <v>852</v>
      </c>
      <c r="E30" s="837" t="s">
        <v>853</v>
      </c>
      <c r="F30" s="1234" t="s">
        <v>854</v>
      </c>
      <c r="G30" s="964"/>
      <c r="H30" s="970"/>
      <c r="I30" s="964"/>
      <c r="J30" s="970"/>
      <c r="K30" s="1232"/>
      <c r="L30" s="1004"/>
      <c r="W30" s="959"/>
      <c r="X30" s="1042">
        <v>0</v>
      </c>
    </row>
    <row customHeight="1" ht="126.75">
      <c r="A31" s="2676"/>
      <c r="D31" s="1237" t="s">
        <v>112</v>
      </c>
      <c r="E31" s="563" t="s">
        <v>855</v>
      </c>
      <c r="F31" s="944" t="s">
        <v>566</v>
      </c>
      <c r="G31" s="841"/>
      <c r="H31" s="946"/>
      <c r="I31" s="841"/>
      <c r="J31" s="946"/>
      <c r="K31" s="573" t="s">
        <v>856</v>
      </c>
      <c r="L31" s="1004"/>
      <c r="X31" s="789">
        <v>0</v>
      </c>
    </row>
    <row customHeight="1" ht="56.25">
      <c r="A32" s="2676"/>
      <c r="D32" s="1237" t="s">
        <v>93</v>
      </c>
      <c r="E32" s="563" t="s">
        <v>857</v>
      </c>
      <c r="F32" s="823" t="s">
        <v>827</v>
      </c>
      <c r="G32" s="841"/>
      <c r="H32" s="946"/>
      <c r="I32" s="841"/>
      <c r="J32" s="946"/>
      <c r="K32" s="573" t="s">
        <v>858</v>
      </c>
      <c r="L32" s="1004"/>
      <c r="X32" s="789">
        <v>0</v>
      </c>
    </row>
    <row customHeight="1" ht="11.25">
      <c r="A33" s="2676"/>
      <c r="E33" s="948"/>
      <c r="F33" s="465"/>
      <c r="G33" s="465"/>
      <c r="H33" s="465"/>
      <c r="I33" s="465"/>
      <c r="J33" s="465"/>
      <c r="K33" s="465"/>
      <c r="X33" s="789">
        <v>0</v>
      </c>
    </row>
    <row customHeight="1" ht="12.75">
      <c r="A34" s="2676"/>
      <c r="D34" s="349">
        <v>1</v>
      </c>
      <c r="E34" s="619" t="s">
        <v>859</v>
      </c>
      <c r="X34" s="789">
        <v>0</v>
      </c>
    </row>
    <row customHeight="1" ht="11.25">
      <c r="A35" s="2676"/>
      <c r="D35" s="653"/>
      <c r="E35" s="619" t="s">
        <v>860</v>
      </c>
      <c r="X35" s="789">
        <v>0</v>
      </c>
    </row>
    <row s="14077" customFormat="1" customHeight="1" ht="11.549999999999999">
      <c r="A36" s="1317"/>
      <c r="B36" s="802"/>
      <c r="D36" s="1318"/>
      <c r="E36" s="1319"/>
      <c r="X36" s="793">
        <v>11</v>
      </c>
    </row>
    <row s="14077" customFormat="1" customHeight="1" ht="22.5" hidden="1">
      <c r="A37" s="2676" t="s">
        <v>861</v>
      </c>
      <c r="B37" s="795"/>
      <c r="D37" s="1237">
        <v>1</v>
      </c>
      <c r="E37" s="991" t="s">
        <v>862</v>
      </c>
      <c r="F37" s="944" t="s">
        <v>817</v>
      </c>
      <c r="G37" s="841"/>
      <c r="H37" s="803"/>
      <c r="I37" s="841"/>
      <c r="J37" s="803"/>
      <c r="K37" s="573" t="s">
        <v>863</v>
      </c>
      <c r="X37" s="1042">
        <v>0</v>
      </c>
    </row>
    <row s="14077" customFormat="1" customHeight="1" ht="22.5" hidden="1">
      <c r="A38" s="2676"/>
      <c r="B38" s="795"/>
      <c r="D38" s="953" t="s">
        <v>111</v>
      </c>
      <c r="E38" s="1316" t="s">
        <v>864</v>
      </c>
      <c r="F38" s="1320" t="s">
        <v>554</v>
      </c>
      <c r="G38" s="1320" t="s">
        <v>554</v>
      </c>
      <c r="H38" s="1314"/>
      <c r="I38" s="1320" t="s">
        <v>554</v>
      </c>
      <c r="J38" s="1314"/>
      <c r="K38" s="1315"/>
      <c r="X38" s="1042">
        <v>0</v>
      </c>
    </row>
    <row s="14077" customFormat="1" customHeight="1" ht="33.75" hidden="1">
      <c r="A39" s="2676"/>
      <c r="B39" s="795"/>
      <c r="D39" s="949" t="s">
        <v>719</v>
      </c>
      <c r="E39" s="1007" t="s">
        <v>865</v>
      </c>
      <c r="F39" s="944" t="s">
        <v>866</v>
      </c>
      <c r="G39" s="952"/>
      <c r="H39" s="1307"/>
      <c r="I39" s="952"/>
      <c r="J39" s="1307"/>
      <c r="K39" s="573" t="s">
        <v>867</v>
      </c>
      <c r="X39" s="1042">
        <v>0</v>
      </c>
    </row>
    <row s="14077" customFormat="1" customHeight="1" ht="33.75" hidden="1">
      <c r="A40" s="2676"/>
      <c r="B40" s="795"/>
      <c r="D40" s="949" t="s">
        <v>722</v>
      </c>
      <c r="E40" s="1007" t="s">
        <v>868</v>
      </c>
      <c r="F40" s="1311" t="s">
        <v>869</v>
      </c>
      <c r="G40" s="1025"/>
      <c r="H40" s="1307"/>
      <c r="I40" s="1025"/>
      <c r="J40" s="1307"/>
      <c r="K40" s="573" t="s">
        <v>870</v>
      </c>
      <c r="X40" s="1042">
        <v>0</v>
      </c>
    </row>
    <row s="14077" customFormat="1" customHeight="1" ht="22.5" hidden="1">
      <c r="A41" s="2676"/>
      <c r="B41" s="795"/>
      <c r="D41" s="949" t="s">
        <v>91</v>
      </c>
      <c r="E41" s="1006" t="s">
        <v>871</v>
      </c>
      <c r="F41" s="944" t="s">
        <v>554</v>
      </c>
      <c r="G41" s="944" t="s">
        <v>554</v>
      </c>
      <c r="H41" s="1308"/>
      <c r="I41" s="944" t="s">
        <v>554</v>
      </c>
      <c r="J41" s="1308"/>
      <c r="K41" s="586"/>
      <c r="X41" s="1042">
        <v>0</v>
      </c>
    </row>
    <row s="14077" customFormat="1" customHeight="1" ht="45" hidden="1">
      <c r="A42" s="2676"/>
      <c r="B42" s="795"/>
      <c r="D42" s="949" t="s">
        <v>329</v>
      </c>
      <c r="E42" s="1007" t="s">
        <v>872</v>
      </c>
      <c r="F42" s="944" t="s">
        <v>566</v>
      </c>
      <c r="G42" s="841"/>
      <c r="H42" s="1308"/>
      <c r="I42" s="841"/>
      <c r="J42" s="1308"/>
      <c r="K42" s="586" t="s">
        <v>873</v>
      </c>
      <c r="X42" s="1042">
        <v>0</v>
      </c>
    </row>
    <row s="14077" customFormat="1" customHeight="1" ht="45" hidden="1">
      <c r="A43" s="2676"/>
      <c r="B43" s="795"/>
      <c r="D43" s="949" t="s">
        <v>337</v>
      </c>
      <c r="E43" s="951" t="s">
        <v>874</v>
      </c>
      <c r="F43" s="1312" t="s">
        <v>566</v>
      </c>
      <c r="G43" s="1026"/>
      <c r="H43" s="1307"/>
      <c r="I43" s="1026"/>
      <c r="J43" s="1307"/>
      <c r="K43" s="586" t="s">
        <v>875</v>
      </c>
      <c r="X43" s="1042">
        <v>0</v>
      </c>
    </row>
    <row s="14077" customFormat="1" customHeight="1" ht="11.25" hidden="1">
      <c r="A44" s="2676"/>
      <c r="B44" s="795"/>
      <c r="D44" s="949" t="s">
        <v>92</v>
      </c>
      <c r="E44" s="950" t="s">
        <v>876</v>
      </c>
      <c r="F44" s="944" t="s">
        <v>866</v>
      </c>
      <c r="G44" s="952"/>
      <c r="H44" s="1307"/>
      <c r="I44" s="952"/>
      <c r="J44" s="1307"/>
      <c r="K44" s="573"/>
      <c r="X44" s="1042">
        <v>0</v>
      </c>
    </row>
    <row s="14077" customFormat="1" customHeight="1" ht="11.25" hidden="1">
      <c r="A45" s="2676"/>
      <c r="B45" s="795"/>
      <c r="D45" s="949" t="s">
        <v>761</v>
      </c>
      <c r="E45" s="951" t="s">
        <v>877</v>
      </c>
      <c r="F45" s="944" t="s">
        <v>866</v>
      </c>
      <c r="G45" s="952"/>
      <c r="H45" s="1307"/>
      <c r="I45" s="952"/>
      <c r="J45" s="1307"/>
      <c r="K45" s="573"/>
      <c r="X45" s="1042">
        <v>0</v>
      </c>
    </row>
    <row s="14077" customFormat="1" customHeight="1" ht="11.25" hidden="1">
      <c r="A46" s="2676"/>
      <c r="B46" s="795"/>
      <c r="D46" s="949" t="s">
        <v>803</v>
      </c>
      <c r="E46" s="951" t="s">
        <v>878</v>
      </c>
      <c r="F46" s="944" t="s">
        <v>866</v>
      </c>
      <c r="G46" s="952"/>
      <c r="H46" s="1307"/>
      <c r="I46" s="952"/>
      <c r="J46" s="1307"/>
      <c r="K46" s="573"/>
      <c r="X46" s="1042">
        <v>0</v>
      </c>
    </row>
    <row s="14077" customFormat="1" customHeight="1" ht="11.25" hidden="1">
      <c r="A47" s="2676"/>
      <c r="B47" s="795"/>
      <c r="D47" s="949" t="s">
        <v>806</v>
      </c>
      <c r="E47" s="951" t="s">
        <v>879</v>
      </c>
      <c r="F47" s="944" t="s">
        <v>866</v>
      </c>
      <c r="G47" s="952"/>
      <c r="H47" s="1307"/>
      <c r="I47" s="952"/>
      <c r="J47" s="1307"/>
      <c r="K47" s="573"/>
      <c r="X47" s="1042">
        <v>0</v>
      </c>
    </row>
    <row s="14077" customFormat="1" customHeight="1" ht="11.25" hidden="1">
      <c r="A48" s="2676"/>
      <c r="B48" s="795"/>
      <c r="D48" s="949" t="s">
        <v>880</v>
      </c>
      <c r="E48" s="955" t="s">
        <v>881</v>
      </c>
      <c r="F48" s="944" t="s">
        <v>866</v>
      </c>
      <c r="G48" s="952"/>
      <c r="H48" s="1307"/>
      <c r="I48" s="952"/>
      <c r="J48" s="1307"/>
      <c r="K48" s="573"/>
      <c r="X48" s="1042">
        <v>0</v>
      </c>
    </row>
    <row s="14077" customFormat="1" customHeight="1" ht="11.25" hidden="1">
      <c r="A49" s="2676"/>
      <c r="B49" s="795"/>
      <c r="D49" s="949" t="s">
        <v>882</v>
      </c>
      <c r="E49" s="955" t="s">
        <v>883</v>
      </c>
      <c r="F49" s="944" t="s">
        <v>866</v>
      </c>
      <c r="G49" s="952"/>
      <c r="H49" s="1307"/>
      <c r="I49" s="952"/>
      <c r="J49" s="1307"/>
      <c r="K49" s="573"/>
      <c r="X49" s="1042">
        <v>0</v>
      </c>
    </row>
    <row s="14077" customFormat="1" customHeight="1" ht="11.25" hidden="1">
      <c r="A50" s="2676"/>
      <c r="B50" s="795"/>
      <c r="D50" s="949" t="s">
        <v>884</v>
      </c>
      <c r="E50" s="951" t="s">
        <v>885</v>
      </c>
      <c r="F50" s="944" t="s">
        <v>866</v>
      </c>
      <c r="G50" s="952"/>
      <c r="H50" s="1307"/>
      <c r="I50" s="952"/>
      <c r="J50" s="1307"/>
      <c r="K50" s="573"/>
      <c r="X50" s="1042">
        <v>0</v>
      </c>
    </row>
    <row s="14077" customFormat="1" customHeight="1" ht="11.25" hidden="1">
      <c r="A51" s="2676"/>
      <c r="B51" s="795"/>
      <c r="D51" s="949" t="s">
        <v>886</v>
      </c>
      <c r="E51" s="951" t="s">
        <v>887</v>
      </c>
      <c r="F51" s="944" t="s">
        <v>866</v>
      </c>
      <c r="G51" s="952"/>
      <c r="H51" s="1307"/>
      <c r="I51" s="952"/>
      <c r="J51" s="1307"/>
      <c r="K51" s="573"/>
      <c r="X51" s="1042">
        <v>0</v>
      </c>
    </row>
    <row s="14077" customFormat="1" customHeight="1" ht="45" hidden="1">
      <c r="A52" s="2676"/>
      <c r="B52" s="795"/>
      <c r="D52" s="949" t="s">
        <v>112</v>
      </c>
      <c r="E52" s="950" t="s">
        <v>888</v>
      </c>
      <c r="F52" s="944" t="s">
        <v>866</v>
      </c>
      <c r="G52" s="952"/>
      <c r="H52" s="1307"/>
      <c r="I52" s="952"/>
      <c r="J52" s="1307"/>
      <c r="K52" s="573"/>
      <c r="X52" s="1042">
        <v>0</v>
      </c>
    </row>
    <row s="14077" customFormat="1" customHeight="1" ht="11.25" hidden="1">
      <c r="A53" s="2676"/>
      <c r="B53" s="795"/>
      <c r="D53" s="949" t="s">
        <v>318</v>
      </c>
      <c r="E53" s="951" t="s">
        <v>877</v>
      </c>
      <c r="F53" s="944" t="s">
        <v>866</v>
      </c>
      <c r="G53" s="952"/>
      <c r="H53" s="1307"/>
      <c r="I53" s="952"/>
      <c r="J53" s="1307"/>
      <c r="K53" s="573"/>
      <c r="X53" s="1042">
        <v>0</v>
      </c>
    </row>
    <row s="14077" customFormat="1" customHeight="1" ht="11.25" hidden="1">
      <c r="A54" s="2676"/>
      <c r="B54" s="795"/>
      <c r="D54" s="949" t="s">
        <v>889</v>
      </c>
      <c r="E54" s="951" t="s">
        <v>878</v>
      </c>
      <c r="F54" s="944" t="s">
        <v>866</v>
      </c>
      <c r="G54" s="952"/>
      <c r="H54" s="1307"/>
      <c r="I54" s="952"/>
      <c r="J54" s="1307"/>
      <c r="K54" s="573"/>
      <c r="X54" s="1042">
        <v>0</v>
      </c>
    </row>
    <row s="14077" customFormat="1" customHeight="1" ht="11.25" hidden="1">
      <c r="A55" s="2676"/>
      <c r="B55" s="795"/>
      <c r="D55" s="949" t="s">
        <v>890</v>
      </c>
      <c r="E55" s="951" t="s">
        <v>879</v>
      </c>
      <c r="F55" s="944" t="s">
        <v>866</v>
      </c>
      <c r="G55" s="952"/>
      <c r="H55" s="1307"/>
      <c r="I55" s="952"/>
      <c r="J55" s="1307"/>
      <c r="K55" s="573"/>
      <c r="X55" s="1042">
        <v>0</v>
      </c>
    </row>
    <row s="14077" customFormat="1" customHeight="1" ht="11.25" hidden="1">
      <c r="A56" s="2676"/>
      <c r="B56" s="795"/>
      <c r="D56" s="949" t="s">
        <v>891</v>
      </c>
      <c r="E56" s="955" t="s">
        <v>881</v>
      </c>
      <c r="F56" s="944" t="s">
        <v>866</v>
      </c>
      <c r="G56" s="952"/>
      <c r="H56" s="1307"/>
      <c r="I56" s="952"/>
      <c r="J56" s="1307"/>
      <c r="K56" s="573"/>
      <c r="X56" s="1042">
        <v>0</v>
      </c>
    </row>
    <row s="14077" customFormat="1" customHeight="1" ht="11.25" hidden="1">
      <c r="A57" s="2676"/>
      <c r="B57" s="795"/>
      <c r="D57" s="949" t="s">
        <v>892</v>
      </c>
      <c r="E57" s="955" t="s">
        <v>883</v>
      </c>
      <c r="F57" s="944" t="s">
        <v>866</v>
      </c>
      <c r="G57" s="952"/>
      <c r="H57" s="1307"/>
      <c r="I57" s="952"/>
      <c r="J57" s="1307"/>
      <c r="K57" s="573"/>
      <c r="X57" s="1042">
        <v>0</v>
      </c>
    </row>
    <row s="14077" customFormat="1" customHeight="1" ht="11.25" hidden="1">
      <c r="A58" s="2676"/>
      <c r="B58" s="795"/>
      <c r="D58" s="949" t="s">
        <v>893</v>
      </c>
      <c r="E58" s="951" t="s">
        <v>885</v>
      </c>
      <c r="F58" s="944" t="s">
        <v>866</v>
      </c>
      <c r="G58" s="952"/>
      <c r="H58" s="1307"/>
      <c r="I58" s="952"/>
      <c r="J58" s="1307"/>
      <c r="K58" s="573"/>
      <c r="X58" s="1042">
        <v>0</v>
      </c>
    </row>
    <row s="14077" customFormat="1" customHeight="1" ht="11.25" hidden="1">
      <c r="A59" s="2676"/>
      <c r="B59" s="795"/>
      <c r="D59" s="949" t="s">
        <v>894</v>
      </c>
      <c r="E59" s="951" t="s">
        <v>887</v>
      </c>
      <c r="F59" s="944" t="s">
        <v>866</v>
      </c>
      <c r="G59" s="952"/>
      <c r="H59" s="1307"/>
      <c r="I59" s="952"/>
      <c r="J59" s="1307"/>
      <c r="K59" s="573"/>
      <c r="X59" s="1042">
        <v>0</v>
      </c>
    </row>
    <row s="14077" customFormat="1" customHeight="1" ht="33.75" hidden="1">
      <c r="A60" s="2676"/>
      <c r="B60" s="795"/>
      <c r="D60" s="949" t="s">
        <v>93</v>
      </c>
      <c r="E60" s="950" t="s">
        <v>895</v>
      </c>
      <c r="F60" s="1005" t="s">
        <v>566</v>
      </c>
      <c r="G60" s="1026"/>
      <c r="H60" s="1307"/>
      <c r="I60" s="1026"/>
      <c r="J60" s="1307"/>
      <c r="K60" s="586" t="s">
        <v>896</v>
      </c>
      <c r="X60" s="1042">
        <v>0</v>
      </c>
    </row>
    <row s="14077" customFormat="1" customHeight="1" ht="33.75" hidden="1">
      <c r="A61" s="2676"/>
      <c r="B61" s="795"/>
      <c r="D61" s="949" t="s">
        <v>94</v>
      </c>
      <c r="E61" s="950" t="s">
        <v>897</v>
      </c>
      <c r="F61" s="1010" t="s">
        <v>827</v>
      </c>
      <c r="G61" s="952"/>
      <c r="H61" s="1307"/>
      <c r="I61" s="952"/>
      <c r="J61" s="1307"/>
      <c r="K61" s="573"/>
      <c r="X61" s="1042">
        <v>0</v>
      </c>
    </row>
    <row s="14077" customFormat="1" customHeight="1" ht="22.5" hidden="1">
      <c r="A62" s="2676"/>
      <c r="B62" s="795" t="s">
        <v>596</v>
      </c>
      <c r="D62" s="949" t="s">
        <v>113</v>
      </c>
      <c r="E62" s="950" t="s">
        <v>898</v>
      </c>
      <c r="F62" s="1010" t="s">
        <v>311</v>
      </c>
      <c r="G62" s="666"/>
      <c r="H62" s="1307"/>
      <c r="I62" s="666"/>
      <c r="J62" s="1307"/>
      <c r="K62" s="573" t="s">
        <v>639</v>
      </c>
      <c r="X62" s="1042">
        <v>0</v>
      </c>
    </row>
    <row s="14077" customFormat="1" customHeight="1" ht="45" hidden="1">
      <c r="A63" s="2676"/>
      <c r="B63" s="795" t="s">
        <v>596</v>
      </c>
      <c r="D63" s="949" t="s">
        <v>899</v>
      </c>
      <c r="E63" s="951" t="s">
        <v>900</v>
      </c>
      <c r="F63" s="1005" t="s">
        <v>311</v>
      </c>
      <c r="G63" s="666"/>
      <c r="H63" s="1307"/>
      <c r="I63" s="666"/>
      <c r="J63" s="1307"/>
      <c r="K63" s="573" t="s">
        <v>639</v>
      </c>
      <c r="X63" s="1042">
        <v>0</v>
      </c>
    </row>
    <row s="14077" customFormat="1" customHeight="1" ht="11.549999999999999">
      <c r="A64" s="1317"/>
      <c r="B64" s="802"/>
      <c r="D64" s="1318"/>
      <c r="E64" s="1319"/>
      <c r="X64" s="793">
        <v>11</v>
      </c>
    </row>
    <row s="14077" customFormat="1" customHeight="1" ht="22.5" hidden="1">
      <c r="A65" s="2676" t="s">
        <v>901</v>
      </c>
      <c r="B65" s="795"/>
      <c r="D65" s="949">
        <v>1</v>
      </c>
      <c r="E65" s="1028" t="s">
        <v>902</v>
      </c>
      <c r="F65" s="1024" t="s">
        <v>817</v>
      </c>
      <c r="G65" s="1025"/>
      <c r="H65" s="1313"/>
      <c r="I65" s="1025"/>
      <c r="J65" s="1313"/>
      <c r="K65" s="585" t="s">
        <v>903</v>
      </c>
      <c r="X65" s="1042">
        <v>0</v>
      </c>
    </row>
    <row s="14077" customFormat="1" customHeight="1" ht="56.25" hidden="1">
      <c r="A66" s="2676"/>
      <c r="B66" s="795"/>
      <c r="D66" s="1027" t="s">
        <v>111</v>
      </c>
      <c r="E66" s="991" t="s">
        <v>904</v>
      </c>
      <c r="F66" s="944" t="s">
        <v>554</v>
      </c>
      <c r="G66" s="944" t="s">
        <v>554</v>
      </c>
      <c r="H66" s="803"/>
      <c r="I66" s="944" t="s">
        <v>554</v>
      </c>
      <c r="J66" s="803"/>
      <c r="K66" s="573"/>
      <c r="X66" s="1042">
        <v>0</v>
      </c>
    </row>
    <row s="14077" customFormat="1" customHeight="1" ht="33.75" hidden="1">
      <c r="A67" s="2676"/>
      <c r="B67" s="795"/>
      <c r="D67" s="1027" t="s">
        <v>716</v>
      </c>
      <c r="E67" s="1238" t="s">
        <v>905</v>
      </c>
      <c r="F67" s="944" t="s">
        <v>869</v>
      </c>
      <c r="G67" s="1011"/>
      <c r="H67" s="803"/>
      <c r="I67" s="1011"/>
      <c r="J67" s="803"/>
      <c r="K67" s="573"/>
      <c r="X67" s="1042">
        <v>0</v>
      </c>
    </row>
    <row s="14077" customFormat="1" customHeight="1" ht="22.5" hidden="1">
      <c r="A68" s="2676"/>
      <c r="B68" s="795"/>
      <c r="D68" s="1027" t="s">
        <v>312</v>
      </c>
      <c r="E68" s="1238" t="s">
        <v>906</v>
      </c>
      <c r="F68" s="944" t="s">
        <v>869</v>
      </c>
      <c r="G68" s="1011"/>
      <c r="H68" s="803"/>
      <c r="I68" s="1011"/>
      <c r="J68" s="803"/>
      <c r="K68" s="573"/>
      <c r="X68" s="1042">
        <v>0</v>
      </c>
    </row>
    <row s="14077" customFormat="1" customHeight="1" ht="22.5" hidden="1">
      <c r="A69" s="2676"/>
      <c r="B69" s="795"/>
      <c r="D69" s="1027" t="s">
        <v>315</v>
      </c>
      <c r="E69" s="1238" t="s">
        <v>907</v>
      </c>
      <c r="F69" s="1005" t="s">
        <v>566</v>
      </c>
      <c r="G69" s="1026"/>
      <c r="H69" s="803"/>
      <c r="I69" s="1026"/>
      <c r="J69" s="803"/>
      <c r="K69" s="573"/>
      <c r="X69" s="1042">
        <v>0</v>
      </c>
    </row>
    <row s="14077" customFormat="1" customHeight="1" ht="22.5" hidden="1">
      <c r="A70" s="2676"/>
      <c r="B70" s="795"/>
      <c r="D70" s="1027" t="s">
        <v>736</v>
      </c>
      <c r="E70" s="1238" t="s">
        <v>908</v>
      </c>
      <c r="F70" s="1005" t="s">
        <v>566</v>
      </c>
      <c r="G70" s="1026"/>
      <c r="H70" s="803"/>
      <c r="I70" s="1026"/>
      <c r="J70" s="803"/>
      <c r="K70" s="573"/>
      <c r="X70" s="1042">
        <v>0</v>
      </c>
    </row>
    <row s="14077" customFormat="1" customHeight="1" ht="22.5" hidden="1">
      <c r="A71" s="2676"/>
      <c r="B71" s="795"/>
      <c r="D71" s="949" t="s">
        <v>91</v>
      </c>
      <c r="E71" s="950" t="s">
        <v>909</v>
      </c>
      <c r="F71" s="944" t="s">
        <v>869</v>
      </c>
      <c r="G71" s="841"/>
      <c r="H71" s="1314"/>
      <c r="I71" s="841"/>
      <c r="J71" s="1314"/>
      <c r="K71" s="586"/>
      <c r="X71" s="1042">
        <v>0</v>
      </c>
    </row>
    <row s="14077" customFormat="1" customHeight="1" ht="56.25" hidden="1">
      <c r="A72" s="2676"/>
      <c r="B72" s="795"/>
      <c r="D72" s="949" t="s">
        <v>92</v>
      </c>
      <c r="E72" s="950" t="s">
        <v>910</v>
      </c>
      <c r="F72" s="1005" t="s">
        <v>566</v>
      </c>
      <c r="G72" s="1026"/>
      <c r="H72" s="1307"/>
      <c r="I72" s="1026"/>
      <c r="J72" s="1307"/>
      <c r="K72" s="586"/>
      <c r="X72" s="1042">
        <v>0</v>
      </c>
    </row>
    <row s="14077" customFormat="1" customHeight="1" ht="33.75" hidden="1">
      <c r="A73" s="2676"/>
      <c r="B73" s="795"/>
      <c r="D73" s="949" t="s">
        <v>112</v>
      </c>
      <c r="E73" s="950" t="s">
        <v>911</v>
      </c>
      <c r="F73" s="1010" t="s">
        <v>827</v>
      </c>
      <c r="G73" s="952"/>
      <c r="H73" s="1307"/>
      <c r="I73" s="952"/>
      <c r="J73" s="1307"/>
      <c r="K73" s="573"/>
      <c r="X73" s="1042">
        <v>0</v>
      </c>
    </row>
    <row s="14077" customFormat="1" customHeight="1" ht="22.5" hidden="1">
      <c r="A74" s="2676"/>
      <c r="B74" s="795" t="s">
        <v>596</v>
      </c>
      <c r="D74" s="949" t="s">
        <v>93</v>
      </c>
      <c r="E74" s="950" t="s">
        <v>912</v>
      </c>
      <c r="F74" s="1010" t="s">
        <v>311</v>
      </c>
      <c r="G74" s="666"/>
      <c r="H74" s="1307"/>
      <c r="I74" s="666"/>
      <c r="J74" s="1307"/>
      <c r="K74" s="573" t="s">
        <v>639</v>
      </c>
      <c r="X74" s="1042">
        <v>0</v>
      </c>
    </row>
    <row s="14077" customFormat="1" customHeight="1" ht="45" hidden="1">
      <c r="A75" s="2676"/>
      <c r="B75" s="795" t="s">
        <v>596</v>
      </c>
      <c r="D75" s="949" t="s">
        <v>660</v>
      </c>
      <c r="E75" s="951" t="s">
        <v>913</v>
      </c>
      <c r="F75" s="1005" t="s">
        <v>311</v>
      </c>
      <c r="G75" s="666"/>
      <c r="H75" s="1307"/>
      <c r="I75" s="666"/>
      <c r="J75" s="1307"/>
      <c r="K75" s="573" t="s">
        <v>639</v>
      </c>
      <c r="X75" s="1042">
        <v>0</v>
      </c>
    </row>
    <row s="14077" customFormat="1" customHeight="1" ht="11.549999999999999">
      <c r="A76" s="1317"/>
      <c r="B76" s="802"/>
      <c r="D76" s="1318"/>
      <c r="E76" s="1319"/>
      <c r="X76" s="793">
        <v>11</v>
      </c>
    </row>
    <row s="14077" customFormat="1" customHeight="1" ht="11.25" hidden="1">
      <c r="A77" s="2676" t="s">
        <v>914</v>
      </c>
      <c r="B77" s="795"/>
      <c r="D77" s="949">
        <v>1</v>
      </c>
      <c r="E77" s="950" t="s">
        <v>915</v>
      </c>
      <c r="F77" s="1005" t="s">
        <v>817</v>
      </c>
      <c r="G77" s="1008"/>
      <c r="H77" s="1307"/>
      <c r="I77" s="1008"/>
      <c r="J77" s="1307"/>
      <c r="K77" s="573" t="s">
        <v>916</v>
      </c>
      <c r="X77" s="1042">
        <v>0</v>
      </c>
    </row>
    <row s="14077" customFormat="1" customHeight="1" ht="11.25" hidden="1">
      <c r="A78" s="2676"/>
      <c r="B78" s="795"/>
      <c r="D78" s="949" t="s">
        <v>111</v>
      </c>
      <c r="E78" s="950" t="s">
        <v>917</v>
      </c>
      <c r="F78" s="1005" t="s">
        <v>817</v>
      </c>
      <c r="G78" s="1008"/>
      <c r="H78" s="1307"/>
      <c r="I78" s="1008"/>
      <c r="J78" s="1307"/>
      <c r="K78" s="573" t="s">
        <v>918</v>
      </c>
      <c r="X78" s="1042">
        <v>0</v>
      </c>
    </row>
    <row s="14077" customFormat="1" customHeight="1" ht="22.5" hidden="1">
      <c r="A79" s="2676"/>
      <c r="B79" s="795"/>
      <c r="D79" s="949" t="s">
        <v>91</v>
      </c>
      <c r="E79" s="1006" t="s">
        <v>919</v>
      </c>
      <c r="F79" s="944" t="s">
        <v>866</v>
      </c>
      <c r="G79" s="1008"/>
      <c r="H79" s="1307"/>
      <c r="I79" s="1008"/>
      <c r="J79" s="1307"/>
      <c r="K79" s="573" t="s">
        <v>920</v>
      </c>
      <c r="X79" s="1042">
        <v>0</v>
      </c>
    </row>
    <row s="14077" customFormat="1" customHeight="1" ht="11.25" hidden="1">
      <c r="A80" s="2676"/>
      <c r="B80" s="795"/>
      <c r="D80" s="949" t="s">
        <v>329</v>
      </c>
      <c r="E80" s="1007" t="s">
        <v>921</v>
      </c>
      <c r="F80" s="944" t="s">
        <v>866</v>
      </c>
      <c r="G80" s="1008"/>
      <c r="H80" s="1307"/>
      <c r="I80" s="1008"/>
      <c r="J80" s="1307"/>
      <c r="K80" s="573"/>
      <c r="X80" s="1042">
        <v>0</v>
      </c>
    </row>
    <row s="14077" customFormat="1" customHeight="1" ht="11.25" hidden="1">
      <c r="A81" s="2676"/>
      <c r="B81" s="795"/>
      <c r="D81" s="949" t="s">
        <v>337</v>
      </c>
      <c r="E81" s="1007" t="s">
        <v>922</v>
      </c>
      <c r="F81" s="944" t="s">
        <v>866</v>
      </c>
      <c r="G81" s="1008"/>
      <c r="H81" s="1307"/>
      <c r="I81" s="1008"/>
      <c r="J81" s="1307"/>
      <c r="K81" s="573"/>
      <c r="X81" s="1042">
        <v>0</v>
      </c>
    </row>
    <row s="14077" customFormat="1" customHeight="1" ht="11.25" hidden="1">
      <c r="A82" s="2676"/>
      <c r="B82" s="795"/>
      <c r="D82" s="949" t="s">
        <v>339</v>
      </c>
      <c r="E82" s="1007" t="s">
        <v>923</v>
      </c>
      <c r="F82" s="944" t="s">
        <v>866</v>
      </c>
      <c r="G82" s="1008"/>
      <c r="H82" s="1307"/>
      <c r="I82" s="1008"/>
      <c r="J82" s="1307"/>
      <c r="K82" s="573"/>
      <c r="X82" s="1042">
        <v>0</v>
      </c>
    </row>
    <row s="14077" customFormat="1" customHeight="1" ht="11.25" hidden="1">
      <c r="A83" s="2676"/>
      <c r="B83" s="795"/>
      <c r="D83" s="949" t="s">
        <v>341</v>
      </c>
      <c r="E83" s="1007" t="s">
        <v>924</v>
      </c>
      <c r="F83" s="944" t="s">
        <v>866</v>
      </c>
      <c r="G83" s="1008"/>
      <c r="H83" s="1307"/>
      <c r="I83" s="1008"/>
      <c r="J83" s="1307"/>
      <c r="K83" s="573"/>
      <c r="X83" s="1042">
        <v>0</v>
      </c>
    </row>
    <row s="14077" customFormat="1" customHeight="1" ht="11.25" hidden="1">
      <c r="A84" s="2676"/>
      <c r="B84" s="795"/>
      <c r="D84" s="949" t="s">
        <v>925</v>
      </c>
      <c r="E84" s="1007" t="s">
        <v>926</v>
      </c>
      <c r="F84" s="944" t="s">
        <v>866</v>
      </c>
      <c r="G84" s="1008"/>
      <c r="H84" s="1307"/>
      <c r="I84" s="1008"/>
      <c r="J84" s="1307"/>
      <c r="K84" s="573"/>
      <c r="X84" s="1042">
        <v>0</v>
      </c>
    </row>
    <row s="14077" customFormat="1" customHeight="1" ht="11.25" hidden="1">
      <c r="A85" s="2676"/>
      <c r="B85" s="795"/>
      <c r="D85" s="949" t="s">
        <v>927</v>
      </c>
      <c r="E85" s="1007" t="s">
        <v>928</v>
      </c>
      <c r="F85" s="944" t="s">
        <v>866</v>
      </c>
      <c r="G85" s="1008"/>
      <c r="H85" s="1307"/>
      <c r="I85" s="1008"/>
      <c r="J85" s="1307"/>
      <c r="K85" s="573"/>
      <c r="X85" s="1042">
        <v>0</v>
      </c>
    </row>
    <row s="14077" customFormat="1" customHeight="1" ht="11.25" hidden="1">
      <c r="A86" s="2676"/>
      <c r="B86" s="795"/>
      <c r="D86" s="949" t="s">
        <v>929</v>
      </c>
      <c r="E86" s="1007" t="s">
        <v>930</v>
      </c>
      <c r="F86" s="944" t="s">
        <v>866</v>
      </c>
      <c r="G86" s="1008"/>
      <c r="H86" s="1307"/>
      <c r="I86" s="1008"/>
      <c r="J86" s="1307"/>
      <c r="K86" s="573"/>
      <c r="X86" s="1042">
        <v>0</v>
      </c>
    </row>
    <row s="14077" customFormat="1" customHeight="1" ht="45" hidden="1">
      <c r="A87" s="2676"/>
      <c r="B87" s="795"/>
      <c r="D87" s="949" t="s">
        <v>92</v>
      </c>
      <c r="E87" s="950" t="s">
        <v>931</v>
      </c>
      <c r="F87" s="944" t="s">
        <v>866</v>
      </c>
      <c r="G87" s="1008"/>
      <c r="H87" s="1307"/>
      <c r="I87" s="1008"/>
      <c r="J87" s="1307"/>
      <c r="K87" s="573" t="s">
        <v>932</v>
      </c>
      <c r="X87" s="1042">
        <v>0</v>
      </c>
    </row>
    <row s="14077" customFormat="1" customHeight="1" ht="11.25" hidden="1">
      <c r="A88" s="2676"/>
      <c r="B88" s="795"/>
      <c r="D88" s="949" t="s">
        <v>761</v>
      </c>
      <c r="E88" s="1007" t="s">
        <v>921</v>
      </c>
      <c r="F88" s="944" t="s">
        <v>866</v>
      </c>
      <c r="G88" s="1008"/>
      <c r="H88" s="1307"/>
      <c r="I88" s="1008"/>
      <c r="J88" s="1307"/>
      <c r="K88" s="573"/>
      <c r="X88" s="1042">
        <v>0</v>
      </c>
    </row>
    <row s="14077" customFormat="1" customHeight="1" ht="11.25" hidden="1">
      <c r="A89" s="2676"/>
      <c r="B89" s="795"/>
      <c r="D89" s="949" t="s">
        <v>803</v>
      </c>
      <c r="E89" s="1007" t="s">
        <v>922</v>
      </c>
      <c r="F89" s="944" t="s">
        <v>866</v>
      </c>
      <c r="G89" s="1008"/>
      <c r="H89" s="1307"/>
      <c r="I89" s="1008"/>
      <c r="J89" s="1307"/>
      <c r="K89" s="573"/>
      <c r="X89" s="1042">
        <v>0</v>
      </c>
    </row>
    <row s="14077" customFormat="1" customHeight="1" ht="11.25" hidden="1">
      <c r="A90" s="2676"/>
      <c r="B90" s="795"/>
      <c r="D90" s="949" t="s">
        <v>806</v>
      </c>
      <c r="E90" s="1007" t="s">
        <v>923</v>
      </c>
      <c r="F90" s="944" t="s">
        <v>866</v>
      </c>
      <c r="G90" s="1008"/>
      <c r="H90" s="1307"/>
      <c r="I90" s="1008"/>
      <c r="J90" s="1307"/>
      <c r="K90" s="573"/>
      <c r="X90" s="1042">
        <v>0</v>
      </c>
    </row>
    <row s="14077" customFormat="1" customHeight="1" ht="11.25" hidden="1">
      <c r="A91" s="2676"/>
      <c r="B91" s="795"/>
      <c r="D91" s="949" t="s">
        <v>884</v>
      </c>
      <c r="E91" s="1007" t="s">
        <v>924</v>
      </c>
      <c r="F91" s="944" t="s">
        <v>866</v>
      </c>
      <c r="G91" s="1008"/>
      <c r="H91" s="1307"/>
      <c r="I91" s="1008"/>
      <c r="J91" s="1307"/>
      <c r="K91" s="573"/>
      <c r="X91" s="1042">
        <v>0</v>
      </c>
    </row>
    <row s="14077" customFormat="1" customHeight="1" ht="11.25" hidden="1">
      <c r="A92" s="2676"/>
      <c r="B92" s="795"/>
      <c r="D92" s="949" t="s">
        <v>886</v>
      </c>
      <c r="E92" s="1007" t="s">
        <v>926</v>
      </c>
      <c r="F92" s="944" t="s">
        <v>866</v>
      </c>
      <c r="G92" s="1008"/>
      <c r="H92" s="1307"/>
      <c r="I92" s="1008"/>
      <c r="J92" s="1307"/>
      <c r="K92" s="573"/>
      <c r="X92" s="1042">
        <v>0</v>
      </c>
    </row>
    <row s="14077" customFormat="1" customHeight="1" ht="11.25" hidden="1">
      <c r="A93" s="2676"/>
      <c r="B93" s="795"/>
      <c r="D93" s="949" t="s">
        <v>933</v>
      </c>
      <c r="E93" s="1007" t="s">
        <v>928</v>
      </c>
      <c r="F93" s="944" t="s">
        <v>866</v>
      </c>
      <c r="G93" s="1008"/>
      <c r="H93" s="1307"/>
      <c r="I93" s="1008"/>
      <c r="J93" s="1307"/>
      <c r="K93" s="573"/>
      <c r="X93" s="1042">
        <v>0</v>
      </c>
    </row>
    <row s="14077" customFormat="1" customHeight="1" ht="11.25" hidden="1">
      <c r="A94" s="2676"/>
      <c r="B94" s="795"/>
      <c r="D94" s="949" t="s">
        <v>934</v>
      </c>
      <c r="E94" s="1007" t="s">
        <v>930</v>
      </c>
      <c r="F94" s="944" t="s">
        <v>866</v>
      </c>
      <c r="G94" s="1008"/>
      <c r="H94" s="1307"/>
      <c r="I94" s="1008"/>
      <c r="J94" s="1307"/>
      <c r="K94" s="573"/>
      <c r="X94" s="1042">
        <v>0</v>
      </c>
    </row>
    <row s="14077" customFormat="1" customHeight="1" ht="24.75" hidden="1">
      <c r="A95" s="2676"/>
      <c r="B95" s="795"/>
      <c r="D95" s="949" t="s">
        <v>112</v>
      </c>
      <c r="E95" s="950" t="s">
        <v>935</v>
      </c>
      <c r="F95" s="1009" t="s">
        <v>566</v>
      </c>
      <c r="G95" s="1011"/>
      <c r="H95" s="1307"/>
      <c r="I95" s="1011"/>
      <c r="J95" s="1307"/>
      <c r="K95" s="573" t="s">
        <v>936</v>
      </c>
      <c r="X95" s="1042">
        <v>0</v>
      </c>
    </row>
    <row s="14077" customFormat="1" customHeight="1" ht="33.75" hidden="1">
      <c r="A96" s="2676"/>
      <c r="B96" s="795"/>
      <c r="D96" s="949" t="s">
        <v>93</v>
      </c>
      <c r="E96" s="950" t="s">
        <v>937</v>
      </c>
      <c r="F96" s="1010" t="s">
        <v>827</v>
      </c>
      <c r="G96" s="1012"/>
      <c r="H96" s="1307"/>
      <c r="I96" s="1012"/>
      <c r="J96" s="1307"/>
      <c r="K96" s="573"/>
      <c r="X96" s="1042">
        <v>0</v>
      </c>
    </row>
    <row s="14077" customFormat="1" customHeight="1" ht="22.5" hidden="1">
      <c r="A97" s="2676"/>
      <c r="B97" s="795" t="s">
        <v>596</v>
      </c>
      <c r="D97" s="949" t="s">
        <v>94</v>
      </c>
      <c r="E97" s="950" t="s">
        <v>938</v>
      </c>
      <c r="F97" s="1010" t="s">
        <v>311</v>
      </c>
      <c r="G97" s="669"/>
      <c r="H97" s="1307"/>
      <c r="I97" s="669"/>
      <c r="J97" s="1307"/>
      <c r="K97" s="573" t="s">
        <v>639</v>
      </c>
      <c r="X97" s="1042">
        <v>0</v>
      </c>
    </row>
    <row s="14077" customFormat="1" customHeight="1" ht="45" hidden="1">
      <c r="A98" s="2676"/>
      <c r="B98" s="795" t="s">
        <v>596</v>
      </c>
      <c r="D98" s="949" t="s">
        <v>939</v>
      </c>
      <c r="E98" s="951" t="s">
        <v>940</v>
      </c>
      <c r="F98" s="1005" t="s">
        <v>311</v>
      </c>
      <c r="G98" s="669"/>
      <c r="H98" s="1307"/>
      <c r="I98" s="669"/>
      <c r="J98" s="1307"/>
      <c r="K98" s="573" t="s">
        <v>639</v>
      </c>
      <c r="X98" s="1042">
        <v>0</v>
      </c>
    </row>
    <row s="14077" customFormat="1" customHeight="1" ht="95.25" hidden="1">
      <c r="A99" s="2676"/>
      <c r="B99" s="795" t="s">
        <v>596</v>
      </c>
      <c r="D99" s="949" t="s">
        <v>113</v>
      </c>
      <c r="E99" s="950" t="s">
        <v>941</v>
      </c>
      <c r="F99" s="1005" t="s">
        <v>311</v>
      </c>
      <c r="G99" s="669"/>
      <c r="H99" s="1307"/>
      <c r="I99" s="669"/>
      <c r="J99" s="1307"/>
      <c r="K99" s="573" t="s">
        <v>639</v>
      </c>
      <c r="X99" s="1042">
        <v>0</v>
      </c>
    </row>
    <row s="14077" customFormat="1" customHeight="1" ht="22.5" hidden="1">
      <c r="A100" s="2676"/>
      <c r="B100" s="795" t="s">
        <v>596</v>
      </c>
      <c r="D100" s="949" t="s">
        <v>149</v>
      </c>
      <c r="E100" s="950" t="s">
        <v>942</v>
      </c>
      <c r="F100" s="1005" t="s">
        <v>311</v>
      </c>
      <c r="G100" s="669"/>
      <c r="H100" s="1307"/>
      <c r="I100" s="669"/>
      <c r="J100" s="1307"/>
      <c r="K100" s="573" t="s">
        <v>639</v>
      </c>
      <c r="X100" s="1042">
        <v>0</v>
      </c>
    </row>
    <row s="14077" customFormat="1" customHeight="1" ht="11.549999999999999">
      <c r="A101" s="1317"/>
      <c r="B101" s="802"/>
      <c r="D101" s="1318"/>
      <c r="E101" s="1319"/>
      <c r="X101" s="793">
        <v>11</v>
      </c>
    </row>
    <row customHeight="1" ht="22.5" hidden="1">
      <c r="A102" s="820" t="s">
        <v>83</v>
      </c>
      <c r="B102" s="795">
        <v>0</v>
      </c>
      <c r="C102" s="789">
        <v>3</v>
      </c>
      <c r="D102" s="789">
        <v>7</v>
      </c>
      <c r="E102" s="789">
        <v>69</v>
      </c>
      <c r="F102" s="789">
        <v>10</v>
      </c>
      <c r="G102" s="789">
        <v>0</v>
      </c>
      <c r="H102" s="789">
        <v>0</v>
      </c>
      <c r="I102" s="1042">
        <v>43</v>
      </c>
      <c r="J102" s="1042">
        <v>43</v>
      </c>
      <c r="K102" s="789">
        <v>73</v>
      </c>
      <c r="L102" s="789">
        <v>3</v>
      </c>
      <c r="M102" s="789">
        <v>10</v>
      </c>
      <c r="N102" s="789">
        <v>10</v>
      </c>
      <c r="O102" s="789">
        <v>10</v>
      </c>
      <c r="P102" s="789">
        <v>10</v>
      </c>
      <c r="Q102" s="789">
        <v>10</v>
      </c>
      <c r="R102" s="789">
        <v>10</v>
      </c>
      <c r="S102" s="789">
        <v>10</v>
      </c>
      <c r="T102" s="789">
        <v>10</v>
      </c>
      <c r="U102" s="789">
        <v>10</v>
      </c>
      <c r="V102" s="789">
        <v>10</v>
      </c>
      <c r="W102" s="789">
        <v>10</v>
      </c>
      <c r="X102" s="789">
        <v>23</v>
      </c>
    </row>
  </sheetData>
  <sheetProtection formatColumns="0" formatRows="0" autoFilter="0" sort="0" insertRows="0" insertColumns="1" deleteRows="0" deleteColumns="0"/>
  <mergeCells count="18">
    <mergeCell ref="D3:F3"/>
    <mergeCell ref="K7:K11"/>
    <mergeCell ref="G7:H7"/>
    <mergeCell ref="E7:F7"/>
    <mergeCell ref="E8:F8"/>
    <mergeCell ref="E9:F9"/>
    <mergeCell ref="G8:H8"/>
    <mergeCell ref="G9:H9"/>
    <mergeCell ref="D4:F4"/>
    <mergeCell ref="I7:J7"/>
    <mergeCell ref="I8:J8"/>
    <mergeCell ref="I9:J9"/>
    <mergeCell ref="D10:J10"/>
    <mergeCell ref="A37:A63"/>
    <mergeCell ref="A65:A75"/>
    <mergeCell ref="A77:A100"/>
    <mergeCell ref="A13:A35"/>
    <mergeCell ref="A11:B11"/>
  </mergeCells>
  <dataValidations count="6">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formula1>"Не утверждены"</formula1>
    </dataValidation>
    <dataValidation type="decimal" allowBlank="1" showErrorMessage="1" errorTitle="Ошибка" error="Введите значение от 0 до 100%" sqref="G31 G95 G60 G72 G42:G43 G69:G70 I31 I95 I60 I72 I42:I43 I69:I70">
      <formula1>0</formula1>
      <formula2>100</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G62:G63 G74:G75 G97:G100 I62:I63 I74:I75 I97:I100 H13:H14 H19 J19 J13:J14">
      <formula1>900</formula1>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formula1>0</formula1>
      <formula2>9.99999999999999E+23</formula2>
    </dataValidation>
    <dataValidation type="whole" allowBlank="1" showErrorMessage="1" errorTitle="Ошибка" error="Допускается ввод только неотрицательных целых чисел!" sqref="G16:G17 I16:I17">
      <formula1>0</formula1>
      <formula2>9.99999999999999E+23</formula2>
    </dataValidation>
    <dataValidation type="textLength" operator="lessThanOrEqual" allowBlank="1" showInputMessage="1" showErrorMessage="1" errorTitle="Ошибка" error="Допускается ввод не более 900 символов!" sqref="H21:H22 H29:H30 H24 H26:H27 H15:H18 J26:J27 J15:J18 J21:J22 J29:J30 J2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F2DAE68-99C8-7962-B474-22408846FFC8}" mc:Ignorable="x14ac xr xr2 xr3">
  <sheetPr>
    <tabColor rgb="FFCCCCFF"/>
  </sheetPr>
  <dimension ref="A1:AM17"/>
  <sheetViews>
    <sheetView topLeftCell="A1" showGridLines="0" zoomScale="90" workbookViewId="0">
      <selection activeCell="A1" sqref="A1"/>
    </sheetView>
  </sheetViews>
  <sheetFormatPr defaultColWidth="9.140625" customHeight="1" defaultRowHeight="11.25"/>
  <cols>
    <col min="1" max="1" style="14284" width="6.421875" hidden="1" customWidth="1"/>
    <col min="2" max="2" style="14284" width="2.00390625" hidden="1" customWidth="1"/>
    <col min="3" max="3" style="14284" width="3.00390625" customWidth="1"/>
    <col min="4" max="4" style="14284" width="4.00390625" customWidth="1"/>
    <col min="5" max="5" style="14284" width="44.00390625" customWidth="1"/>
    <col min="6" max="6" style="14284" width="6.421875" customWidth="1"/>
    <col min="7" max="7" style="14284" width="4.00390625" customWidth="1"/>
    <col min="8" max="8" style="14284" width="5.00390625" customWidth="1"/>
    <col min="9" max="9" style="14284" width="52.00390625" customWidth="1"/>
    <col min="10" max="10" style="14284" width="7.00390625" customWidth="1"/>
    <col min="11" max="11" style="14284" width="3.00390625" customWidth="1"/>
    <col min="12" max="12" style="14284" width="6.00390625" customWidth="1"/>
    <col min="13" max="13" style="14284" width="56.00390625" customWidth="1"/>
    <col min="14" max="14" style="14335" width="8.00390625" customWidth="1"/>
    <col min="15" max="20" style="14247" width="9.140625" hidden="1"/>
    <col min="21" max="24" style="14336" width="9.140625" hidden="1"/>
    <col min="25" max="37" style="14335" width="9.140625" hidden="1"/>
    <col min="38" max="38" style="14335" width="8.00390625" customWidth="1"/>
    <col min="39" max="39" style="14284" width="9.140625" hidden="1"/>
  </cols>
  <sheetData>
    <row customHeight="1" ht="11.25" hidden="1">
      <c r="AM1" s="867" t="s">
        <v>14</v>
      </c>
    </row>
    <row customHeight="1" ht="11.25" hidden="1">
      <c r="AM2" s="867">
        <v>0</v>
      </c>
    </row>
    <row customHeight="1" ht="11.549999999999999">
      <c r="AM3" s="867">
        <v>11</v>
      </c>
    </row>
    <row customHeight="1" ht="35.699999999999996">
      <c r="A4" s="869"/>
      <c r="B4" s="869"/>
      <c r="D4" s="2403" t="str">
        <f>Титульный!E5</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E4" s="2404"/>
      <c r="F4" s="2404"/>
      <c r="G4" s="2404"/>
      <c r="H4" s="2404"/>
      <c r="I4" s="2405"/>
      <c r="J4" s="868"/>
      <c r="K4" s="868"/>
      <c r="L4" s="868"/>
      <c r="M4" s="868"/>
      <c r="AM4" s="867">
        <v>34</v>
      </c>
    </row>
    <row s="14255" customFormat="1" customHeight="1" ht="14.699999999999998">
      <c r="A5" s="869"/>
      <c r="B5" s="869"/>
      <c r="C5" s="869"/>
      <c r="D5" s="2406" t="str">
        <f>IF(org=0,"Не определено",org)</f>
        <v>МУП г. Азова "Теплоэнерго"</v>
      </c>
      <c r="E5" s="2407"/>
      <c r="F5" s="2407"/>
      <c r="G5" s="2407"/>
      <c r="H5" s="2407"/>
      <c r="I5" s="2408"/>
      <c r="J5" s="870"/>
      <c r="K5" s="870"/>
      <c r="L5" s="870"/>
      <c r="M5" s="870"/>
      <c r="N5" s="870"/>
      <c r="O5" s="1154"/>
      <c r="P5" s="1154"/>
      <c r="Q5" s="1154"/>
      <c r="R5" s="1154"/>
      <c r="S5" s="1154"/>
      <c r="T5" s="1154"/>
      <c r="U5" s="1545"/>
      <c r="V5" s="1545"/>
      <c r="W5" s="1545"/>
      <c r="X5" s="1545"/>
      <c r="Y5" s="870"/>
      <c r="Z5" s="870"/>
      <c r="AA5" s="870"/>
      <c r="AB5" s="870"/>
      <c r="AC5" s="870"/>
      <c r="AD5" s="870"/>
      <c r="AE5" s="870"/>
      <c r="AF5" s="870"/>
      <c r="AG5" s="870"/>
      <c r="AH5" s="870"/>
      <c r="AI5" s="870"/>
      <c r="AJ5" s="870"/>
      <c r="AK5" s="870"/>
      <c r="AL5" s="870"/>
      <c r="AM5" s="871">
        <v>14</v>
      </c>
    </row>
    <row s="14255" customFormat="1" customHeight="1" ht="6.3">
      <c r="A6" s="2409"/>
      <c r="B6" s="2409"/>
      <c r="C6" s="2409"/>
      <c r="D6" s="2409"/>
      <c r="E6" s="2409"/>
      <c r="F6" s="2409"/>
      <c r="G6" s="872"/>
      <c r="H6" s="872"/>
      <c r="I6" s="872"/>
      <c r="J6" s="872"/>
      <c r="K6" s="872"/>
      <c r="N6" s="874"/>
      <c r="O6" s="1698"/>
      <c r="P6" s="1698"/>
      <c r="Q6" s="1698"/>
      <c r="R6" s="1698"/>
      <c r="S6" s="1698"/>
      <c r="T6" s="1698"/>
      <c r="U6" s="1548"/>
      <c r="V6" s="1548"/>
      <c r="W6" s="1548"/>
      <c r="X6" s="1548"/>
      <c r="Y6" s="874"/>
      <c r="Z6" s="874"/>
      <c r="AA6" s="874"/>
      <c r="AB6" s="874"/>
      <c r="AC6" s="874"/>
      <c r="AD6" s="874"/>
      <c r="AE6" s="874"/>
      <c r="AF6" s="874"/>
      <c r="AG6" s="874"/>
      <c r="AH6" s="874"/>
      <c r="AI6" s="874"/>
      <c r="AJ6" s="874"/>
      <c r="AK6" s="874"/>
      <c r="AL6" s="874"/>
      <c r="AM6" s="873">
        <v>6</v>
      </c>
    </row>
    <row customHeight="1" ht="45.75" hidden="1">
      <c r="E7" s="2414"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теплоснабжения для каждой системы теплоснабжениядолжна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теплоснабжениябудут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415"/>
      <c r="G7" s="2415"/>
      <c r="H7" s="2415"/>
      <c r="I7" s="2415"/>
      <c r="J7" s="2415"/>
      <c r="K7" s="2415"/>
      <c r="L7" s="2415"/>
      <c r="M7" s="2415"/>
      <c r="AM7" s="867">
        <v>0</v>
      </c>
    </row>
    <row s="14255" customFormat="1" customHeight="1" ht="6.3">
      <c r="A8" s="875"/>
      <c r="B8" s="875"/>
      <c r="C8" s="875"/>
      <c r="D8" s="875"/>
      <c r="E8" s="875"/>
      <c r="F8" s="875"/>
      <c r="G8" s="875"/>
      <c r="H8" s="875"/>
      <c r="I8" s="875"/>
      <c r="J8" s="875"/>
      <c r="K8" s="875"/>
      <c r="L8" s="875"/>
      <c r="M8" s="873"/>
      <c r="N8" s="870"/>
      <c r="O8" s="1154"/>
      <c r="P8" s="1154"/>
      <c r="Q8" s="1154"/>
      <c r="R8" s="1154"/>
      <c r="S8" s="1154"/>
      <c r="T8" s="1154"/>
      <c r="U8" s="1545"/>
      <c r="V8" s="1545"/>
      <c r="W8" s="1545"/>
      <c r="X8" s="1545"/>
      <c r="Y8" s="870"/>
      <c r="Z8" s="870"/>
      <c r="AA8" s="870"/>
      <c r="AB8" s="870"/>
      <c r="AC8" s="870"/>
      <c r="AD8" s="870"/>
      <c r="AE8" s="870"/>
      <c r="AF8" s="870"/>
      <c r="AG8" s="870"/>
      <c r="AH8" s="870"/>
      <c r="AI8" s="870"/>
      <c r="AJ8" s="870"/>
      <c r="AK8" s="870"/>
      <c r="AL8" s="870"/>
      <c r="AM8" s="871">
        <v>6</v>
      </c>
    </row>
    <row customHeight="1" ht="18.75">
      <c r="A9" s="2410"/>
      <c r="B9" s="607"/>
      <c r="C9" s="607"/>
      <c r="D9" s="2411" t="s">
        <v>106</v>
      </c>
      <c r="E9" s="2411"/>
      <c r="F9" s="2412" t="s">
        <v>107</v>
      </c>
      <c r="G9" s="2413"/>
      <c r="H9" s="2413"/>
      <c r="I9" s="2413"/>
      <c r="J9" s="2416" t="s">
        <v>108</v>
      </c>
      <c r="K9" s="2416"/>
      <c r="L9" s="2416"/>
      <c r="M9" s="2416"/>
      <c r="AM9" s="867">
        <v>18</v>
      </c>
    </row>
    <row customHeight="1" ht="24">
      <c r="A10" s="2410"/>
      <c r="B10" s="876"/>
      <c r="C10" s="809"/>
      <c r="D10" s="807" t="s">
        <v>89</v>
      </c>
      <c r="E10" s="807" t="s">
        <v>90</v>
      </c>
      <c r="F10" s="807" t="s">
        <v>109</v>
      </c>
      <c r="G10" s="2417" t="s">
        <v>89</v>
      </c>
      <c r="H10" s="2418"/>
      <c r="I10" s="807" t="s">
        <v>90</v>
      </c>
      <c r="J10" s="807" t="s">
        <v>109</v>
      </c>
      <c r="K10" s="2417" t="s">
        <v>89</v>
      </c>
      <c r="L10" s="2418"/>
      <c r="M10" s="807" t="s">
        <v>90</v>
      </c>
      <c r="N10" s="1911"/>
      <c r="AM10" s="867">
        <v>23</v>
      </c>
    </row>
    <row s="14284" customFormat="1" customHeight="1" ht="11.25" hidden="1">
      <c r="A11" s="877"/>
      <c r="B11" s="877"/>
      <c r="C11" s="877"/>
      <c r="D11" s="878" t="s">
        <v>110</v>
      </c>
      <c r="E11" s="878" t="s">
        <v>111</v>
      </c>
      <c r="F11" s="878" t="s">
        <v>91</v>
      </c>
      <c r="G11" s="2399" t="s">
        <v>92</v>
      </c>
      <c r="H11" s="2400"/>
      <c r="I11" s="878" t="s">
        <v>112</v>
      </c>
      <c r="J11" s="878" t="s">
        <v>93</v>
      </c>
      <c r="K11" s="2401" t="s">
        <v>94</v>
      </c>
      <c r="L11" s="2402"/>
      <c r="M11" s="878" t="s">
        <v>113</v>
      </c>
      <c r="N11" s="1910"/>
      <c r="O11" s="1697"/>
      <c r="P11" s="1699"/>
      <c r="Q11" s="1699"/>
      <c r="R11" s="1699"/>
      <c r="S11" s="1699"/>
      <c r="T11" s="1699"/>
      <c r="U11" s="1549"/>
      <c r="V11" s="1549"/>
      <c r="W11" s="1549"/>
      <c r="X11" s="1549"/>
      <c r="Y11" s="879"/>
      <c r="Z11" s="879"/>
      <c r="AA11" s="879"/>
      <c r="AB11" s="879"/>
      <c r="AC11" s="879"/>
      <c r="AD11" s="879"/>
      <c r="AE11" s="879"/>
      <c r="AF11" s="879"/>
      <c r="AG11" s="879"/>
      <c r="AH11" s="879"/>
      <c r="AI11" s="879"/>
      <c r="AJ11" s="879"/>
      <c r="AK11" s="879"/>
      <c r="AL11" s="879"/>
      <c r="AM11" s="880">
        <v>0</v>
      </c>
    </row>
    <row customHeight="1" ht="1.05">
      <c r="A12" s="881"/>
      <c r="B12" s="882"/>
      <c r="C12" s="882"/>
      <c r="D12" s="883"/>
      <c r="E12" s="651"/>
      <c r="F12" s="884"/>
      <c r="G12" s="1343"/>
      <c r="H12" s="1343"/>
      <c r="I12" s="884"/>
      <c r="J12" s="884"/>
      <c r="K12" s="458"/>
      <c r="L12" s="651"/>
      <c r="M12" s="885"/>
      <c r="N12" s="1911"/>
      <c r="O12" s="1697" t="s">
        <v>114</v>
      </c>
      <c r="P12" s="1697" t="s">
        <v>115</v>
      </c>
      <c r="Q12" s="1697" t="s">
        <v>116</v>
      </c>
      <c r="R12" s="1697" t="s">
        <v>117</v>
      </c>
      <c r="AM12" s="867">
        <v>1</v>
      </c>
    </row>
    <row s="14284" customFormat="1" customHeight="1" ht="15.75">
      <c r="A13" s="577"/>
      <c r="B13" s="577"/>
      <c r="C13" s="810"/>
      <c r="D13" s="2392" t="s">
        <v>110</v>
      </c>
      <c r="E13" s="2393"/>
      <c r="F13" s="2396" t="s">
        <v>67</v>
      </c>
      <c r="G13" s="2397"/>
      <c r="H13" s="2398">
        <v>1</v>
      </c>
      <c r="I13" s="2389" t="str">
        <f>IF(U13="","",INDEX(TERRITORY_MR_LIST,MATCH(U13,TERRITORY_LIST_ID,0)))</f>
        <v/>
      </c>
      <c r="J13" s="2391" t="s">
        <v>19</v>
      </c>
      <c r="K13" s="886"/>
      <c r="L13" s="811" t="s">
        <v>110</v>
      </c>
      <c r="M13" s="887" t="s">
        <v>28</v>
      </c>
      <c r="N13" s="1096"/>
      <c r="O13" s="1700" t="s">
        <v>118</v>
      </c>
      <c r="P13" s="1697">
        <f>$E$13</f>
        <v>0</v>
      </c>
      <c r="Q13" s="1697" t="str">
        <f>IF($F$13="нет","без дифференциации",$I$13)</f>
        <v/>
      </c>
      <c r="R13" s="1697" t="str">
        <f>IF($J$13="нет","без дифференциации",M13)</f>
        <v>без дифференциации</v>
      </c>
      <c r="S13" s="1700"/>
      <c r="T13" s="1700"/>
      <c r="U13" s="1550"/>
      <c r="V13" s="1550"/>
      <c r="W13" s="1550"/>
      <c r="X13" s="1550"/>
      <c r="Y13" s="888" t="s">
        <v>119</v>
      </c>
      <c r="Z13" s="888">
        <v>1705000</v>
      </c>
      <c r="AA13" s="888"/>
      <c r="AB13" s="888"/>
      <c r="AC13" s="888"/>
      <c r="AD13" s="888"/>
      <c r="AE13" s="888"/>
      <c r="AF13" s="888"/>
      <c r="AG13" s="888"/>
      <c r="AH13" s="888"/>
      <c r="AI13" s="888"/>
      <c r="AJ13" s="888"/>
      <c r="AK13" s="888"/>
      <c r="AL13" s="888"/>
      <c r="AM13" s="890">
        <v>15</v>
      </c>
    </row>
    <row s="14284" customFormat="1" customHeight="1" ht="15.75">
      <c r="A14" s="577"/>
      <c r="B14" s="577"/>
      <c r="C14" s="460"/>
      <c r="D14" s="2392"/>
      <c r="E14" s="2394"/>
      <c r="F14" s="2391"/>
      <c r="G14" s="2397"/>
      <c r="H14" s="2398"/>
      <c r="I14" s="2390"/>
      <c r="J14" s="2391"/>
      <c r="K14" s="705"/>
      <c r="L14" s="461"/>
      <c r="M14" s="891" t="s">
        <v>120</v>
      </c>
      <c r="N14" s="1096"/>
      <c r="O14" s="1700"/>
      <c r="P14" s="1697"/>
      <c r="Q14" s="1697"/>
      <c r="R14" s="1697"/>
      <c r="S14" s="1700"/>
      <c r="T14" s="1700"/>
      <c r="U14" s="1550"/>
      <c r="V14" s="1550"/>
      <c r="W14" s="1550"/>
      <c r="X14" s="1550"/>
      <c r="Y14" s="888"/>
      <c r="Z14" s="888"/>
      <c r="AA14" s="888"/>
      <c r="AB14" s="888"/>
      <c r="AC14" s="888"/>
      <c r="AD14" s="888"/>
      <c r="AE14" s="888"/>
      <c r="AF14" s="888"/>
      <c r="AG14" s="888"/>
      <c r="AH14" s="888"/>
      <c r="AI14" s="888"/>
      <c r="AJ14" s="888"/>
      <c r="AK14" s="888"/>
      <c r="AL14" s="888"/>
      <c r="AM14" s="890">
        <v>15</v>
      </c>
    </row>
    <row s="14284" customFormat="1" customHeight="1" ht="15.75">
      <c r="A15" s="577"/>
      <c r="B15" s="577"/>
      <c r="C15" s="460"/>
      <c r="D15" s="2392"/>
      <c r="E15" s="2395"/>
      <c r="F15" s="2391"/>
      <c r="G15" s="1344"/>
      <c r="H15" s="1345"/>
      <c r="I15" s="864" t="s">
        <v>121</v>
      </c>
      <c r="J15" s="461"/>
      <c r="K15" s="461"/>
      <c r="L15" s="461"/>
      <c r="M15" s="892"/>
      <c r="N15" s="1096"/>
      <c r="O15" s="1700"/>
      <c r="P15" s="1697"/>
      <c r="Q15" s="1697"/>
      <c r="R15" s="1697"/>
      <c r="S15" s="1700"/>
      <c r="T15" s="1700"/>
      <c r="U15" s="1550"/>
      <c r="V15" s="1550"/>
      <c r="W15" s="1550"/>
      <c r="X15" s="1550"/>
      <c r="Y15" s="888"/>
      <c r="Z15" s="888"/>
      <c r="AA15" s="888"/>
      <c r="AB15" s="888"/>
      <c r="AC15" s="888"/>
      <c r="AD15" s="888"/>
      <c r="AE15" s="888"/>
      <c r="AF15" s="888"/>
      <c r="AG15" s="888"/>
      <c r="AH15" s="888"/>
      <c r="AI15" s="888"/>
      <c r="AJ15" s="888"/>
      <c r="AK15" s="888"/>
      <c r="AL15" s="888"/>
      <c r="AM15" s="890">
        <v>15</v>
      </c>
    </row>
    <row customHeight="1" ht="15.75">
      <c r="A16" s="893"/>
      <c r="B16" s="419"/>
      <c r="C16" s="1090"/>
      <c r="D16" s="705"/>
      <c r="E16" s="855" t="s">
        <v>122</v>
      </c>
      <c r="F16" s="461"/>
      <c r="G16" s="461"/>
      <c r="H16" s="461"/>
      <c r="I16" s="461"/>
      <c r="J16" s="461"/>
      <c r="K16" s="461" t="s">
        <v>28</v>
      </c>
      <c r="L16" s="461"/>
      <c r="M16" s="892"/>
      <c r="N16" s="1911"/>
      <c r="AM16" s="867">
        <v>15</v>
      </c>
    </row>
    <row customHeight="1" ht="11.25" hidden="1">
      <c r="A17" s="867" t="s">
        <v>83</v>
      </c>
      <c r="B17" s="867">
        <v>0</v>
      </c>
      <c r="C17" s="867">
        <v>3</v>
      </c>
      <c r="D17" s="867">
        <v>4</v>
      </c>
      <c r="E17" s="867">
        <v>44</v>
      </c>
      <c r="F17" s="867">
        <v>6</v>
      </c>
      <c r="G17" s="867">
        <v>4</v>
      </c>
      <c r="H17" s="867">
        <v>5</v>
      </c>
      <c r="I17" s="867">
        <v>52</v>
      </c>
      <c r="J17" s="867">
        <v>6</v>
      </c>
      <c r="K17" s="867">
        <v>3</v>
      </c>
      <c r="L17" s="867">
        <v>6</v>
      </c>
      <c r="M17" s="867">
        <v>56</v>
      </c>
      <c r="N17" s="868">
        <v>8</v>
      </c>
      <c r="O17" s="1697">
        <v>0</v>
      </c>
      <c r="P17" s="1697">
        <v>0</v>
      </c>
      <c r="Q17" s="1697">
        <v>0</v>
      </c>
      <c r="R17" s="1697">
        <v>0</v>
      </c>
      <c r="S17" s="1697">
        <v>0</v>
      </c>
      <c r="T17" s="1697">
        <v>0</v>
      </c>
      <c r="U17" s="1547">
        <v>0</v>
      </c>
      <c r="V17" s="1547">
        <v>0</v>
      </c>
      <c r="W17" s="1547">
        <v>0</v>
      </c>
      <c r="X17" s="1547">
        <v>0</v>
      </c>
      <c r="Y17" s="868">
        <v>0</v>
      </c>
      <c r="Z17" s="868">
        <v>0</v>
      </c>
      <c r="AA17" s="868">
        <v>0</v>
      </c>
      <c r="AB17" s="868">
        <v>0</v>
      </c>
      <c r="AC17" s="868">
        <v>0</v>
      </c>
      <c r="AD17" s="868">
        <v>0</v>
      </c>
      <c r="AE17" s="868">
        <v>0</v>
      </c>
      <c r="AF17" s="868">
        <v>0</v>
      </c>
      <c r="AG17" s="868">
        <v>0</v>
      </c>
      <c r="AH17" s="868">
        <v>0</v>
      </c>
      <c r="AI17" s="868">
        <v>0</v>
      </c>
      <c r="AJ17" s="868">
        <v>0</v>
      </c>
      <c r="AK17" s="868">
        <v>0</v>
      </c>
      <c r="AL17" s="868">
        <v>8</v>
      </c>
      <c r="AM17" s="867">
        <v>11</v>
      </c>
    </row>
  </sheetData>
  <sheetProtection formatColumns="0" formatRows="0" autoFilter="0" sort="0" insertRows="0" insertColumns="1" deleteRows="0" deleteColumns="0"/>
  <mergeCells count="19">
    <mergeCell ref="G11:H11"/>
    <mergeCell ref="K11:L11"/>
    <mergeCell ref="D4:I4"/>
    <mergeCell ref="D5:I5"/>
    <mergeCell ref="A6:F6"/>
    <mergeCell ref="A9:A10"/>
    <mergeCell ref="D9:E9"/>
    <mergeCell ref="F9:I9"/>
    <mergeCell ref="E7:M7"/>
    <mergeCell ref="J9:M9"/>
    <mergeCell ref="G10:H10"/>
    <mergeCell ref="K10:L10"/>
    <mergeCell ref="I13:I14"/>
    <mergeCell ref="J13:J14"/>
    <mergeCell ref="D13:D15"/>
    <mergeCell ref="E13:E15"/>
    <mergeCell ref="F13:F15"/>
    <mergeCell ref="G13:G14"/>
    <mergeCell ref="H13:H14"/>
  </mergeCells>
  <dataValidations count="1">
    <dataValidation type="textLength" operator="lessThan" allowBlank="1" showInputMessage="1" showErrorMessage="1" error="Допускается ввод не более 900 символов!" sqref="M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71CC664-9C38-DF28-1943-869C3AC40F08}" mc:Ignorable="x14ac xr xr2 xr3">
  <sheetPr>
    <tabColor rgb="FFE26B0A"/>
  </sheetPr>
  <dimension ref="A1:V40"/>
  <sheetViews>
    <sheetView topLeftCell="A1" showGridLines="0" zoomScale="90" workbookViewId="0">
      <selection activeCell="A1" sqref="A1"/>
    </sheetView>
  </sheetViews>
  <sheetFormatPr defaultColWidth="10.57421875" customHeight="1" defaultRowHeight="15"/>
  <cols>
    <col min="1" max="1" style="14041" width="9.140625" hidden="1" customWidth="1"/>
    <col min="2" max="2" style="14077" width="9.140625" hidden="1" customWidth="1"/>
    <col min="3" max="3" style="15757" width="4.00390625" customWidth="1"/>
    <col min="4" max="4" style="14077" width="6.00390625" customWidth="1"/>
    <col min="5" max="5" style="14077" width="36.00390625" customWidth="1"/>
    <col min="6" max="6" style="14077" width="9.00390625" customWidth="1"/>
    <col min="7" max="7" style="14077" width="25.7109375" hidden="1" customWidth="1"/>
    <col min="8" max="8" style="14077" width="33.7109375" hidden="1" customWidth="1"/>
    <col min="9" max="9" style="14077" width="25.7109375" customWidth="1"/>
    <col min="10" max="10" style="14077" width="33.00390625" customWidth="1"/>
    <col min="11" max="11" style="14157" width="93.00390625" customWidth="1"/>
    <col min="12" max="20" style="14077" width="10.00390625" customWidth="1"/>
    <col min="21" max="21" style="15758" width="10.00390625" customWidth="1"/>
    <col min="22" max="22" style="14077" width="10.57421875" hidden="1"/>
  </cols>
  <sheetData>
    <row s="14157" customFormat="1" customHeight="1" ht="22.5" hidden="1">
      <c r="C1" s="956"/>
      <c r="G1" s="701">
        <v>4</v>
      </c>
      <c r="I1" s="701">
        <v>4</v>
      </c>
      <c r="U1" s="704"/>
      <c r="V1" s="701" t="s">
        <v>14</v>
      </c>
    </row>
    <row s="14157" customFormat="1" customHeight="1" ht="15" hidden="1">
      <c r="C2" s="956"/>
      <c r="U2" s="704"/>
      <c r="V2" s="701">
        <v>0</v>
      </c>
    </row>
    <row customHeight="1" ht="22.5" hidden="1">
      <c r="A3" s="789"/>
      <c r="B3" s="2681"/>
      <c r="C3" s="2682" t="s">
        <v>454</v>
      </c>
      <c r="D3" s="973" t="str">
        <f>B3&amp;".1"</f>
        <v>.1</v>
      </c>
      <c r="E3" s="974" t="s">
        <v>943</v>
      </c>
      <c r="F3" s="975" t="s">
        <v>311</v>
      </c>
      <c r="G3" s="970"/>
      <c r="H3" s="685"/>
      <c r="I3" s="970"/>
      <c r="J3" s="685"/>
      <c r="K3" s="573" t="s">
        <v>944</v>
      </c>
      <c r="V3" s="789">
        <v>0</v>
      </c>
    </row>
    <row customHeight="1" ht="15" hidden="1">
      <c r="A4" s="789"/>
      <c r="B4" s="2681"/>
      <c r="C4" s="2682"/>
      <c r="D4" s="973" t="str">
        <f>B3&amp;".2"</f>
        <v>.2</v>
      </c>
      <c r="E4" s="974" t="s">
        <v>945</v>
      </c>
      <c r="F4" s="975" t="s">
        <v>311</v>
      </c>
      <c r="G4" s="2022" t="s">
        <v>28</v>
      </c>
      <c r="H4" s="685"/>
      <c r="I4" s="2022" t="s">
        <v>28</v>
      </c>
      <c r="J4" s="685"/>
      <c r="K4" s="573" t="s">
        <v>946</v>
      </c>
      <c r="V4" s="789">
        <v>0</v>
      </c>
    </row>
    <row s="14157" customFormat="1" customHeight="1" ht="15" hidden="1">
      <c r="C5" s="956"/>
      <c r="U5" s="704"/>
      <c r="V5" s="701">
        <v>0</v>
      </c>
    </row>
    <row customHeight="1" ht="22.5" hidden="1">
      <c r="A6" s="789"/>
      <c r="B6" s="2681"/>
      <c r="C6" s="2682" t="s">
        <v>454</v>
      </c>
      <c r="D6" s="973" t="str">
        <f>B6&amp;".1"</f>
        <v>.1</v>
      </c>
      <c r="E6" s="974" t="s">
        <v>947</v>
      </c>
      <c r="F6" s="975" t="s">
        <v>311</v>
      </c>
      <c r="G6" s="970"/>
      <c r="H6" s="685"/>
      <c r="I6" s="970"/>
      <c r="J6" s="685"/>
      <c r="K6" s="573" t="s">
        <v>948</v>
      </c>
      <c r="V6" s="789">
        <v>0</v>
      </c>
    </row>
    <row customHeight="1" ht="15" hidden="1">
      <c r="A7" s="789"/>
      <c r="B7" s="2681"/>
      <c r="C7" s="2682"/>
      <c r="D7" s="973" t="str">
        <f>B6&amp;".2"</f>
        <v>.2</v>
      </c>
      <c r="E7" s="974" t="s">
        <v>945</v>
      </c>
      <c r="F7" s="975" t="s">
        <v>311</v>
      </c>
      <c r="G7" s="2022" t="s">
        <v>28</v>
      </c>
      <c r="H7" s="685"/>
      <c r="I7" s="2022" t="s">
        <v>28</v>
      </c>
      <c r="J7" s="685"/>
      <c r="K7" s="573" t="s">
        <v>946</v>
      </c>
      <c r="V7" s="789">
        <v>0</v>
      </c>
    </row>
    <row s="14157" customFormat="1" customHeight="1" ht="15" hidden="1">
      <c r="C8" s="956"/>
      <c r="U8" s="704"/>
      <c r="V8" s="701">
        <v>0</v>
      </c>
    </row>
    <row customHeight="1" ht="22.5" hidden="1">
      <c r="A9" s="789"/>
      <c r="B9" s="2681"/>
      <c r="C9" s="2682" t="s">
        <v>454</v>
      </c>
      <c r="D9" s="973" t="str">
        <f>B9&amp;".1"</f>
        <v>.1</v>
      </c>
      <c r="E9" s="974" t="s">
        <v>949</v>
      </c>
      <c r="F9" s="975" t="s">
        <v>311</v>
      </c>
      <c r="G9" s="981" t="s">
        <v>28</v>
      </c>
      <c r="H9" s="685" t="s">
        <v>28</v>
      </c>
      <c r="I9" s="981" t="s">
        <v>28</v>
      </c>
      <c r="J9" s="685" t="s">
        <v>28</v>
      </c>
      <c r="K9" s="573"/>
      <c r="V9" s="789">
        <v>0</v>
      </c>
    </row>
    <row customHeight="1" ht="15" hidden="1">
      <c r="A10" s="789"/>
      <c r="B10" s="2681"/>
      <c r="C10" s="2682"/>
      <c r="D10" s="973" t="str">
        <f>B9&amp;".2"</f>
        <v>.2</v>
      </c>
      <c r="E10" s="974" t="s">
        <v>950</v>
      </c>
      <c r="F10" s="975" t="s">
        <v>311</v>
      </c>
      <c r="G10" s="2016" t="s">
        <v>28</v>
      </c>
      <c r="H10" s="685" t="s">
        <v>28</v>
      </c>
      <c r="I10" s="2016" t="s">
        <v>28</v>
      </c>
      <c r="J10" s="685" t="s">
        <v>28</v>
      </c>
      <c r="K10" s="573" t="s">
        <v>951</v>
      </c>
      <c r="V10" s="789">
        <v>0</v>
      </c>
    </row>
    <row customHeight="1" ht="15" hidden="1">
      <c r="A11" s="789"/>
      <c r="B11" s="2681"/>
      <c r="C11" s="2682"/>
      <c r="D11" s="973" t="str">
        <f>B9&amp;".3"</f>
        <v>.3</v>
      </c>
      <c r="E11" s="974" t="s">
        <v>952</v>
      </c>
      <c r="F11" s="975" t="s">
        <v>311</v>
      </c>
      <c r="G11" s="2016" t="s">
        <v>28</v>
      </c>
      <c r="H11" s="685" t="s">
        <v>28</v>
      </c>
      <c r="I11" s="2016" t="s">
        <v>28</v>
      </c>
      <c r="J11" s="685" t="s">
        <v>28</v>
      </c>
      <c r="K11" s="573" t="s">
        <v>953</v>
      </c>
      <c r="V11" s="789">
        <v>0</v>
      </c>
    </row>
    <row s="14157" customFormat="1" customHeight="1" ht="15" hidden="1">
      <c r="C12" s="956"/>
      <c r="U12" s="704"/>
      <c r="V12" s="701">
        <v>0</v>
      </c>
    </row>
    <row customHeight="1" ht="33.75" hidden="1">
      <c r="A13" s="789"/>
      <c r="B13" s="2681"/>
      <c r="C13" s="2682" t="s">
        <v>454</v>
      </c>
      <c r="D13" s="973" t="str">
        <f>B13&amp;".1"</f>
        <v>.1</v>
      </c>
      <c r="E13" s="974" t="s">
        <v>954</v>
      </c>
      <c r="F13" s="975" t="s">
        <v>311</v>
      </c>
      <c r="G13" s="981" t="s">
        <v>28</v>
      </c>
      <c r="H13" s="685" t="s">
        <v>28</v>
      </c>
      <c r="I13" s="981" t="s">
        <v>28</v>
      </c>
      <c r="J13" s="685" t="s">
        <v>28</v>
      </c>
      <c r="K13" s="573" t="s">
        <v>955</v>
      </c>
      <c r="V13" s="789">
        <v>0</v>
      </c>
    </row>
    <row customHeight="1" ht="15" hidden="1">
      <c r="B14" s="2681"/>
      <c r="C14" s="2682"/>
      <c r="D14" s="973" t="str">
        <f>B13&amp;".2"</f>
        <v>.2</v>
      </c>
      <c r="E14" s="974" t="s">
        <v>956</v>
      </c>
      <c r="F14" s="975" t="s">
        <v>311</v>
      </c>
      <c r="G14" s="2016" t="s">
        <v>28</v>
      </c>
      <c r="H14" s="685" t="s">
        <v>28</v>
      </c>
      <c r="I14" s="2016" t="s">
        <v>28</v>
      </c>
      <c r="J14" s="685" t="s">
        <v>28</v>
      </c>
      <c r="K14" s="573" t="s">
        <v>957</v>
      </c>
      <c r="V14" s="789">
        <v>0</v>
      </c>
    </row>
    <row s="14157" customFormat="1" customHeight="1" ht="15" hidden="1">
      <c r="C15" s="956"/>
      <c r="U15" s="704"/>
      <c r="V15" s="701">
        <v>0</v>
      </c>
    </row>
    <row s="14157" customFormat="1" customHeight="1" ht="15" hidden="1">
      <c r="C16" s="956"/>
      <c r="U16" s="704"/>
      <c r="V16" s="701">
        <v>0</v>
      </c>
    </row>
    <row s="14157" customFormat="1" customHeight="1" ht="15" hidden="1">
      <c r="C17" s="956"/>
      <c r="U17" s="704"/>
      <c r="V17" s="701">
        <v>0</v>
      </c>
    </row>
    <row s="14157" customFormat="1" customHeight="1" ht="15" hidden="1">
      <c r="C18" s="956"/>
      <c r="U18" s="704"/>
      <c r="V18" s="701">
        <v>0</v>
      </c>
    </row>
    <row s="14157" customFormat="1" customHeight="1" ht="15" hidden="1">
      <c r="C19" s="956"/>
      <c r="U19" s="704"/>
      <c r="V19" s="701">
        <v>0</v>
      </c>
    </row>
    <row s="14157" customFormat="1" customHeight="1" ht="15" hidden="1">
      <c r="C20" s="956"/>
      <c r="U20" s="704"/>
      <c r="V20" s="701">
        <v>0</v>
      </c>
    </row>
    <row customHeight="1" ht="15.75">
      <c r="C21" s="460"/>
      <c r="D21" s="793"/>
      <c r="E21" s="793"/>
      <c r="F21" s="793"/>
      <c r="G21" s="793"/>
      <c r="H21" s="793"/>
      <c r="I21" s="793"/>
      <c r="J21" s="793"/>
      <c r="V21" s="789">
        <v>15</v>
      </c>
    </row>
    <row customHeight="1" ht="23.25">
      <c r="C22" s="460"/>
      <c r="D22" s="2521"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22" s="2521"/>
      <c r="F22" s="2521"/>
      <c r="G22" s="2521"/>
      <c r="H22" s="2521"/>
      <c r="I22" s="2521"/>
      <c r="J22" s="960"/>
      <c r="K22" s="821"/>
      <c r="V22" s="789">
        <v>22</v>
      </c>
    </row>
    <row customHeight="1" ht="15.75">
      <c r="C23" s="460"/>
      <c r="D23" s="2460" t="str">
        <f>IF(org=0,"Не определено",org)</f>
        <v>МУП г. Азова "Теплоэнерго"</v>
      </c>
      <c r="E23" s="2460"/>
      <c r="F23" s="2460"/>
      <c r="G23" s="2460"/>
      <c r="H23" s="2460"/>
      <c r="I23" s="2460"/>
      <c r="J23" s="960"/>
      <c r="K23" s="821"/>
      <c r="V23" s="789">
        <v>15</v>
      </c>
    </row>
    <row customHeight="1" ht="15.75">
      <c r="C24" s="460"/>
      <c r="D24" s="793"/>
      <c r="E24" s="793"/>
      <c r="F24" s="793"/>
      <c r="G24" s="821">
        <v>22</v>
      </c>
      <c r="H24" s="1036"/>
      <c r="I24" s="821">
        <v>22</v>
      </c>
      <c r="J24" s="1036"/>
      <c r="V24" s="789">
        <v>15</v>
      </c>
    </row>
    <row s="14077" customFormat="1" customHeight="1" ht="1.05">
      <c r="A25" s="1043"/>
      <c r="C25" s="460"/>
      <c r="D25" s="793"/>
      <c r="E25" s="793"/>
      <c r="F25" s="793"/>
      <c r="G25" s="821"/>
      <c r="H25" s="1036"/>
      <c r="I25" s="821" t="s">
        <v>118</v>
      </c>
      <c r="J25" s="1036"/>
      <c r="K25" s="701"/>
      <c r="U25" s="959"/>
      <c r="V25" s="1042">
        <v>1</v>
      </c>
    </row>
    <row customHeight="1" ht="15.75">
      <c r="C26" s="460"/>
      <c r="D26" s="995"/>
      <c r="E26" s="2651" t="s">
        <v>106</v>
      </c>
      <c r="F26" s="2652"/>
      <c r="G26" s="2679" t="str">
        <f>IF(G25="","",INDEX(DIFFERENTIATION_UNMERGE_VD,MATCH(G25,DIFFERENTIATION_ID_DIFF,0)))</f>
        <v/>
      </c>
      <c r="H26" s="2680"/>
      <c r="I26" s="2679">
        <f>IF(I25="","",INDEX(DIFFERENTIATION_UNMERGE_VD,MATCH(I25,DIFFERENTIATION_ID_DIFF,0)))</f>
        <v>0</v>
      </c>
      <c r="J26" s="2680"/>
      <c r="K26" s="2459" t="s">
        <v>306</v>
      </c>
      <c r="V26" s="789">
        <v>15</v>
      </c>
    </row>
    <row s="14077" customFormat="1" customHeight="1" ht="15.75">
      <c r="A27" s="1043"/>
      <c r="C27" s="460"/>
      <c r="D27" s="995"/>
      <c r="E27" s="2651" t="s">
        <v>572</v>
      </c>
      <c r="F27" s="2652"/>
      <c r="G27" s="2679" t="str">
        <f>IF(G25="","",INDEX(DIFFERENTIATION_UNMERGE_AREA,MATCH(G25,DIFFERENTIATION_ID_DIFF,0)))</f>
        <v/>
      </c>
      <c r="H27" s="2680"/>
      <c r="I27" s="2679" t="str">
        <f>IF(I25="","",INDEX(DIFFERENTIATION_UNMERGE_AREA,MATCH(I25,DIFFERENTIATION_ID_DIFF,0)))</f>
        <v/>
      </c>
      <c r="J27" s="2680"/>
      <c r="K27" s="2479"/>
      <c r="U27" s="959"/>
      <c r="V27" s="1042">
        <v>15</v>
      </c>
    </row>
    <row s="14077" customFormat="1" customHeight="1" ht="15.75">
      <c r="A28" s="1043"/>
      <c r="C28" s="460"/>
      <c r="D28" s="995"/>
      <c r="E28" s="2651" t="s">
        <v>573</v>
      </c>
      <c r="F28" s="2652"/>
      <c r="G28" s="2679" t="str">
        <f>IF(G25="","",INDEX(DIFFERENTIATION_UNMERGE_SYSTEM,MATCH(G25,DIFFERENTIATION_ID_DIFF,0)))</f>
        <v/>
      </c>
      <c r="H28" s="2680"/>
      <c r="I28" s="2679" t="str">
        <f>IF(I25="","",INDEX(DIFFERENTIATION_UNMERGE_SYSTEM,MATCH(I25,DIFFERENTIATION_ID_DIFF,0)))</f>
        <v>без дифференциации</v>
      </c>
      <c r="J28" s="2680"/>
      <c r="K28" s="2479"/>
      <c r="U28" s="959"/>
      <c r="V28" s="1042">
        <v>15</v>
      </c>
    </row>
    <row s="14077" customFormat="1" customHeight="1" ht="15.75">
      <c r="A29" s="1043"/>
      <c r="C29" s="460"/>
      <c r="D29" s="2653" t="s">
        <v>305</v>
      </c>
      <c r="E29" s="2654"/>
      <c r="F29" s="2654"/>
      <c r="G29" s="1171"/>
      <c r="H29" s="1171"/>
      <c r="I29" s="1171"/>
      <c r="J29" s="1172"/>
      <c r="K29" s="2479"/>
      <c r="U29" s="959"/>
      <c r="V29" s="1042">
        <v>15</v>
      </c>
    </row>
    <row customHeight="1" ht="35.699999999999996">
      <c r="C30" s="460"/>
      <c r="D30" s="1045" t="s">
        <v>89</v>
      </c>
      <c r="E30" s="1044" t="s">
        <v>307</v>
      </c>
      <c r="F30" s="1044" t="s">
        <v>574</v>
      </c>
      <c r="G30" s="1092" t="s">
        <v>308</v>
      </c>
      <c r="H30" s="1091" t="s">
        <v>395</v>
      </c>
      <c r="I30" s="968" t="s">
        <v>308</v>
      </c>
      <c r="J30" s="749" t="s">
        <v>395</v>
      </c>
      <c r="K30" s="2485"/>
      <c r="V30" s="789">
        <v>34</v>
      </c>
    </row>
    <row customHeight="1" ht="15" hidden="1">
      <c r="C31" s="460"/>
      <c r="D31" s="877"/>
      <c r="E31" s="877"/>
      <c r="F31" s="877"/>
      <c r="G31" s="943"/>
      <c r="H31" s="943"/>
      <c r="I31" s="943"/>
      <c r="J31" s="943"/>
      <c r="K31" s="573"/>
      <c r="V31" s="789">
        <v>0</v>
      </c>
    </row>
    <row customHeight="1" ht="24">
      <c r="A32" s="789"/>
      <c r="B32" s="789" t="s">
        <v>958</v>
      </c>
      <c r="C32" s="810"/>
      <c r="D32" s="976">
        <v>1</v>
      </c>
      <c r="E32" s="977" t="s">
        <v>959</v>
      </c>
      <c r="F32" s="975" t="s">
        <v>311</v>
      </c>
      <c r="G32" s="1097" t="s">
        <v>311</v>
      </c>
      <c r="H32" s="1097" t="s">
        <v>311</v>
      </c>
      <c r="I32" s="975" t="s">
        <v>311</v>
      </c>
      <c r="J32" s="975" t="s">
        <v>311</v>
      </c>
      <c r="K32" s="573"/>
      <c r="V32" s="789">
        <v>23</v>
      </c>
    </row>
    <row customHeight="1" ht="11.549999999999999">
      <c r="A33" s="789"/>
      <c r="C33" s="789"/>
      <c r="D33" s="631"/>
      <c r="E33" s="864" t="s">
        <v>594</v>
      </c>
      <c r="F33" s="856"/>
      <c r="G33" s="856"/>
      <c r="H33" s="856"/>
      <c r="I33" s="856"/>
      <c r="J33" s="856"/>
      <c r="K33" s="857"/>
      <c r="U33" s="789"/>
      <c r="V33" s="789">
        <v>11</v>
      </c>
    </row>
    <row customHeight="1" ht="24">
      <c r="A34" s="789"/>
      <c r="B34" s="865" t="s">
        <v>644</v>
      </c>
      <c r="C34" s="810"/>
      <c r="D34" s="976">
        <v>2</v>
      </c>
      <c r="E34" s="977" t="s">
        <v>960</v>
      </c>
      <c r="F34" s="1104" t="s">
        <v>311</v>
      </c>
      <c r="G34" s="1104" t="s">
        <v>311</v>
      </c>
      <c r="H34" s="1104" t="s">
        <v>311</v>
      </c>
      <c r="I34" s="975"/>
      <c r="J34" s="975"/>
      <c r="K34" s="573"/>
      <c r="V34" s="789">
        <v>23</v>
      </c>
    </row>
    <row customHeight="1" ht="11.549999999999999">
      <c r="A35" s="789"/>
      <c r="C35" s="789"/>
      <c r="D35" s="631"/>
      <c r="E35" s="864" t="s">
        <v>961</v>
      </c>
      <c r="F35" s="856"/>
      <c r="G35" s="978"/>
      <c r="H35" s="856"/>
      <c r="I35" s="978"/>
      <c r="J35" s="856"/>
      <c r="K35" s="857"/>
      <c r="U35" s="789"/>
      <c r="V35" s="789">
        <v>11</v>
      </c>
    </row>
    <row customHeight="1" ht="71.25">
      <c r="A36" s="789"/>
      <c r="B36" s="789" t="s">
        <v>962</v>
      </c>
      <c r="C36" s="810"/>
      <c r="D36" s="976">
        <v>3</v>
      </c>
      <c r="E36" s="977" t="s">
        <v>963</v>
      </c>
      <c r="F36" s="979" t="s">
        <v>311</v>
      </c>
      <c r="G36" s="1098" t="s">
        <v>964</v>
      </c>
      <c r="H36" s="1097" t="s">
        <v>311</v>
      </c>
      <c r="I36" s="808" t="s">
        <v>964</v>
      </c>
      <c r="J36" s="975" t="s">
        <v>311</v>
      </c>
      <c r="K36" s="573" t="s">
        <v>965</v>
      </c>
      <c r="V36" s="789">
        <v>68</v>
      </c>
    </row>
    <row customHeight="1" ht="11.549999999999999">
      <c r="A37" s="789"/>
      <c r="C37" s="789"/>
      <c r="D37" s="631"/>
      <c r="E37" s="864" t="s">
        <v>966</v>
      </c>
      <c r="F37" s="856"/>
      <c r="G37" s="978"/>
      <c r="H37" s="978"/>
      <c r="I37" s="978"/>
      <c r="J37" s="978"/>
      <c r="K37" s="857"/>
      <c r="U37" s="789"/>
      <c r="V37" s="789">
        <v>11</v>
      </c>
    </row>
    <row customHeight="1" ht="71.25">
      <c r="A38" s="789"/>
      <c r="B38" s="789" t="s">
        <v>967</v>
      </c>
      <c r="C38" s="810"/>
      <c r="D38" s="976">
        <v>4</v>
      </c>
      <c r="E38" s="977" t="s">
        <v>968</v>
      </c>
      <c r="F38" s="979" t="s">
        <v>311</v>
      </c>
      <c r="G38" s="1098" t="s">
        <v>964</v>
      </c>
      <c r="H38" s="1099" t="s">
        <v>311</v>
      </c>
      <c r="I38" s="808" t="s">
        <v>964</v>
      </c>
      <c r="J38" s="805" t="s">
        <v>311</v>
      </c>
      <c r="K38" s="963" t="s">
        <v>969</v>
      </c>
      <c r="V38" s="789">
        <v>68</v>
      </c>
    </row>
    <row customHeight="1" ht="11.549999999999999">
      <c r="A39" s="789"/>
      <c r="C39" s="789"/>
      <c r="D39" s="631"/>
      <c r="E39" s="864" t="s">
        <v>970</v>
      </c>
      <c r="F39" s="856"/>
      <c r="G39" s="856"/>
      <c r="H39" s="980"/>
      <c r="I39" s="856"/>
      <c r="J39" s="980"/>
      <c r="K39" s="857"/>
      <c r="U39" s="789"/>
      <c r="V39" s="789">
        <v>11</v>
      </c>
    </row>
    <row customHeight="1" ht="22.5" hidden="1">
      <c r="A40" s="733" t="s">
        <v>83</v>
      </c>
      <c r="B40" s="789">
        <v>0</v>
      </c>
      <c r="C40" s="967">
        <v>4</v>
      </c>
      <c r="D40" s="789">
        <v>6</v>
      </c>
      <c r="E40" s="789">
        <v>36</v>
      </c>
      <c r="F40" s="789">
        <v>9</v>
      </c>
      <c r="G40" s="1042">
        <v>0</v>
      </c>
      <c r="H40" s="1042">
        <v>0</v>
      </c>
      <c r="I40" s="789">
        <v>25</v>
      </c>
      <c r="J40" s="789">
        <v>33</v>
      </c>
      <c r="K40" s="701">
        <v>93</v>
      </c>
      <c r="L40" s="789">
        <v>10</v>
      </c>
      <c r="M40" s="789">
        <v>10</v>
      </c>
      <c r="N40" s="789">
        <v>10</v>
      </c>
      <c r="O40" s="789">
        <v>10</v>
      </c>
      <c r="P40" s="789">
        <v>10</v>
      </c>
      <c r="Q40" s="789">
        <v>10</v>
      </c>
      <c r="R40" s="789">
        <v>10</v>
      </c>
      <c r="S40" s="789">
        <v>10</v>
      </c>
      <c r="T40" s="789">
        <v>10</v>
      </c>
      <c r="U40" s="959">
        <v>10</v>
      </c>
      <c r="V40" s="789">
        <v>23</v>
      </c>
    </row>
  </sheetData>
  <sheetProtection formatColumns="0" formatRows="0" autoFilter="0" sort="0" insertRows="0" insertColumns="1" deleteRows="0" deleteColumns="0"/>
  <mergeCells count="21">
    <mergeCell ref="B3:B4"/>
    <mergeCell ref="C3:C4"/>
    <mergeCell ref="B6:B7"/>
    <mergeCell ref="C6:C7"/>
    <mergeCell ref="B9:B11"/>
    <mergeCell ref="C9:C11"/>
    <mergeCell ref="B13:B14"/>
    <mergeCell ref="C13:C14"/>
    <mergeCell ref="D22:I22"/>
    <mergeCell ref="D23:I23"/>
    <mergeCell ref="I26:J26"/>
    <mergeCell ref="E26:F26"/>
    <mergeCell ref="G28:H28"/>
    <mergeCell ref="K26:K30"/>
    <mergeCell ref="E27:F27"/>
    <mergeCell ref="E28:F28"/>
    <mergeCell ref="I27:J27"/>
    <mergeCell ref="I28:J28"/>
    <mergeCell ref="G26:H26"/>
    <mergeCell ref="G27:H27"/>
    <mergeCell ref="D29:F29"/>
  </mergeCells>
  <dataValidations count="5">
    <dataValidation allowBlank="1" showInputMessage="1" showErrorMessage="1" prompt="Для выбора выполните двойной щелчок левой клавиши мыши по ячейке." sqref="I36 G38 I38 G36"/>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H6:H7 J6:J7 J9:J11 H9:H11 J13:J14 H13:H14">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dataValidation type="textLength" operator="lessThanOrEqual" allowBlank="1" showInputMessage="1" showErrorMessage="1" errorTitle="Ошибка" error="Допускается ввод не более 900 символов!" sqref="I3 I6 I9 I13 G6 G13 G9 G3">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FC57B37-D288-EECC-BFA8-EF94785B0FAA}" mc:Ignorable="x14ac xr xr2 xr3">
  <sheetPr>
    <tabColor theme="9" tint="-0.25"/>
  </sheetPr>
  <dimension ref="A1:AE16"/>
  <sheetViews>
    <sheetView topLeftCell="A1" showGridLines="0" zoomScale="85" workbookViewId="0">
      <selection activeCell="A1" sqref="A1"/>
    </sheetView>
  </sheetViews>
  <sheetFormatPr defaultColWidth="9.140625" customHeight="1" defaultRowHeight="10.5"/>
  <cols>
    <col min="1" max="3" style="15728" width="6.7109375" hidden="1" customWidth="1"/>
    <col min="4" max="4" style="14157" width="6.7109375" hidden="1" customWidth="1"/>
    <col min="5" max="5" style="14077" width="3.00390625" customWidth="1"/>
    <col min="6" max="6" style="14077" width="6.00390625" customWidth="1"/>
    <col min="7" max="7" style="14077" width="37.00390625" customWidth="1"/>
    <col min="8" max="8" style="14077" width="16.00390625" customWidth="1"/>
    <col min="9" max="10" style="14077" width="19.00390625" customWidth="1"/>
    <col min="11" max="11" style="14077" width="24.00390625" customWidth="1"/>
    <col min="12" max="13" style="14077" width="25.00390625" customWidth="1"/>
    <col min="14" max="16" style="14077" width="17.00390625" customWidth="1"/>
    <col min="17" max="24" style="14077" width="19.00390625" customWidth="1"/>
    <col min="25" max="25" style="14077" width="7.00390625" customWidth="1"/>
    <col min="26" max="26" style="14077" width="3.00390625" customWidth="1"/>
    <col min="27" max="27" style="14077" width="6.00390625" customWidth="1"/>
    <col min="28" max="28" style="14077" width="34.00390625" customWidth="1"/>
    <col min="29" max="30" style="14077" width="8.00390625" customWidth="1"/>
    <col min="31" max="31" style="14077" width="9.140625" hidden="1"/>
  </cols>
  <sheetData>
    <row s="14157" customFormat="1" customHeight="1" ht="10.5" hidden="1">
      <c r="A1" s="1179"/>
      <c r="B1" s="1179"/>
      <c r="C1" s="1179"/>
      <c r="E1" s="821"/>
      <c r="H1" s="1444"/>
      <c r="AE1" s="701" t="s">
        <v>14</v>
      </c>
    </row>
    <row customHeight="1" ht="10.5" hidden="1">
      <c r="AE2" s="1042">
        <v>0</v>
      </c>
    </row>
    <row s="14041" customFormat="1" customHeight="1" ht="10.5" hidden="1">
      <c r="A3" s="1179"/>
      <c r="B3" s="1179"/>
      <c r="C3" s="1179"/>
      <c r="D3" s="701"/>
      <c r="E3" s="646"/>
      <c r="G3" s="1916" t="s">
        <v>971</v>
      </c>
      <c r="H3" s="1440"/>
      <c r="AE3" s="1043">
        <v>0</v>
      </c>
    </row>
    <row customHeight="1" ht="3">
      <c r="AE4" s="1042">
        <v>3</v>
      </c>
    </row>
    <row customHeight="1" ht="27.299999999999997">
      <c r="F5" s="2532"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532"/>
      <c r="H5" s="2532"/>
      <c r="I5" s="2532"/>
      <c r="J5" s="2532"/>
      <c r="K5" s="2532"/>
      <c r="M5" s="866"/>
      <c r="AB5" s="1190"/>
      <c r="AE5" s="1042">
        <v>26</v>
      </c>
    </row>
    <row s="14077" customFormat="1" customHeight="1" ht="16.8">
      <c r="A6" s="1450"/>
      <c r="B6" s="1450"/>
      <c r="C6" s="1450"/>
      <c r="D6" s="1444"/>
      <c r="E6" s="1919"/>
      <c r="F6" s="2533" t="str">
        <f>IF(org=0,"Не определено",org)</f>
        <v>МУП г. Азова "Теплоэнерго"</v>
      </c>
      <c r="G6" s="2533"/>
      <c r="H6" s="2533"/>
      <c r="I6" s="2533"/>
      <c r="J6" s="2533"/>
      <c r="K6" s="2533"/>
      <c r="M6" s="866"/>
      <c r="AB6" s="1432"/>
      <c r="AE6" s="1915">
        <v>16</v>
      </c>
    </row>
    <row customHeight="1" ht="10.5">
      <c r="AE7" s="1042">
        <v>10</v>
      </c>
    </row>
    <row customHeight="1" ht="10.5">
      <c r="A8" s="1335"/>
      <c r="B8" s="1335"/>
      <c r="C8" s="1335"/>
      <c r="F8" s="2385" t="s">
        <v>305</v>
      </c>
      <c r="G8" s="2386"/>
      <c r="H8" s="2386"/>
      <c r="I8" s="2386"/>
      <c r="J8" s="2386"/>
      <c r="K8" s="2386"/>
      <c r="L8" s="2386"/>
      <c r="M8" s="2386"/>
      <c r="N8" s="2386"/>
      <c r="O8" s="2386"/>
      <c r="P8" s="2386"/>
      <c r="Q8" s="2386"/>
      <c r="R8" s="2386"/>
      <c r="S8" s="2386"/>
      <c r="T8" s="2386"/>
      <c r="U8" s="2386"/>
      <c r="V8" s="2386"/>
      <c r="W8" s="2386"/>
      <c r="X8" s="2386"/>
      <c r="Y8" s="2386"/>
      <c r="Z8" s="2386"/>
      <c r="AA8" s="2386"/>
      <c r="AB8" s="2387"/>
      <c r="AE8" s="1042">
        <v>10</v>
      </c>
    </row>
    <row customHeight="1" ht="43.050000000000004">
      <c r="A9" s="1189"/>
      <c r="B9" s="1189"/>
      <c r="C9" s="1189"/>
      <c r="F9" s="2411" t="s">
        <v>89</v>
      </c>
      <c r="G9" s="2411" t="s">
        <v>971</v>
      </c>
      <c r="H9" s="2459" t="s">
        <v>972</v>
      </c>
      <c r="I9" s="2411" t="s">
        <v>973</v>
      </c>
      <c r="J9" s="2411" t="s">
        <v>974</v>
      </c>
      <c r="K9" s="2411" t="s">
        <v>975</v>
      </c>
      <c r="L9" s="2411" t="s">
        <v>976</v>
      </c>
      <c r="M9" s="2411" t="s">
        <v>977</v>
      </c>
      <c r="N9" s="2493" t="s">
        <v>978</v>
      </c>
      <c r="O9" s="2493"/>
      <c r="P9" s="2493"/>
      <c r="Q9" s="2683" t="s">
        <v>979</v>
      </c>
      <c r="R9" s="2684"/>
      <c r="S9" s="2684"/>
      <c r="T9" s="2685"/>
      <c r="U9" s="2683" t="s">
        <v>980</v>
      </c>
      <c r="V9" s="2684"/>
      <c r="W9" s="2684"/>
      <c r="X9" s="2685"/>
      <c r="Y9" s="2385" t="s">
        <v>981</v>
      </c>
      <c r="Z9" s="2386"/>
      <c r="AA9" s="2386"/>
      <c r="AB9" s="2387"/>
      <c r="AE9" s="1042">
        <v>41</v>
      </c>
    </row>
    <row customHeight="1" ht="43.050000000000004">
      <c r="A10" s="1189"/>
      <c r="B10" s="1189"/>
      <c r="C10" s="1189"/>
      <c r="F10" s="2459"/>
      <c r="G10" s="2459"/>
      <c r="H10" s="2516"/>
      <c r="I10" s="2459"/>
      <c r="J10" s="2459"/>
      <c r="K10" s="2459"/>
      <c r="L10" s="2459"/>
      <c r="M10" s="2459"/>
      <c r="N10" s="1187" t="s">
        <v>982</v>
      </c>
      <c r="O10" s="1187" t="s">
        <v>983</v>
      </c>
      <c r="P10" s="1188" t="s">
        <v>984</v>
      </c>
      <c r="Q10" s="1199" t="s">
        <v>90</v>
      </c>
      <c r="R10" s="1199" t="s">
        <v>985</v>
      </c>
      <c r="S10" s="1199" t="s">
        <v>986</v>
      </c>
      <c r="T10" s="1200" t="s">
        <v>987</v>
      </c>
      <c r="U10" s="1199" t="s">
        <v>90</v>
      </c>
      <c r="V10" s="1199" t="s">
        <v>988</v>
      </c>
      <c r="W10" s="1199" t="s">
        <v>986</v>
      </c>
      <c r="X10" s="1200" t="s">
        <v>987</v>
      </c>
      <c r="Y10" s="585" t="s">
        <v>989</v>
      </c>
      <c r="Z10" s="2385" t="s">
        <v>89</v>
      </c>
      <c r="AA10" s="2387"/>
      <c r="AB10" s="1333" t="s">
        <v>990</v>
      </c>
      <c r="AE10" s="1042">
        <v>41</v>
      </c>
    </row>
    <row s="14158" customFormat="1" customHeight="1" ht="5.25" hidden="1">
      <c r="A11" s="1336"/>
      <c r="B11" s="1336"/>
      <c r="C11" s="1336"/>
      <c r="E11" s="1334"/>
      <c r="F11" s="2690" t="s">
        <v>381</v>
      </c>
      <c r="G11" s="2687"/>
      <c r="H11" s="2686"/>
      <c r="I11" s="2686"/>
      <c r="J11" s="2686"/>
      <c r="K11" s="2688"/>
      <c r="L11" s="2688"/>
      <c r="M11" s="2688"/>
      <c r="N11" s="2686"/>
      <c r="O11" s="2686"/>
      <c r="P11" s="2411"/>
      <c r="Q11" s="2463"/>
      <c r="R11" s="2463"/>
      <c r="S11" s="2463"/>
      <c r="T11" s="2686"/>
      <c r="U11" s="2463"/>
      <c r="V11" s="2463"/>
      <c r="W11" s="2463"/>
      <c r="X11" s="2686"/>
      <c r="Y11" s="2392"/>
      <c r="Z11" s="2392"/>
      <c r="AA11" s="2392"/>
      <c r="AB11" s="2392"/>
      <c r="AD11" s="795" t="s">
        <v>991</v>
      </c>
      <c r="AE11" s="795">
        <v>0</v>
      </c>
    </row>
    <row s="14158" customFormat="1" customHeight="1" ht="5.25" hidden="1">
      <c r="A12" s="1180"/>
      <c r="B12" s="1180"/>
      <c r="C12" s="1180"/>
      <c r="E12" s="802"/>
      <c r="F12" s="2690"/>
      <c r="G12" s="2687"/>
      <c r="H12" s="2686"/>
      <c r="I12" s="2686"/>
      <c r="J12" s="2686"/>
      <c r="K12" s="2688"/>
      <c r="L12" s="2688"/>
      <c r="M12" s="2688"/>
      <c r="N12" s="2686"/>
      <c r="O12" s="2686"/>
      <c r="P12" s="2411"/>
      <c r="Q12" s="2463"/>
      <c r="R12" s="2463"/>
      <c r="S12" s="2463"/>
      <c r="T12" s="2686"/>
      <c r="U12" s="2463"/>
      <c r="V12" s="2463"/>
      <c r="W12" s="2463"/>
      <c r="X12" s="2686"/>
      <c r="Y12" s="2689"/>
      <c r="Z12" s="2689"/>
      <c r="AA12" s="2689"/>
      <c r="AB12" s="2689"/>
      <c r="AE12" s="795">
        <v>0</v>
      </c>
    </row>
    <row customHeight="1" ht="10.5">
      <c r="F13" s="1186"/>
      <c r="G13" s="934" t="s">
        <v>992</v>
      </c>
      <c r="H13" s="1452"/>
      <c r="I13" s="856"/>
      <c r="J13" s="856"/>
      <c r="K13" s="856"/>
      <c r="L13" s="856"/>
      <c r="M13" s="856"/>
      <c r="N13" s="856"/>
      <c r="O13" s="856"/>
      <c r="P13" s="856"/>
      <c r="Q13" s="856"/>
      <c r="R13" s="856"/>
      <c r="S13" s="856"/>
      <c r="T13" s="856"/>
      <c r="U13" s="856"/>
      <c r="V13" s="856"/>
      <c r="W13" s="856"/>
      <c r="X13" s="856"/>
      <c r="Y13" s="856"/>
      <c r="Z13" s="980"/>
      <c r="AA13" s="980"/>
      <c r="AB13" s="1201"/>
      <c r="AE13" s="1042">
        <v>10</v>
      </c>
    </row>
    <row customHeight="1" ht="10.5">
      <c r="AE14" s="1042">
        <v>10</v>
      </c>
    </row>
    <row s="14158" customFormat="1" customHeight="1" ht="10.5">
      <c r="A15" s="1451"/>
      <c r="B15" s="1451"/>
      <c r="C15" s="1451"/>
      <c r="E15" s="802"/>
      <c r="H15" s="795">
        <f>_xlfn.IFERROR(MATCH("нет",IP_MAIN_DIFFERENTIATION_EVENTS_FLAG,0),0)</f>
        <v>0</v>
      </c>
      <c r="AE15" s="795">
        <v>10</v>
      </c>
    </row>
    <row customHeight="1" ht="10.5" hidden="1">
      <c r="A16" s="1179" t="s">
        <v>83</v>
      </c>
      <c r="B16" s="1179">
        <v>0</v>
      </c>
      <c r="C16" s="1179">
        <v>0</v>
      </c>
      <c r="D16" s="701">
        <v>0</v>
      </c>
      <c r="E16" s="793">
        <v>3</v>
      </c>
      <c r="F16" s="1042">
        <v>6</v>
      </c>
      <c r="G16" s="1042">
        <v>37</v>
      </c>
      <c r="H16" s="1439">
        <v>16</v>
      </c>
      <c r="I16" s="1042">
        <v>19</v>
      </c>
      <c r="J16" s="1042">
        <v>19</v>
      </c>
      <c r="K16" s="1042">
        <v>24</v>
      </c>
      <c r="L16" s="1042">
        <v>25</v>
      </c>
      <c r="M16" s="1042">
        <v>25</v>
      </c>
      <c r="N16" s="1042">
        <v>17</v>
      </c>
      <c r="O16" s="1042">
        <v>17</v>
      </c>
      <c r="P16" s="1042">
        <v>17</v>
      </c>
      <c r="Q16" s="1042">
        <v>19</v>
      </c>
      <c r="R16" s="1042">
        <v>19</v>
      </c>
      <c r="S16" s="1042">
        <v>19</v>
      </c>
      <c r="T16" s="1042">
        <v>19</v>
      </c>
      <c r="U16" s="1042">
        <v>19</v>
      </c>
      <c r="V16" s="1042">
        <v>19</v>
      </c>
      <c r="W16" s="1042">
        <v>19</v>
      </c>
      <c r="X16" s="1042">
        <v>19</v>
      </c>
      <c r="Y16" s="1042">
        <v>7</v>
      </c>
      <c r="Z16" s="1042">
        <v>3</v>
      </c>
      <c r="AA16" s="1042">
        <v>6</v>
      </c>
      <c r="AB16" s="1042">
        <v>34</v>
      </c>
      <c r="AC16" s="1042">
        <v>8</v>
      </c>
      <c r="AD16" s="1042">
        <v>8</v>
      </c>
      <c r="AE16" s="1042">
        <v>10</v>
      </c>
    </row>
  </sheetData>
  <sheetProtection formatColumns="0" formatRows="0" autoFilter="0" sort="0" insertRows="0" insertColumns="1" deleteRows="0" deleteColumns="0"/>
  <mergeCells count="39">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 ref="J9:J10"/>
    <mergeCell ref="K11:K12"/>
    <mergeCell ref="Z11:Z12"/>
    <mergeCell ref="Y9:AB9"/>
    <mergeCell ref="AB11:AB12"/>
    <mergeCell ref="Z10:AA10"/>
    <mergeCell ref="AA11:AA12"/>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4C23638-2908-3DC1-7478-5517AAB69A89}" mc:Ignorable="x14ac xr xr2 xr3">
  <sheetPr>
    <tabColor theme="9" tint="-0.25"/>
  </sheetPr>
  <dimension ref="A1:BG20"/>
  <sheetViews>
    <sheetView topLeftCell="A1" showGridLines="0" zoomScale="90" workbookViewId="0">
      <selection activeCell="A1" sqref="A1"/>
    </sheetView>
  </sheetViews>
  <sheetFormatPr defaultColWidth="9.140625" customHeight="1" defaultRowHeight="10.5"/>
  <cols>
    <col min="1" max="3" style="15728" width="4.140625" hidden="1" customWidth="1"/>
    <col min="4" max="4" style="14157" width="4.140625" hidden="1" customWidth="1"/>
    <col min="5" max="5" style="14077" width="3.00390625" customWidth="1"/>
    <col min="6" max="6" style="14077" width="14.00390625" customWidth="1"/>
    <col min="7" max="7" style="14077" width="3.00390625" customWidth="1"/>
    <col min="8" max="8" style="14077" width="7.00390625" customWidth="1"/>
    <col min="9" max="10" style="14077" width="16.00390625" customWidth="1"/>
    <col min="11" max="11" style="14077" width="25.00390625" customWidth="1"/>
    <col min="12" max="12" style="14077" width="7.00390625" customWidth="1"/>
    <col min="13" max="13" style="14077" width="15.00390625" customWidth="1"/>
    <col min="14" max="14" style="14077" width="3.00390625" customWidth="1"/>
    <col min="15" max="15" style="14077" width="4.00390625" customWidth="1"/>
    <col min="16" max="16" style="14077" width="8.00390625" customWidth="1"/>
    <col min="17" max="17" style="14077" width="21.00390625" customWidth="1"/>
    <col min="18" max="18" style="14077" width="14.00390625" customWidth="1"/>
    <col min="19" max="20" style="14077" width="17.00390625" customWidth="1"/>
    <col min="21" max="21" style="14077" width="9.00390625" customWidth="1"/>
    <col min="22" max="22" style="14077" width="12.00390625" customWidth="1"/>
    <col min="23" max="23" style="14077" width="9.00390625" customWidth="1"/>
    <col min="24" max="24" style="14077" width="21.00390625" customWidth="1"/>
    <col min="25" max="25" style="14077" width="12.00390625" customWidth="1"/>
    <col min="26" max="26" style="14077" width="3.00390625" customWidth="1"/>
    <col min="27" max="27" style="14077" width="6.00390625" customWidth="1"/>
    <col min="28" max="28" style="14077" width="38.00390625" customWidth="1"/>
    <col min="29" max="29" style="14077" width="15.00390625" customWidth="1"/>
    <col min="30" max="30" style="14077" width="37.57421875" hidden="1" customWidth="1"/>
    <col min="31" max="31" style="14077" width="15.7109375" hidden="1" customWidth="1"/>
    <col min="32" max="34" style="14077" width="16.00390625" customWidth="1"/>
    <col min="35" max="37" style="14077" width="16.7109375" hidden="1" customWidth="1"/>
    <col min="38" max="58" style="14077" width="8.00390625" customWidth="1"/>
    <col min="59" max="59" style="14077" width="9.140625" hidden="1"/>
  </cols>
  <sheetData>
    <row s="14157" customFormat="1" customHeight="1" ht="10.5" hidden="1">
      <c r="A1" s="1179"/>
      <c r="B1" s="1179"/>
      <c r="C1" s="1179"/>
      <c r="E1" s="821"/>
      <c r="H1" s="1444"/>
      <c r="L1" s="1412"/>
      <c r="M1" s="1412"/>
      <c r="AD1" s="1412"/>
      <c r="AH1" s="1431"/>
      <c r="AI1" s="1424"/>
      <c r="BG1" s="701" t="s">
        <v>14</v>
      </c>
    </row>
    <row customHeight="1" ht="10.5" hidden="1">
      <c r="BG2" s="1042">
        <v>0</v>
      </c>
    </row>
    <row s="14041" customFormat="1" customHeight="1" ht="10.5" hidden="1">
      <c r="A3" s="1179"/>
      <c r="B3" s="1179"/>
      <c r="C3" s="1179"/>
      <c r="D3" s="701"/>
      <c r="E3" s="646"/>
      <c r="H3" s="1440"/>
      <c r="L3" s="1410"/>
      <c r="M3" s="1410"/>
      <c r="AD3" s="1410"/>
      <c r="AH3" s="1429"/>
      <c r="AI3" s="1422"/>
      <c r="BG3" s="1043">
        <v>0</v>
      </c>
    </row>
    <row customHeight="1" ht="3">
      <c r="BG4" s="1042">
        <v>3</v>
      </c>
    </row>
    <row customHeight="1" ht="27.299999999999997">
      <c r="F5" s="2532"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532"/>
      <c r="H5" s="2532"/>
      <c r="I5" s="2532"/>
      <c r="J5" s="2532"/>
      <c r="K5" s="2532"/>
      <c r="L5" s="1419"/>
      <c r="M5" s="1419"/>
      <c r="AG5" s="1190"/>
      <c r="AH5" s="1432"/>
      <c r="BG5" s="1042">
        <v>26</v>
      </c>
    </row>
    <row customHeight="1" ht="10.5">
      <c r="F6" s="2460" t="str">
        <f>IF(org=0,"Не определено",org)</f>
        <v>МУП г. Азова "Теплоэнерго"</v>
      </c>
      <c r="G6" s="2460"/>
      <c r="H6" s="2460"/>
      <c r="I6" s="2460"/>
      <c r="J6" s="2460"/>
      <c r="K6" s="2460"/>
      <c r="L6" s="1420"/>
      <c r="M6" s="1420"/>
      <c r="BG6" s="1042">
        <v>10</v>
      </c>
    </row>
    <row customHeight="1" ht="11.549999999999999">
      <c r="E7" s="1192"/>
      <c r="F7" s="1203"/>
      <c r="G7" s="1203"/>
      <c r="H7" s="1468"/>
      <c r="I7" s="1203"/>
      <c r="J7" s="1203"/>
      <c r="K7" s="1205"/>
      <c r="L7" s="1417"/>
      <c r="M7" s="1417"/>
      <c r="N7" s="1203"/>
      <c r="O7" s="1203"/>
      <c r="P7" s="1203"/>
      <c r="Q7" s="1205"/>
      <c r="R7" s="1203"/>
      <c r="S7" s="1203"/>
      <c r="T7" s="1203"/>
      <c r="U7" s="1203"/>
      <c r="V7" s="1203"/>
      <c r="W7" s="1203"/>
      <c r="X7" s="1203"/>
      <c r="Y7" s="1203"/>
      <c r="Z7" s="1203"/>
      <c r="AA7" s="1203"/>
      <c r="AB7" s="1203"/>
      <c r="AC7" s="1204"/>
      <c r="AD7" s="1416"/>
      <c r="AE7" s="1204"/>
      <c r="AF7" s="1203"/>
      <c r="AG7" s="1203"/>
      <c r="AH7" s="1434"/>
      <c r="AI7" s="1427"/>
      <c r="AJ7" s="1203"/>
      <c r="AK7" s="1203"/>
      <c r="AL7" s="1194"/>
      <c r="AM7" s="1194"/>
      <c r="AN7" s="1194"/>
      <c r="AO7" s="1191"/>
      <c r="AP7" s="1191"/>
      <c r="AQ7" s="1191"/>
      <c r="AR7" s="1191"/>
      <c r="AS7" s="1191"/>
      <c r="AT7" s="1191"/>
      <c r="AU7" s="1191"/>
      <c r="AV7" s="1191"/>
      <c r="AW7" s="1191"/>
      <c r="AX7" s="1191"/>
      <c r="AY7" s="1191"/>
      <c r="AZ7" s="1191"/>
      <c r="BA7" s="1191"/>
      <c r="BB7" s="1191"/>
      <c r="BC7" s="1191"/>
      <c r="BD7" s="1191"/>
      <c r="BE7" s="1191"/>
      <c r="BF7" s="1191"/>
      <c r="BG7" s="1042">
        <v>11</v>
      </c>
    </row>
    <row customHeight="1" ht="10.5">
      <c r="E8" s="1192"/>
      <c r="F8" s="2699" t="s">
        <v>305</v>
      </c>
      <c r="G8" s="2700"/>
      <c r="H8" s="2700"/>
      <c r="I8" s="2700"/>
      <c r="J8" s="2700"/>
      <c r="K8" s="2700"/>
      <c r="L8" s="2700"/>
      <c r="M8" s="2700"/>
      <c r="N8" s="2700"/>
      <c r="O8" s="2700"/>
      <c r="P8" s="2700"/>
      <c r="Q8" s="2700"/>
      <c r="R8" s="2700"/>
      <c r="S8" s="2700"/>
      <c r="T8" s="2700"/>
      <c r="U8" s="2700"/>
      <c r="V8" s="2700"/>
      <c r="W8" s="2700"/>
      <c r="X8" s="2700"/>
      <c r="Y8" s="2700"/>
      <c r="Z8" s="2700"/>
      <c r="AA8" s="2700"/>
      <c r="AB8" s="2700"/>
      <c r="AC8" s="2700"/>
      <c r="AD8" s="2700"/>
      <c r="AE8" s="2700"/>
      <c r="AF8" s="2700"/>
      <c r="AG8" s="2700"/>
      <c r="AH8" s="2700"/>
      <c r="AI8" s="2700"/>
      <c r="AJ8" s="2700"/>
      <c r="AK8" s="2701"/>
      <c r="AL8" s="1193"/>
      <c r="AM8" s="1191"/>
      <c r="AN8" s="1191"/>
      <c r="AO8" s="1191"/>
      <c r="AP8" s="1191"/>
      <c r="AQ8" s="1191"/>
      <c r="AR8" s="1191"/>
      <c r="AS8" s="1191"/>
      <c r="AT8" s="1191"/>
      <c r="AU8" s="1191"/>
      <c r="AV8" s="1191"/>
      <c r="AW8" s="1191"/>
      <c r="AX8" s="1191"/>
      <c r="AY8" s="1191"/>
      <c r="AZ8" s="1191"/>
      <c r="BA8" s="1191"/>
      <c r="BB8" s="1191"/>
      <c r="BC8" s="1191"/>
      <c r="BD8" s="1191"/>
      <c r="BE8" s="1191"/>
      <c r="BF8" s="1191"/>
      <c r="BG8" s="1042">
        <v>10</v>
      </c>
    </row>
    <row customHeight="1" ht="24">
      <c r="A9" s="1189"/>
      <c r="B9" s="1189"/>
      <c r="C9" s="1189"/>
      <c r="E9" s="1192"/>
      <c r="F9" s="2692" t="s">
        <v>993</v>
      </c>
      <c r="G9" s="2693" t="s">
        <v>994</v>
      </c>
      <c r="H9" s="2694"/>
      <c r="I9" s="2411" t="s">
        <v>995</v>
      </c>
      <c r="J9" s="2411"/>
      <c r="K9" s="2411" t="s">
        <v>996</v>
      </c>
      <c r="L9" s="2411"/>
      <c r="M9" s="2411"/>
      <c r="N9" s="2411"/>
      <c r="O9" s="2411"/>
      <c r="P9" s="2411"/>
      <c r="Q9" s="2411"/>
      <c r="R9" s="2411"/>
      <c r="S9" s="2411"/>
      <c r="T9" s="2411"/>
      <c r="U9" s="2411"/>
      <c r="V9" s="2411"/>
      <c r="W9" s="2411"/>
      <c r="X9" s="2411"/>
      <c r="Y9" s="2411"/>
      <c r="Z9" s="2476" t="s">
        <v>997</v>
      </c>
      <c r="AA9" s="2477"/>
      <c r="AB9" s="2411" t="s">
        <v>998</v>
      </c>
      <c r="AC9" s="2411"/>
      <c r="AD9" s="2411"/>
      <c r="AE9" s="2411"/>
      <c r="AF9" s="2459" t="s">
        <v>999</v>
      </c>
      <c r="AG9" s="2411" t="s">
        <v>1000</v>
      </c>
      <c r="AH9" s="2411"/>
      <c r="AI9" s="2459" t="s">
        <v>1001</v>
      </c>
      <c r="AJ9" s="2411" t="s">
        <v>1002</v>
      </c>
      <c r="AK9" s="2411"/>
      <c r="AL9" s="1426"/>
      <c r="AM9" s="1191"/>
      <c r="AN9" s="1191"/>
      <c r="AO9" s="1191"/>
      <c r="AP9" s="1191"/>
      <c r="AQ9" s="1191"/>
      <c r="AR9" s="1191"/>
      <c r="AS9" s="1191"/>
      <c r="AT9" s="1191"/>
      <c r="AU9" s="1191"/>
      <c r="AV9" s="1191"/>
      <c r="AW9" s="1191"/>
      <c r="AX9" s="1191"/>
      <c r="AY9" s="1191"/>
      <c r="AZ9" s="1191"/>
      <c r="BA9" s="1191"/>
      <c r="BB9" s="1191"/>
      <c r="BC9" s="1191"/>
      <c r="BD9" s="1191"/>
      <c r="BE9" s="1191"/>
      <c r="BF9" s="1191"/>
      <c r="BG9" s="1042">
        <v>23</v>
      </c>
    </row>
    <row customHeight="1" ht="25.2">
      <c r="A10" s="1189"/>
      <c r="B10" s="1189"/>
      <c r="C10" s="1189"/>
      <c r="E10" s="1196"/>
      <c r="F10" s="2692"/>
      <c r="G10" s="2695"/>
      <c r="H10" s="2696"/>
      <c r="I10" s="2411"/>
      <c r="J10" s="2411"/>
      <c r="K10" s="2411" t="s">
        <v>1003</v>
      </c>
      <c r="L10" s="2385" t="s">
        <v>1004</v>
      </c>
      <c r="M10" s="2387"/>
      <c r="N10" s="2411" t="s">
        <v>1005</v>
      </c>
      <c r="O10" s="2411"/>
      <c r="P10" s="2411"/>
      <c r="Q10" s="2411"/>
      <c r="R10" s="2411"/>
      <c r="S10" s="2411"/>
      <c r="T10" s="2411"/>
      <c r="U10" s="2411"/>
      <c r="V10" s="2411"/>
      <c r="W10" s="2411"/>
      <c r="X10" s="2411"/>
      <c r="Y10" s="2411"/>
      <c r="Z10" s="2478"/>
      <c r="AA10" s="2479"/>
      <c r="AB10" s="2411"/>
      <c r="AC10" s="2411"/>
      <c r="AD10" s="2411"/>
      <c r="AE10" s="2411"/>
      <c r="AF10" s="2483"/>
      <c r="AG10" s="2411"/>
      <c r="AH10" s="2411"/>
      <c r="AI10" s="2483"/>
      <c r="AJ10" s="2411"/>
      <c r="AK10" s="2411"/>
      <c r="AL10" s="1426"/>
      <c r="AM10" s="1197"/>
      <c r="AN10" s="1197"/>
      <c r="AO10" s="1197"/>
      <c r="AP10" s="1197"/>
      <c r="AQ10" s="1197"/>
      <c r="AR10" s="1197"/>
      <c r="AS10" s="1197"/>
      <c r="AT10" s="1197"/>
      <c r="AU10" s="1197"/>
      <c r="AV10" s="1197"/>
      <c r="AW10" s="1197"/>
      <c r="AX10" s="1197"/>
      <c r="AY10" s="1197"/>
      <c r="AZ10" s="1197"/>
      <c r="BA10" s="1197"/>
      <c r="BB10" s="1197"/>
      <c r="BC10" s="1197"/>
      <c r="BD10" s="1197"/>
      <c r="BE10" s="1197"/>
      <c r="BF10" s="1197"/>
      <c r="BG10" s="1042">
        <v>24</v>
      </c>
    </row>
    <row s="14077" customFormat="1" customHeight="1" ht="25.2">
      <c r="A11" s="1413"/>
      <c r="B11" s="1413"/>
      <c r="C11" s="1413"/>
      <c r="D11" s="1412"/>
      <c r="E11" s="1414"/>
      <c r="F11" s="2692"/>
      <c r="G11" s="2695"/>
      <c r="H11" s="2696"/>
      <c r="I11" s="2411"/>
      <c r="J11" s="2411"/>
      <c r="K11" s="2411"/>
      <c r="L11" s="2459" t="s">
        <v>1006</v>
      </c>
      <c r="M11" s="2459" t="s">
        <v>1007</v>
      </c>
      <c r="N11" s="2411" t="s">
        <v>1008</v>
      </c>
      <c r="O11" s="2411"/>
      <c r="P11" s="2702" t="s">
        <v>989</v>
      </c>
      <c r="Q11" s="2702" t="s">
        <v>1009</v>
      </c>
      <c r="R11" s="2702" t="s">
        <v>1010</v>
      </c>
      <c r="S11" s="2702" t="s">
        <v>1011</v>
      </c>
      <c r="T11" s="2702"/>
      <c r="U11" s="2702"/>
      <c r="V11" s="2702"/>
      <c r="W11" s="2702"/>
      <c r="X11" s="2702"/>
      <c r="Y11" s="2702"/>
      <c r="Z11" s="2478"/>
      <c r="AA11" s="2479"/>
      <c r="AB11" s="2411" t="s">
        <v>1012</v>
      </c>
      <c r="AC11" s="2411"/>
      <c r="AD11" s="2385" t="s">
        <v>1013</v>
      </c>
      <c r="AE11" s="2387"/>
      <c r="AF11" s="2483"/>
      <c r="AG11" s="2411"/>
      <c r="AH11" s="2411"/>
      <c r="AI11" s="2483"/>
      <c r="AJ11" s="2411"/>
      <c r="AK11" s="2411"/>
      <c r="AL11" s="1426"/>
      <c r="AM11" s="1411"/>
      <c r="AN11" s="1411"/>
      <c r="AO11" s="1411"/>
      <c r="AP11" s="1411"/>
      <c r="AQ11" s="1411"/>
      <c r="AR11" s="1411"/>
      <c r="AS11" s="1411"/>
      <c r="AT11" s="1411"/>
      <c r="AU11" s="1411"/>
      <c r="AV11" s="1411"/>
      <c r="AW11" s="1411"/>
      <c r="AX11" s="1411"/>
      <c r="AY11" s="1411"/>
      <c r="AZ11" s="1411"/>
      <c r="BA11" s="1411"/>
      <c r="BB11" s="1411"/>
      <c r="BC11" s="1411"/>
      <c r="BD11" s="1411"/>
      <c r="BE11" s="1411"/>
      <c r="BF11" s="1411"/>
      <c r="BG11" s="1409">
        <v>24</v>
      </c>
    </row>
    <row customHeight="1" ht="35.699999999999996">
      <c r="A12" s="1189"/>
      <c r="B12" s="1189"/>
      <c r="C12" s="1189"/>
      <c r="E12" s="1192"/>
      <c r="F12" s="2692"/>
      <c r="G12" s="2697"/>
      <c r="H12" s="2698"/>
      <c r="I12" s="1437" t="s">
        <v>90</v>
      </c>
      <c r="J12" s="1437" t="s">
        <v>1014</v>
      </c>
      <c r="K12" s="2411"/>
      <c r="L12" s="2516"/>
      <c r="M12" s="2516"/>
      <c r="N12" s="2411"/>
      <c r="O12" s="2411"/>
      <c r="P12" s="2702"/>
      <c r="Q12" s="2702"/>
      <c r="R12" s="2702"/>
      <c r="S12" s="1418" t="s">
        <v>87</v>
      </c>
      <c r="T12" s="1418" t="s">
        <v>88</v>
      </c>
      <c r="U12" s="1418" t="s">
        <v>86</v>
      </c>
      <c r="V12" s="1418" t="s">
        <v>1015</v>
      </c>
      <c r="W12" s="1418" t="s">
        <v>86</v>
      </c>
      <c r="X12" s="1418" t="s">
        <v>1016</v>
      </c>
      <c r="Y12" s="1418" t="s">
        <v>1017</v>
      </c>
      <c r="Z12" s="2484"/>
      <c r="AA12" s="2485"/>
      <c r="AB12" s="1425" t="s">
        <v>1018</v>
      </c>
      <c r="AC12" s="1425" t="s">
        <v>1019</v>
      </c>
      <c r="AD12" s="1425" t="s">
        <v>1018</v>
      </c>
      <c r="AE12" s="1425" t="s">
        <v>1019</v>
      </c>
      <c r="AF12" s="2516"/>
      <c r="AG12" s="1438" t="s">
        <v>1020</v>
      </c>
      <c r="AH12" s="1438" t="s">
        <v>1021</v>
      </c>
      <c r="AI12" s="2516"/>
      <c r="AJ12" s="1438" t="s">
        <v>1020</v>
      </c>
      <c r="AK12" s="1438" t="s">
        <v>1021</v>
      </c>
      <c r="AL12" s="1426"/>
      <c r="AM12" s="1191"/>
      <c r="AN12" s="1191"/>
      <c r="AO12" s="1191"/>
      <c r="AP12" s="1191"/>
      <c r="AQ12" s="1191"/>
      <c r="AR12" s="1191"/>
      <c r="AS12" s="1191"/>
      <c r="AT12" s="1191"/>
      <c r="AU12" s="1191"/>
      <c r="AV12" s="1191"/>
      <c r="AW12" s="1191"/>
      <c r="AX12" s="1191"/>
      <c r="AY12" s="1191"/>
      <c r="AZ12" s="1191"/>
      <c r="BA12" s="1191"/>
      <c r="BB12" s="1191"/>
      <c r="BC12" s="1191"/>
      <c r="BD12" s="1191"/>
      <c r="BE12" s="1191"/>
      <c r="BF12" s="1191"/>
      <c r="BG12" s="1042">
        <v>34</v>
      </c>
    </row>
    <row customHeight="1" ht="1.05">
      <c r="E13" s="1192"/>
      <c r="F13" s="1408">
        <v>0</v>
      </c>
      <c r="G13" s="1408"/>
      <c r="H13" s="1408"/>
      <c r="I13" s="1408"/>
      <c r="J13" s="1408"/>
      <c r="K13" s="1415"/>
      <c r="L13" s="1415"/>
      <c r="M13" s="1415"/>
      <c r="N13" s="1415"/>
      <c r="O13" s="1415"/>
      <c r="P13" s="1415"/>
      <c r="Q13" s="1415"/>
      <c r="R13" s="1415"/>
      <c r="S13" s="1415"/>
      <c r="T13" s="1415"/>
      <c r="U13" s="1415"/>
      <c r="V13" s="1415"/>
      <c r="W13" s="1415"/>
      <c r="X13" s="1415"/>
      <c r="Y13" s="1415"/>
      <c r="Z13" s="1415"/>
      <c r="AA13" s="1415"/>
      <c r="AB13" s="1415"/>
      <c r="AC13" s="1415"/>
      <c r="AD13" s="1415"/>
      <c r="AE13" s="1415"/>
      <c r="AF13" s="1415"/>
      <c r="AG13" s="1415"/>
      <c r="AH13" s="1433"/>
      <c r="AI13" s="1426"/>
      <c r="AJ13" s="1415"/>
      <c r="AK13" s="1415"/>
      <c r="AL13" s="1193"/>
      <c r="AM13" s="1191"/>
      <c r="AN13" s="1191"/>
      <c r="AO13" s="1191"/>
      <c r="AP13" s="1191"/>
      <c r="AQ13" s="1191"/>
      <c r="AR13" s="1191"/>
      <c r="AS13" s="1191"/>
      <c r="AT13" s="1191"/>
      <c r="AU13" s="1191"/>
      <c r="AV13" s="1191"/>
      <c r="AW13" s="1191"/>
      <c r="AX13" s="1191"/>
      <c r="AY13" s="1191"/>
      <c r="AZ13" s="1191"/>
      <c r="BA13" s="1191"/>
      <c r="BB13" s="1191"/>
      <c r="BC13" s="1191"/>
      <c r="BD13" s="1191"/>
      <c r="BE13" s="1191"/>
      <c r="BF13" s="1191"/>
      <c r="BG13" s="1042">
        <v>1</v>
      </c>
    </row>
    <row customHeight="1" ht="10.5">
      <c r="E14" s="1191"/>
      <c r="F14" s="1202"/>
      <c r="G14" s="1202"/>
      <c r="H14" s="1456"/>
      <c r="I14" s="1202"/>
      <c r="J14" s="1202"/>
      <c r="K14" s="1202"/>
      <c r="L14" s="1415"/>
      <c r="M14" s="1415"/>
      <c r="N14" s="1202"/>
      <c r="O14" s="1202"/>
      <c r="P14" s="1202"/>
      <c r="Q14" s="1202"/>
      <c r="R14" s="1202"/>
      <c r="S14" s="1202"/>
      <c r="T14" s="1202"/>
      <c r="U14" s="1202"/>
      <c r="V14" s="1202"/>
      <c r="W14" s="1202"/>
      <c r="X14" s="1202"/>
      <c r="Y14" s="1202"/>
      <c r="Z14" s="1202"/>
      <c r="AA14" s="1202"/>
      <c r="AB14" s="1202"/>
      <c r="AC14" s="1202"/>
      <c r="AD14" s="1415"/>
      <c r="AE14" s="1202"/>
      <c r="AF14" s="1202"/>
      <c r="AG14" s="1202"/>
      <c r="AH14" s="1433"/>
      <c r="AI14" s="1426"/>
      <c r="AJ14" s="1202"/>
      <c r="AK14" s="1202"/>
      <c r="AL14" s="1191"/>
      <c r="AM14" s="1191"/>
      <c r="AN14" s="1191"/>
      <c r="AO14" s="1191"/>
      <c r="AP14" s="1191"/>
      <c r="AQ14" s="1191"/>
      <c r="AR14" s="1191"/>
      <c r="AS14" s="1191"/>
      <c r="AT14" s="1191"/>
      <c r="AU14" s="1191"/>
      <c r="AV14" s="1191"/>
      <c r="AW14" s="1191"/>
      <c r="AX14" s="1191"/>
      <c r="AY14" s="1191"/>
      <c r="AZ14" s="1191"/>
      <c r="BA14" s="1191"/>
      <c r="BB14" s="1191"/>
      <c r="BC14" s="1191"/>
      <c r="BD14" s="1191"/>
      <c r="BE14" s="1191"/>
      <c r="BF14" s="1191"/>
      <c r="BG14" s="1042">
        <v>10</v>
      </c>
    </row>
    <row customHeight="1" ht="13.5">
      <c r="E15" s="1191"/>
      <c r="F15" s="1198" t="s">
        <v>1022</v>
      </c>
      <c r="G15" s="1198"/>
      <c r="H15" s="1455"/>
      <c r="I15" s="1198"/>
      <c r="J15" s="1198"/>
      <c r="K15" s="1195"/>
      <c r="L15" s="1411"/>
      <c r="M15" s="1411"/>
      <c r="N15" s="1197"/>
      <c r="O15" s="1197"/>
      <c r="P15" s="1197"/>
      <c r="Q15" s="1197"/>
      <c r="R15" s="1197"/>
      <c r="S15" s="1197"/>
      <c r="T15" s="1197"/>
      <c r="U15" s="1197"/>
      <c r="V15" s="1197"/>
      <c r="W15" s="1197"/>
      <c r="X15" s="1197"/>
      <c r="Y15" s="1197"/>
      <c r="Z15" s="1195"/>
      <c r="AA15" s="1195"/>
      <c r="AB15" s="1195"/>
      <c r="AC15" s="1195"/>
      <c r="AD15" s="1411"/>
      <c r="AE15" s="1195"/>
      <c r="AF15" s="1195"/>
      <c r="AG15" s="1195"/>
      <c r="AH15" s="1430"/>
      <c r="AI15" s="1423"/>
      <c r="AJ15" s="1195"/>
      <c r="AK15" s="1195"/>
      <c r="AL15" s="1191"/>
      <c r="AM15" s="1191"/>
      <c r="AN15" s="1191"/>
      <c r="AO15" s="1191"/>
      <c r="AP15" s="1191"/>
      <c r="AQ15" s="1191"/>
      <c r="AR15" s="1191"/>
      <c r="AS15" s="1191"/>
      <c r="AT15" s="1191"/>
      <c r="AU15" s="1191"/>
      <c r="AV15" s="1191"/>
      <c r="AW15" s="1191"/>
      <c r="AX15" s="1191"/>
      <c r="AY15" s="1191"/>
      <c r="AZ15" s="1191"/>
      <c r="BA15" s="1191"/>
      <c r="BB15" s="1191"/>
      <c r="BC15" s="1191"/>
      <c r="BD15" s="1191"/>
      <c r="BE15" s="1191"/>
      <c r="BF15" s="1191"/>
      <c r="BG15" s="1042">
        <v>13</v>
      </c>
    </row>
    <row customHeight="1" ht="10.5">
      <c r="BG16" s="1042">
        <v>10</v>
      </c>
    </row>
    <row customHeight="1" ht="10.5">
      <c r="E17" s="1191"/>
      <c r="F17" s="2691"/>
      <c r="G17" s="2691"/>
      <c r="H17" s="2691"/>
      <c r="I17" s="2691"/>
      <c r="J17" s="2691"/>
      <c r="K17" s="1195"/>
      <c r="L17" s="1411"/>
      <c r="M17" s="1411"/>
      <c r="N17" s="1197"/>
      <c r="O17" s="1197"/>
      <c r="P17" s="1197"/>
      <c r="Q17" s="1197"/>
      <c r="R17" s="1197"/>
      <c r="S17" s="1197"/>
      <c r="T17" s="1197"/>
      <c r="U17" s="1197"/>
      <c r="V17" s="1197"/>
      <c r="W17" s="1197"/>
      <c r="X17" s="1197"/>
      <c r="Y17" s="1197"/>
      <c r="Z17" s="1195"/>
      <c r="AA17" s="1195"/>
      <c r="AB17" s="1195"/>
      <c r="AC17" s="1195"/>
      <c r="AD17" s="1411"/>
      <c r="AE17" s="1195"/>
      <c r="AF17" s="1195"/>
      <c r="AG17" s="1195"/>
      <c r="AH17" s="1430"/>
      <c r="AI17" s="1423"/>
      <c r="AJ17" s="1195"/>
      <c r="AK17" s="1195"/>
      <c r="AL17" s="1191"/>
      <c r="AM17" s="1191"/>
      <c r="AN17" s="1191"/>
      <c r="AO17" s="1191"/>
      <c r="AP17" s="1191"/>
      <c r="AQ17" s="1191"/>
      <c r="AR17" s="1191"/>
      <c r="AS17" s="1191"/>
      <c r="AT17" s="1191"/>
      <c r="AU17" s="1191"/>
      <c r="AV17" s="1191"/>
      <c r="AW17" s="1191"/>
      <c r="AX17" s="1191"/>
      <c r="AY17" s="1191"/>
      <c r="AZ17" s="1191"/>
      <c r="BA17" s="1191"/>
      <c r="BB17" s="1191"/>
      <c r="BC17" s="1191"/>
      <c r="BD17" s="1191"/>
      <c r="BE17" s="1191"/>
      <c r="BF17" s="1191"/>
      <c r="BG17" s="1042">
        <v>10</v>
      </c>
    </row>
    <row customHeight="1" ht="10.5">
      <c r="E18" s="1191"/>
      <c r="F18" s="2691"/>
      <c r="G18" s="2691"/>
      <c r="H18" s="2691"/>
      <c r="I18" s="2691"/>
      <c r="J18" s="2691"/>
      <c r="K18" s="1195"/>
      <c r="L18" s="1411"/>
      <c r="M18" s="1411"/>
      <c r="N18" s="1197"/>
      <c r="O18" s="1197"/>
      <c r="P18" s="1197"/>
      <c r="Q18" s="1197"/>
      <c r="R18" s="1197"/>
      <c r="S18" s="1197"/>
      <c r="T18" s="1197"/>
      <c r="U18" s="1197"/>
      <c r="V18" s="1197"/>
      <c r="W18" s="1197"/>
      <c r="X18" s="1197"/>
      <c r="Y18" s="1197"/>
      <c r="Z18" s="1195"/>
      <c r="AA18" s="1195"/>
      <c r="AB18" s="1195"/>
      <c r="AC18" s="1195"/>
      <c r="AD18" s="1411"/>
      <c r="AE18" s="1195"/>
      <c r="AF18" s="1195"/>
      <c r="AG18" s="1195"/>
      <c r="AH18" s="1430"/>
      <c r="AI18" s="1423"/>
      <c r="AJ18" s="1195"/>
      <c r="AK18" s="1195"/>
      <c r="AL18" s="1191"/>
      <c r="AM18" s="1191"/>
      <c r="AN18" s="1191"/>
      <c r="AO18" s="1191"/>
      <c r="AP18" s="1191"/>
      <c r="AQ18" s="1191"/>
      <c r="AR18" s="1191"/>
      <c r="AS18" s="1191"/>
      <c r="AT18" s="1191"/>
      <c r="AU18" s="1191"/>
      <c r="AV18" s="1191"/>
      <c r="AW18" s="1191"/>
      <c r="AX18" s="1191"/>
      <c r="AY18" s="1191"/>
      <c r="AZ18" s="1191"/>
      <c r="BA18" s="1191"/>
      <c r="BB18" s="1191"/>
      <c r="BC18" s="1191"/>
      <c r="BD18" s="1191"/>
      <c r="BE18" s="1191"/>
      <c r="BF18" s="1191"/>
      <c r="BG18" s="1042">
        <v>10</v>
      </c>
    </row>
    <row customHeight="1" ht="10.5">
      <c r="E19" s="1191"/>
      <c r="F19" s="2691"/>
      <c r="G19" s="2691"/>
      <c r="H19" s="2691"/>
      <c r="I19" s="2691"/>
      <c r="J19" s="2691"/>
      <c r="K19" s="1195"/>
      <c r="L19" s="1411"/>
      <c r="M19" s="1411"/>
      <c r="N19" s="1197"/>
      <c r="O19" s="1197"/>
      <c r="P19" s="1197"/>
      <c r="Q19" s="1197"/>
      <c r="R19" s="1197"/>
      <c r="S19" s="1197"/>
      <c r="T19" s="1197"/>
      <c r="U19" s="1197"/>
      <c r="V19" s="1197"/>
      <c r="W19" s="1197"/>
      <c r="X19" s="1197"/>
      <c r="Y19" s="1197"/>
      <c r="Z19" s="1195"/>
      <c r="AA19" s="1195"/>
      <c r="AB19" s="1195"/>
      <c r="AC19" s="1195"/>
      <c r="AD19" s="1411"/>
      <c r="AE19" s="1195"/>
      <c r="AF19" s="1195"/>
      <c r="AG19" s="1195"/>
      <c r="AH19" s="1430"/>
      <c r="AI19" s="1423"/>
      <c r="AJ19" s="1195"/>
      <c r="AK19" s="1195"/>
      <c r="AL19" s="1191"/>
      <c r="AM19" s="1191"/>
      <c r="AN19" s="1191"/>
      <c r="AO19" s="1191"/>
      <c r="AP19" s="1191"/>
      <c r="AQ19" s="1191"/>
      <c r="AR19" s="1191"/>
      <c r="AS19" s="1191"/>
      <c r="AT19" s="1191"/>
      <c r="AU19" s="1191"/>
      <c r="AV19" s="1191"/>
      <c r="AW19" s="1191"/>
      <c r="AX19" s="1191"/>
      <c r="AY19" s="1191"/>
      <c r="AZ19" s="1191"/>
      <c r="BA19" s="1191"/>
      <c r="BB19" s="1191"/>
      <c r="BC19" s="1191"/>
      <c r="BD19" s="1191"/>
      <c r="BE19" s="1191"/>
      <c r="BF19" s="1191"/>
      <c r="BG19" s="1042">
        <v>10</v>
      </c>
    </row>
    <row customHeight="1" ht="10.5" hidden="1">
      <c r="A20" s="1179" t="s">
        <v>83</v>
      </c>
      <c r="B20" s="1179">
        <v>0</v>
      </c>
      <c r="C20" s="1179">
        <v>0</v>
      </c>
      <c r="D20" s="701">
        <v>0</v>
      </c>
      <c r="E20" s="793">
        <v>3</v>
      </c>
      <c r="F20" s="1042">
        <v>14</v>
      </c>
      <c r="G20" s="1042">
        <v>3</v>
      </c>
      <c r="H20" s="1439">
        <v>7</v>
      </c>
      <c r="I20" s="1042">
        <v>16</v>
      </c>
      <c r="J20" s="1042">
        <v>16</v>
      </c>
      <c r="K20" s="1042">
        <v>25</v>
      </c>
      <c r="L20" s="1409">
        <v>7</v>
      </c>
      <c r="M20" s="1409">
        <v>15</v>
      </c>
      <c r="N20" s="1042">
        <v>3</v>
      </c>
      <c r="O20" s="1042">
        <v>4</v>
      </c>
      <c r="P20" s="1042">
        <v>8</v>
      </c>
      <c r="Q20" s="1042">
        <v>21</v>
      </c>
      <c r="R20" s="1042">
        <v>14</v>
      </c>
      <c r="S20" s="1042">
        <v>17</v>
      </c>
      <c r="T20" s="1042">
        <v>17</v>
      </c>
      <c r="U20" s="1042">
        <v>9</v>
      </c>
      <c r="V20" s="1042">
        <v>12</v>
      </c>
      <c r="W20" s="1042">
        <v>9</v>
      </c>
      <c r="X20" s="1042">
        <v>21</v>
      </c>
      <c r="Y20" s="1042">
        <v>12</v>
      </c>
      <c r="Z20" s="1042">
        <v>3</v>
      </c>
      <c r="AA20" s="1042">
        <v>6</v>
      </c>
      <c r="AB20" s="1042">
        <v>38</v>
      </c>
      <c r="AC20" s="1042">
        <v>15</v>
      </c>
      <c r="AD20" s="1409">
        <v>0</v>
      </c>
      <c r="AE20" s="1042">
        <v>0</v>
      </c>
      <c r="AF20" s="1042">
        <v>16</v>
      </c>
      <c r="AG20" s="1042">
        <v>16</v>
      </c>
      <c r="AH20" s="1428">
        <v>16</v>
      </c>
      <c r="AI20" s="1421">
        <v>0</v>
      </c>
      <c r="AJ20" s="1042">
        <v>0</v>
      </c>
      <c r="AK20" s="1042">
        <v>0</v>
      </c>
      <c r="AL20" s="1042">
        <v>8</v>
      </c>
      <c r="AM20" s="1042">
        <v>8</v>
      </c>
      <c r="AN20" s="1042">
        <v>8</v>
      </c>
      <c r="AO20" s="1042">
        <v>8</v>
      </c>
      <c r="AP20" s="1042">
        <v>8</v>
      </c>
      <c r="AQ20" s="1042">
        <v>8</v>
      </c>
      <c r="AR20" s="1042">
        <v>8</v>
      </c>
      <c r="AS20" s="1042">
        <v>8</v>
      </c>
      <c r="AT20" s="1042">
        <v>8</v>
      </c>
      <c r="AU20" s="1042">
        <v>8</v>
      </c>
      <c r="AV20" s="1042">
        <v>8</v>
      </c>
      <c r="AW20" s="1042">
        <v>8</v>
      </c>
      <c r="AX20" s="1042">
        <v>8</v>
      </c>
      <c r="AY20" s="1042">
        <v>8</v>
      </c>
      <c r="AZ20" s="1042">
        <v>8</v>
      </c>
      <c r="BA20" s="1042">
        <v>8</v>
      </c>
      <c r="BB20" s="1042">
        <v>8</v>
      </c>
      <c r="BC20" s="1042">
        <v>8</v>
      </c>
      <c r="BD20" s="1042">
        <v>8</v>
      </c>
      <c r="BE20" s="1042">
        <v>8</v>
      </c>
      <c r="BF20" s="1042">
        <v>8</v>
      </c>
      <c r="BG20" s="1042">
        <v>10</v>
      </c>
    </row>
  </sheetData>
  <sheetProtection formatColumns="0" formatRows="0" autoFilter="0" sort="0" insertRows="0" insertColumns="1" deleteRows="0" deleteColumns="0"/>
  <mergeCells count="28">
    <mergeCell ref="AB9:AE10"/>
    <mergeCell ref="S11:Y11"/>
    <mergeCell ref="N10:Y10"/>
    <mergeCell ref="K9:Y9"/>
    <mergeCell ref="N11:O12"/>
    <mergeCell ref="P11:P12"/>
    <mergeCell ref="Q11:Q12"/>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I9:J11"/>
    <mergeCell ref="K10:K12"/>
    <mergeCell ref="F18:J18"/>
    <mergeCell ref="F17:J17"/>
    <mergeCell ref="F5:K5"/>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893E8AB-8B6D-0B98-3598-24B47EBBE031}" mc:Ignorable="x14ac xr xr2 xr3">
  <sheetPr>
    <tabColor theme="9" tint="-0.25"/>
  </sheetPr>
  <dimension ref="A1:W59"/>
  <sheetViews>
    <sheetView topLeftCell="A1" showGridLines="0" zoomScale="85" workbookViewId="0">
      <selection activeCell="A1" sqref="A1"/>
    </sheetView>
  </sheetViews>
  <sheetFormatPr defaultColWidth="9.140625" customHeight="1" defaultRowHeight="10.5"/>
  <cols>
    <col min="1" max="3" style="15728" width="4.140625" hidden="1" customWidth="1"/>
    <col min="4" max="4" style="14157" width="4.140625" hidden="1" customWidth="1"/>
    <col min="5" max="5" style="14077" width="3.00390625" customWidth="1"/>
    <col min="6" max="6" style="14077" width="6.00390625" customWidth="1"/>
    <col min="7" max="7" style="14077" width="60.00390625" customWidth="1"/>
    <col min="8" max="9" style="14077" width="21.7109375" hidden="1" customWidth="1"/>
    <col min="10" max="10" style="14077" width="0.140625" customWidth="1"/>
    <col min="11" max="11" style="14077" width="1.00390625" customWidth="1"/>
    <col min="12" max="22" style="14077" width="8.00390625" customWidth="1"/>
    <col min="23" max="23" style="14077" width="9.140625" hidden="1"/>
  </cols>
  <sheetData>
    <row s="14157" customFormat="1" customHeight="1" ht="10.5" hidden="1">
      <c r="A1" s="1450"/>
      <c r="B1" s="1450"/>
      <c r="C1" s="1450"/>
      <c r="E1" s="821"/>
      <c r="W1" s="1444" t="s">
        <v>14</v>
      </c>
    </row>
    <row customHeight="1" ht="10.5" hidden="1">
      <c r="W2" s="1439">
        <v>0</v>
      </c>
    </row>
    <row s="14041" customFormat="1" customHeight="1" ht="10.5" hidden="1">
      <c r="A3" s="1450"/>
      <c r="B3" s="1450"/>
      <c r="C3" s="1450"/>
      <c r="D3" s="1444"/>
      <c r="E3" s="646"/>
      <c r="W3" s="1440">
        <v>0</v>
      </c>
    </row>
    <row customHeight="1" ht="3">
      <c r="W4" s="1439">
        <v>3</v>
      </c>
    </row>
    <row customHeight="1" ht="27.299999999999997">
      <c r="F5" s="2532" t="str">
        <f>IP_NAME_FORM&amp;"
Финансовый план"</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Финансовый план</v>
      </c>
      <c r="G5" s="2532"/>
      <c r="H5" s="2532"/>
      <c r="I5" s="2532"/>
      <c r="J5" s="2532"/>
      <c r="W5" s="1439">
        <v>26</v>
      </c>
    </row>
    <row customHeight="1" ht="10.5">
      <c r="F6" s="2460" t="str">
        <f>IF(org=0,"Не определено",org)</f>
        <v>МУП г. Азова "Теплоэнерго"</v>
      </c>
      <c r="G6" s="2460"/>
      <c r="H6" s="2460"/>
      <c r="I6" s="2460"/>
      <c r="J6" s="2460"/>
      <c r="W6" s="1439">
        <v>10</v>
      </c>
    </row>
    <row customHeight="1" ht="11.549999999999999">
      <c r="E7" s="1454"/>
      <c r="F7" s="1511"/>
      <c r="G7" s="1511"/>
      <c r="H7" s="1511"/>
      <c r="I7" s="1511"/>
      <c r="J7" s="1511"/>
      <c r="K7" s="1441"/>
      <c r="L7" s="1441"/>
      <c r="M7" s="1441"/>
      <c r="N7" s="1441"/>
      <c r="O7" s="1441"/>
      <c r="P7" s="1441"/>
      <c r="Q7" s="1441"/>
      <c r="R7" s="1441"/>
      <c r="S7" s="1441"/>
      <c r="T7" s="1441"/>
      <c r="U7" s="1441"/>
      <c r="V7" s="1441"/>
      <c r="W7" s="1439">
        <v>11</v>
      </c>
    </row>
    <row s="14158" customFormat="1" customHeight="1" ht="4.2">
      <c r="A8" s="1451"/>
      <c r="B8" s="1451"/>
      <c r="C8" s="1451"/>
      <c r="E8" s="1512"/>
      <c r="F8" s="1513"/>
      <c r="G8" s="1513"/>
      <c r="H8" s="1513"/>
      <c r="I8" s="1513"/>
      <c r="J8" s="1513"/>
      <c r="K8" s="1512"/>
      <c r="L8" s="1512"/>
      <c r="M8" s="1512"/>
      <c r="N8" s="1512"/>
      <c r="O8" s="1512"/>
      <c r="P8" s="1512"/>
      <c r="Q8" s="1512"/>
      <c r="R8" s="1512"/>
      <c r="S8" s="1512"/>
      <c r="T8" s="1512"/>
      <c r="U8" s="1512"/>
      <c r="V8" s="1512"/>
      <c r="W8" s="795">
        <v>4</v>
      </c>
    </row>
    <row customHeight="1" ht="10.5">
      <c r="E9" s="1454"/>
      <c r="F9" s="2703" t="s">
        <v>305</v>
      </c>
      <c r="G9" s="2704"/>
      <c r="H9" s="2704"/>
      <c r="I9" s="2704"/>
      <c r="J9" s="2704"/>
      <c r="K9" s="1524"/>
      <c r="L9" s="1441"/>
      <c r="M9" s="1441"/>
      <c r="N9" s="1441"/>
      <c r="O9" s="1441"/>
      <c r="P9" s="1441"/>
      <c r="Q9" s="1441"/>
      <c r="R9" s="1441"/>
      <c r="S9" s="1441"/>
      <c r="T9" s="1441"/>
      <c r="U9" s="1441"/>
      <c r="V9" s="1441"/>
      <c r="W9" s="1439">
        <v>10</v>
      </c>
    </row>
    <row customHeight="1" ht="25.2">
      <c r="E10" s="1441"/>
      <c r="F10" s="2707" t="s">
        <v>89</v>
      </c>
      <c r="G10" s="2712" t="s">
        <v>1023</v>
      </c>
      <c r="H10" s="2710" t="s">
        <v>1024</v>
      </c>
      <c r="I10" s="2710"/>
      <c r="J10" s="2710"/>
      <c r="K10" s="1517"/>
      <c r="L10" s="1441"/>
      <c r="M10" s="1441"/>
      <c r="N10" s="1441"/>
      <c r="O10" s="1441"/>
      <c r="P10" s="1441"/>
      <c r="Q10" s="1441"/>
      <c r="R10" s="1441"/>
      <c r="S10" s="1441"/>
      <c r="T10" s="1441"/>
      <c r="U10" s="1441"/>
      <c r="V10" s="1441"/>
      <c r="W10" s="1439">
        <v>24</v>
      </c>
    </row>
    <row customHeight="1" ht="25.5">
      <c r="E11" s="1441"/>
      <c r="F11" s="2708"/>
      <c r="G11" s="2712"/>
      <c r="H11" s="2711">
        <f>INDEX(IP_MAIN_LIST_NAME_IP,MATCH(H8,IP_MAIN_LIST_IP_ID,0))&amp;" ("&amp;INDEX(IP_MAIN_START_DATE,MATCH(H8,IP_MAIN_LIST_IP_ID,0))&amp;"-"&amp;INDEX(IP_MAIN_END_DATE,MATCH(H8,IP_MAIN_LIST_IP_ID,0))&amp;")"</f>
      </c>
      <c r="I11" s="2711"/>
      <c r="J11" s="2711"/>
      <c r="K11" s="1517"/>
      <c r="L11" s="1441"/>
      <c r="M11" s="1441"/>
      <c r="N11" s="1441"/>
      <c r="O11" s="1441"/>
      <c r="P11" s="1441"/>
      <c r="Q11" s="1441"/>
      <c r="R11" s="1441"/>
      <c r="S11" s="1441"/>
      <c r="T11" s="1441"/>
      <c r="U11" s="1441"/>
      <c r="V11" s="1441"/>
      <c r="W11" s="1439">
        <v>24</v>
      </c>
    </row>
    <row customHeight="1" ht="10.5">
      <c r="F12" s="2709"/>
      <c r="G12" s="2712"/>
      <c r="H12" s="1510" t="s">
        <v>1025</v>
      </c>
      <c r="I12" s="1516"/>
      <c r="J12" s="1510"/>
      <c r="K12" s="1518"/>
      <c r="W12" s="1439">
        <v>10</v>
      </c>
    </row>
    <row customHeight="1" ht="10.5" hidden="1">
      <c r="F13" s="1510">
        <v>1</v>
      </c>
      <c r="G13" s="1510">
        <v>2</v>
      </c>
      <c r="H13" s="1510">
        <v>3</v>
      </c>
      <c r="I13" s="1510">
        <v>4</v>
      </c>
      <c r="J13" s="1510">
        <v>5</v>
      </c>
      <c r="K13" s="1518"/>
      <c r="W13" s="1439">
        <v>0</v>
      </c>
    </row>
    <row customHeight="1" ht="11.549999999999999">
      <c r="F14" s="1509" t="s">
        <v>1026</v>
      </c>
      <c r="G14" s="2705" t="s">
        <v>1027</v>
      </c>
      <c r="H14" s="2705"/>
      <c r="I14" s="2705"/>
      <c r="J14" s="2705"/>
      <c r="K14" s="1518"/>
      <c r="W14" s="1439">
        <v>11</v>
      </c>
    </row>
    <row customHeight="1" ht="11.549999999999999">
      <c r="F15" s="1514">
        <v>1</v>
      </c>
      <c r="G15" s="974" t="s">
        <v>1028</v>
      </c>
      <c r="H15" s="1520">
        <f>SUM(I15:J15)</f>
        <v>0</v>
      </c>
      <c r="I15" s="1520">
        <f>SUM(I16:I27)</f>
        <v>0</v>
      </c>
      <c r="J15" s="1509"/>
      <c r="K15" s="1518"/>
      <c r="W15" s="1439">
        <v>11</v>
      </c>
    </row>
    <row customHeight="1" ht="24">
      <c r="F16" s="1514" t="s">
        <v>1029</v>
      </c>
      <c r="G16" s="1521" t="s">
        <v>1030</v>
      </c>
      <c r="H16" s="1520">
        <f>SUM(I16:J16)</f>
        <v>0</v>
      </c>
      <c r="I16" s="1519"/>
      <c r="J16" s="1509"/>
      <c r="K16" s="1518"/>
      <c r="W16" s="1439">
        <v>23</v>
      </c>
    </row>
    <row customHeight="1" ht="24">
      <c r="F17" s="1514" t="s">
        <v>1031</v>
      </c>
      <c r="G17" s="1521" t="s">
        <v>1032</v>
      </c>
      <c r="H17" s="1520">
        <f>SUM(I17:J17)</f>
        <v>0</v>
      </c>
      <c r="I17" s="1519"/>
      <c r="J17" s="1509"/>
      <c r="K17" s="1518"/>
      <c r="W17" s="1439">
        <v>23</v>
      </c>
    </row>
    <row customHeight="1" ht="35.699999999999996">
      <c r="F18" s="1514" t="s">
        <v>1033</v>
      </c>
      <c r="G18" s="1521" t="s">
        <v>1034</v>
      </c>
      <c r="H18" s="1520">
        <f>SUM(I18:J18)</f>
        <v>0</v>
      </c>
      <c r="I18" s="1519"/>
      <c r="J18" s="1509"/>
      <c r="K18" s="1518"/>
      <c r="W18" s="1439">
        <v>34</v>
      </c>
    </row>
    <row customHeight="1" ht="35.699999999999996">
      <c r="F19" s="1514" t="s">
        <v>1035</v>
      </c>
      <c r="G19" s="1521" t="s">
        <v>1036</v>
      </c>
      <c r="H19" s="1520">
        <f>SUM(I19:J19)</f>
        <v>0</v>
      </c>
      <c r="I19" s="1519"/>
      <c r="J19" s="1509"/>
      <c r="K19" s="1518"/>
      <c r="W19" s="1439">
        <v>34</v>
      </c>
    </row>
    <row customHeight="1" ht="48.29999999999999">
      <c r="F20" s="1514" t="s">
        <v>1037</v>
      </c>
      <c r="G20" s="1521" t="s">
        <v>1038</v>
      </c>
      <c r="H20" s="1520">
        <f>SUM(I20:J20)</f>
        <v>0</v>
      </c>
      <c r="I20" s="1519"/>
      <c r="J20" s="1509"/>
      <c r="K20" s="1518"/>
      <c r="W20" s="1439">
        <v>46</v>
      </c>
    </row>
    <row customHeight="1" ht="35.699999999999996">
      <c r="F21" s="1514" t="s">
        <v>1039</v>
      </c>
      <c r="G21" s="1521" t="s">
        <v>1040</v>
      </c>
      <c r="H21" s="1520">
        <f>SUM(I21:J21)</f>
        <v>0</v>
      </c>
      <c r="I21" s="1519"/>
      <c r="J21" s="1509"/>
      <c r="K21" s="1518"/>
      <c r="W21" s="1439">
        <v>34</v>
      </c>
    </row>
    <row customHeight="1" ht="35.699999999999996">
      <c r="F22" s="1514" t="s">
        <v>1041</v>
      </c>
      <c r="G22" s="1521" t="s">
        <v>1042</v>
      </c>
      <c r="H22" s="1520">
        <f>SUM(I22:J22)</f>
        <v>0</v>
      </c>
      <c r="I22" s="1519"/>
      <c r="J22" s="1509"/>
      <c r="K22" s="1518"/>
      <c r="W22" s="1439">
        <v>34</v>
      </c>
    </row>
    <row customHeight="1" ht="24">
      <c r="F23" s="1514" t="s">
        <v>1043</v>
      </c>
      <c r="G23" s="1521" t="s">
        <v>1044</v>
      </c>
      <c r="H23" s="1520">
        <f>SUM(I23:J23)</f>
        <v>0</v>
      </c>
      <c r="I23" s="1519"/>
      <c r="J23" s="1509"/>
      <c r="K23" s="1518"/>
      <c r="W23" s="1439">
        <v>23</v>
      </c>
    </row>
    <row customHeight="1" ht="24">
      <c r="F24" s="1514" t="s">
        <v>1045</v>
      </c>
      <c r="G24" s="1521" t="s">
        <v>1046</v>
      </c>
      <c r="H24" s="1520">
        <f>SUM(I24:J24)</f>
        <v>0</v>
      </c>
      <c r="I24" s="1519"/>
      <c r="J24" s="1509"/>
      <c r="K24" s="1518"/>
      <c r="W24" s="1439">
        <v>23</v>
      </c>
    </row>
    <row customHeight="1" ht="35.699999999999996">
      <c r="F25" s="1514" t="s">
        <v>1047</v>
      </c>
      <c r="G25" s="1521" t="s">
        <v>1048</v>
      </c>
      <c r="H25" s="1520">
        <f>SUM(I25:J25)</f>
        <v>0</v>
      </c>
      <c r="I25" s="1519"/>
      <c r="J25" s="1509"/>
      <c r="K25" s="1518"/>
      <c r="W25" s="1439">
        <v>34</v>
      </c>
    </row>
    <row customHeight="1" ht="35.699999999999996">
      <c r="F26" s="1514" t="s">
        <v>1049</v>
      </c>
      <c r="G26" s="1521" t="s">
        <v>1050</v>
      </c>
      <c r="H26" s="1520">
        <f>SUM(I26:J26)</f>
        <v>0</v>
      </c>
      <c r="I26" s="1519"/>
      <c r="J26" s="1509"/>
      <c r="K26" s="1518"/>
      <c r="W26" s="1439">
        <v>34</v>
      </c>
    </row>
    <row customHeight="1" ht="11.549999999999999">
      <c r="F27" s="1514" t="s">
        <v>1051</v>
      </c>
      <c r="G27" s="1521" t="s">
        <v>1052</v>
      </c>
      <c r="H27" s="1520">
        <f>SUM(I27:J27)</f>
        <v>0</v>
      </c>
      <c r="I27" s="1519"/>
      <c r="J27" s="1509"/>
      <c r="K27" s="1518"/>
      <c r="W27" s="1439">
        <v>11</v>
      </c>
    </row>
    <row customHeight="1" ht="11.549999999999999">
      <c r="F28" s="1514">
        <v>2</v>
      </c>
      <c r="G28" s="974" t="s">
        <v>1053</v>
      </c>
      <c r="H28" s="1520">
        <f>SUM(I28:J28)</f>
        <v>0</v>
      </c>
      <c r="I28" s="1520">
        <f>SUM(I29:I31)</f>
        <v>0</v>
      </c>
      <c r="J28" s="1509"/>
      <c r="K28" s="1518"/>
      <c r="W28" s="1439">
        <v>11</v>
      </c>
    </row>
    <row customHeight="1" ht="11.549999999999999">
      <c r="F29" s="1514" t="s">
        <v>716</v>
      </c>
      <c r="G29" s="1521" t="s">
        <v>1054</v>
      </c>
      <c r="H29" s="1520">
        <f>SUM(I29:J29)</f>
        <v>0</v>
      </c>
      <c r="I29" s="1519"/>
      <c r="J29" s="1509"/>
      <c r="K29" s="1518"/>
      <c r="W29" s="1439">
        <v>11</v>
      </c>
    </row>
    <row customHeight="1" ht="11.549999999999999">
      <c r="F30" s="1514" t="s">
        <v>312</v>
      </c>
      <c r="G30" s="1521" t="s">
        <v>1055</v>
      </c>
      <c r="H30" s="1520">
        <f>SUM(I30:J30)</f>
        <v>0</v>
      </c>
      <c r="I30" s="1519"/>
      <c r="J30" s="1509"/>
      <c r="K30" s="1518"/>
      <c r="W30" s="1439">
        <v>11</v>
      </c>
    </row>
    <row customHeight="1" ht="11.549999999999999">
      <c r="F31" s="1514" t="s">
        <v>315</v>
      </c>
      <c r="G31" s="1521" t="s">
        <v>1056</v>
      </c>
      <c r="H31" s="1520">
        <f>SUM(I31:J31)</f>
        <v>0</v>
      </c>
      <c r="I31" s="1519"/>
      <c r="J31" s="1509"/>
      <c r="K31" s="1518"/>
      <c r="W31" s="1439">
        <v>11</v>
      </c>
    </row>
    <row customHeight="1" ht="11.549999999999999">
      <c r="F32" s="1514">
        <v>3</v>
      </c>
      <c r="G32" s="974" t="s">
        <v>1057</v>
      </c>
      <c r="H32" s="1520">
        <f>SUM(I32:J32)</f>
        <v>0</v>
      </c>
      <c r="I32" s="1520">
        <f>SUM(I33:I34)</f>
        <v>0</v>
      </c>
      <c r="J32" s="1509"/>
      <c r="K32" s="1518"/>
      <c r="W32" s="1439">
        <v>11</v>
      </c>
    </row>
    <row customHeight="1" ht="48.29999999999999">
      <c r="F33" s="1514" t="s">
        <v>329</v>
      </c>
      <c r="G33" s="1521" t="s">
        <v>1058</v>
      </c>
      <c r="H33" s="1520">
        <f>SUM(I33:J33)</f>
        <v>0</v>
      </c>
      <c r="I33" s="1519"/>
      <c r="J33" s="1509"/>
      <c r="K33" s="1518"/>
      <c r="W33" s="1439">
        <v>46</v>
      </c>
    </row>
    <row customHeight="1" ht="11.549999999999999">
      <c r="F34" s="1514" t="s">
        <v>337</v>
      </c>
      <c r="G34" s="1521" t="s">
        <v>1059</v>
      </c>
      <c r="H34" s="1520">
        <f>SUM(I34:J34)</f>
        <v>0</v>
      </c>
      <c r="I34" s="1519"/>
      <c r="J34" s="1509"/>
      <c r="K34" s="1518"/>
      <c r="W34" s="1439">
        <v>11</v>
      </c>
    </row>
    <row customHeight="1" ht="11.549999999999999">
      <c r="F35" s="1514">
        <v>4</v>
      </c>
      <c r="G35" s="974" t="s">
        <v>1060</v>
      </c>
      <c r="H35" s="1520">
        <f>SUM(I35:J35)</f>
        <v>0</v>
      </c>
      <c r="I35" s="1519"/>
      <c r="J35" s="1509"/>
      <c r="K35" s="1518"/>
      <c r="W35" s="1439">
        <v>11</v>
      </c>
    </row>
    <row customHeight="1" ht="11.549999999999999">
      <c r="F36" s="1514"/>
      <c r="G36" s="977" t="s">
        <v>1061</v>
      </c>
      <c r="H36" s="1520">
        <f>SUM(I36:J36)</f>
        <v>0</v>
      </c>
      <c r="I36" s="1520">
        <f>SUM(I15,I28,I32,I35)</f>
        <v>0</v>
      </c>
      <c r="J36" s="1509"/>
      <c r="K36" s="1518"/>
      <c r="W36" s="1439">
        <v>11</v>
      </c>
    </row>
    <row customHeight="1" ht="29.25">
      <c r="F37" s="1515" t="s">
        <v>1062</v>
      </c>
      <c r="G37" s="2706" t="s">
        <v>1063</v>
      </c>
      <c r="H37" s="2706"/>
      <c r="I37" s="2706"/>
      <c r="J37" s="2706"/>
      <c r="K37" s="1518"/>
      <c r="W37" s="1439">
        <v>28</v>
      </c>
    </row>
    <row customHeight="1" ht="24">
      <c r="F38" s="1514" t="s">
        <v>110</v>
      </c>
      <c r="G38" s="974" t="s">
        <v>1064</v>
      </c>
      <c r="H38" s="1520">
        <f>SUM(I38:J38)</f>
        <v>0</v>
      </c>
      <c r="I38" s="1520">
        <f>SUM(I39,I44,I47)</f>
        <v>0</v>
      </c>
      <c r="J38" s="1509"/>
      <c r="K38" s="1518"/>
      <c r="W38" s="1439">
        <v>23</v>
      </c>
    </row>
    <row customHeight="1" ht="11.549999999999999">
      <c r="F39" s="1514" t="s">
        <v>1029</v>
      </c>
      <c r="G39" s="1521" t="s">
        <v>1028</v>
      </c>
      <c r="H39" s="1520">
        <f>SUM(I39:J39)</f>
        <v>0</v>
      </c>
      <c r="I39" s="1520">
        <f>SUM(I40:I43)</f>
        <v>0</v>
      </c>
      <c r="J39" s="1509"/>
      <c r="K39" s="1518"/>
      <c r="W39" s="1439">
        <v>11</v>
      </c>
    </row>
    <row customHeight="1" ht="24">
      <c r="F40" s="1514" t="s">
        <v>1065</v>
      </c>
      <c r="G40" s="1522" t="s">
        <v>1066</v>
      </c>
      <c r="H40" s="1520">
        <f>SUM(I40:J40)</f>
        <v>0</v>
      </c>
      <c r="I40" s="1519"/>
      <c r="J40" s="1509"/>
      <c r="K40" s="1518"/>
      <c r="W40" s="1439">
        <v>23</v>
      </c>
    </row>
    <row customHeight="1" ht="11.549999999999999">
      <c r="F41" s="1514" t="s">
        <v>1067</v>
      </c>
      <c r="G41" s="1522" t="s">
        <v>1068</v>
      </c>
      <c r="H41" s="1520">
        <f>SUM(I41:J41)</f>
        <v>0</v>
      </c>
      <c r="I41" s="1519"/>
      <c r="J41" s="1509"/>
      <c r="K41" s="1518"/>
      <c r="W41" s="1439">
        <v>11</v>
      </c>
    </row>
    <row customHeight="1" ht="11.549999999999999">
      <c r="F42" s="1514" t="s">
        <v>1069</v>
      </c>
      <c r="G42" s="1522" t="s">
        <v>1070</v>
      </c>
      <c r="H42" s="1520">
        <f>SUM(I42:J42)</f>
        <v>0</v>
      </c>
      <c r="I42" s="1519"/>
      <c r="J42" s="1509"/>
      <c r="K42" s="1518"/>
      <c r="W42" s="1439">
        <v>11</v>
      </c>
    </row>
    <row customHeight="1" ht="35.699999999999996">
      <c r="F43" s="1514" t="s">
        <v>1071</v>
      </c>
      <c r="G43" s="1522" t="s">
        <v>1072</v>
      </c>
      <c r="H43" s="1520">
        <f>SUM(I43:J43)</f>
        <v>0</v>
      </c>
      <c r="I43" s="1519"/>
      <c r="J43" s="1509"/>
      <c r="K43" s="1518"/>
      <c r="W43" s="1439">
        <v>34</v>
      </c>
    </row>
    <row customHeight="1" ht="11.549999999999999">
      <c r="F44" s="1514" t="s">
        <v>1031</v>
      </c>
      <c r="G44" s="1521" t="s">
        <v>1057</v>
      </c>
      <c r="H44" s="1520">
        <f>SUM(I44:J44)</f>
        <v>0</v>
      </c>
      <c r="I44" s="1520">
        <f>SUM(I45:I46)</f>
        <v>0</v>
      </c>
      <c r="J44" s="1509"/>
      <c r="K44" s="1518"/>
      <c r="W44" s="1439">
        <v>11</v>
      </c>
    </row>
    <row customHeight="1" ht="48.29999999999999">
      <c r="F45" s="1514" t="s">
        <v>1073</v>
      </c>
      <c r="G45" s="1522" t="s">
        <v>1058</v>
      </c>
      <c r="H45" s="1520">
        <f>SUM(I45:J45)</f>
        <v>0</v>
      </c>
      <c r="I45" s="1519"/>
      <c r="J45" s="1509"/>
      <c r="K45" s="1518"/>
      <c r="W45" s="1439">
        <v>46</v>
      </c>
    </row>
    <row customHeight="1" ht="11.549999999999999">
      <c r="F46" s="1514" t="s">
        <v>1074</v>
      </c>
      <c r="G46" s="1522" t="s">
        <v>1059</v>
      </c>
      <c r="H46" s="1520">
        <f>SUM(I46:J46)</f>
        <v>0</v>
      </c>
      <c r="I46" s="1519"/>
      <c r="J46" s="1509"/>
      <c r="K46" s="1518"/>
      <c r="W46" s="1439">
        <v>11</v>
      </c>
    </row>
    <row customHeight="1" ht="11.549999999999999">
      <c r="F47" s="1514" t="s">
        <v>1033</v>
      </c>
      <c r="G47" s="1521" t="s">
        <v>1075</v>
      </c>
      <c r="H47" s="1520">
        <f>SUM(I47:J47)</f>
        <v>0</v>
      </c>
      <c r="I47" s="1519"/>
      <c r="J47" s="1509"/>
      <c r="K47" s="1518"/>
      <c r="W47" s="1439">
        <v>11</v>
      </c>
    </row>
    <row customHeight="1" ht="24">
      <c r="F48" s="1514" t="s">
        <v>111</v>
      </c>
      <c r="G48" s="974" t="s">
        <v>1076</v>
      </c>
      <c r="H48" s="1520">
        <f>SUM(I48:J48)</f>
        <v>0</v>
      </c>
      <c r="I48" s="1520">
        <f>SUM(I49,I54,I57)</f>
        <v>0</v>
      </c>
      <c r="J48" s="1509"/>
      <c r="K48" s="1518"/>
      <c r="W48" s="1439">
        <v>23</v>
      </c>
    </row>
    <row customHeight="1" ht="11.549999999999999">
      <c r="F49" s="1514" t="s">
        <v>716</v>
      </c>
      <c r="G49" s="1521" t="s">
        <v>1028</v>
      </c>
      <c r="H49" s="1520">
        <f>SUM(I49:J49)</f>
        <v>0</v>
      </c>
      <c r="I49" s="1520">
        <f>SUM(I50:I53)</f>
        <v>0</v>
      </c>
      <c r="J49" s="1509"/>
      <c r="K49" s="1518"/>
      <c r="W49" s="1439">
        <v>11</v>
      </c>
    </row>
    <row customHeight="1" ht="24">
      <c r="F50" s="1514" t="s">
        <v>719</v>
      </c>
      <c r="G50" s="1522" t="s">
        <v>1066</v>
      </c>
      <c r="H50" s="1520">
        <f>SUM(I50:J50)</f>
        <v>0</v>
      </c>
      <c r="I50" s="1519"/>
      <c r="J50" s="1509"/>
      <c r="K50" s="1518"/>
      <c r="W50" s="1439">
        <v>23</v>
      </c>
    </row>
    <row customHeight="1" ht="11.549999999999999">
      <c r="F51" s="1514" t="s">
        <v>722</v>
      </c>
      <c r="G51" s="1522" t="s">
        <v>1068</v>
      </c>
      <c r="H51" s="1520">
        <f>SUM(I51:J51)</f>
        <v>0</v>
      </c>
      <c r="I51" s="1519"/>
      <c r="J51" s="1509"/>
      <c r="K51" s="1518"/>
      <c r="W51" s="1439">
        <v>11</v>
      </c>
    </row>
    <row customHeight="1" ht="11.549999999999999">
      <c r="F52" s="1514" t="s">
        <v>1077</v>
      </c>
      <c r="G52" s="1522" t="s">
        <v>1070</v>
      </c>
      <c r="H52" s="1520">
        <f>SUM(I52:J52)</f>
        <v>0</v>
      </c>
      <c r="I52" s="1519"/>
      <c r="J52" s="1509"/>
      <c r="K52" s="1518"/>
      <c r="W52" s="1439">
        <v>11</v>
      </c>
    </row>
    <row customHeight="1" ht="35.699999999999996">
      <c r="F53" s="1514" t="s">
        <v>1078</v>
      </c>
      <c r="G53" s="1522" t="s">
        <v>1072</v>
      </c>
      <c r="H53" s="1520">
        <f>SUM(I53:J53)</f>
        <v>0</v>
      </c>
      <c r="I53" s="1519"/>
      <c r="J53" s="1509"/>
      <c r="K53" s="1518"/>
      <c r="W53" s="1439">
        <v>34</v>
      </c>
    </row>
    <row customHeight="1" ht="11.549999999999999">
      <c r="F54" s="1514" t="s">
        <v>312</v>
      </c>
      <c r="G54" s="1521" t="s">
        <v>1057</v>
      </c>
      <c r="H54" s="1520">
        <f>SUM(I54:J54)</f>
        <v>0</v>
      </c>
      <c r="I54" s="1520">
        <f>SUM(I55:I56)</f>
        <v>0</v>
      </c>
      <c r="J54" s="1509"/>
      <c r="K54" s="1518"/>
      <c r="W54" s="1439">
        <v>11</v>
      </c>
    </row>
    <row customHeight="1" ht="48.29999999999999">
      <c r="F55" s="1514" t="s">
        <v>726</v>
      </c>
      <c r="G55" s="1522" t="s">
        <v>1058</v>
      </c>
      <c r="H55" s="1520">
        <f>SUM(I55:J55)</f>
        <v>0</v>
      </c>
      <c r="I55" s="1519"/>
      <c r="J55" s="1509"/>
      <c r="K55" s="1518"/>
      <c r="W55" s="1439">
        <v>46</v>
      </c>
    </row>
    <row customHeight="1" ht="11.549999999999999">
      <c r="F56" s="1514" t="s">
        <v>728</v>
      </c>
      <c r="G56" s="1522" t="s">
        <v>1059</v>
      </c>
      <c r="H56" s="1520">
        <f>SUM(I56:J56)</f>
        <v>0</v>
      </c>
      <c r="I56" s="1519"/>
      <c r="J56" s="1509"/>
      <c r="K56" s="1518"/>
      <c r="W56" s="1439">
        <v>11</v>
      </c>
    </row>
    <row customHeight="1" ht="11.549999999999999">
      <c r="F57" s="1514" t="s">
        <v>315</v>
      </c>
      <c r="G57" s="1521" t="s">
        <v>1075</v>
      </c>
      <c r="H57" s="1520">
        <f>SUM(I57:J57)</f>
        <v>0</v>
      </c>
      <c r="I57" s="1519"/>
      <c r="J57" s="1509"/>
      <c r="K57" s="1518"/>
      <c r="W57" s="1439">
        <v>11</v>
      </c>
    </row>
    <row customHeight="1" ht="11.549999999999999">
      <c r="F58" s="1514"/>
      <c r="G58" s="1523" t="s">
        <v>1061</v>
      </c>
      <c r="H58" s="1520">
        <f>SUM(I58:J58)</f>
        <v>0</v>
      </c>
      <c r="I58" s="1520">
        <f>SUM(I38,I48)</f>
        <v>0</v>
      </c>
      <c r="J58" s="1509"/>
      <c r="K58" s="1518"/>
      <c r="W58" s="1439">
        <v>11</v>
      </c>
    </row>
    <row customHeight="1" ht="10.5" hidden="1">
      <c r="A59" s="1450" t="s">
        <v>83</v>
      </c>
      <c r="B59" s="1450">
        <v>0</v>
      </c>
      <c r="C59" s="1450">
        <v>0</v>
      </c>
      <c r="D59" s="1444">
        <v>0</v>
      </c>
      <c r="E59" s="793">
        <v>3</v>
      </c>
      <c r="F59" s="1439">
        <v>6</v>
      </c>
      <c r="G59" s="1439">
        <v>60</v>
      </c>
      <c r="H59" s="1439">
        <v>0</v>
      </c>
      <c r="I59" s="1439">
        <v>0</v>
      </c>
      <c r="J59" s="1439">
        <v>0</v>
      </c>
      <c r="K59" s="1439">
        <v>1</v>
      </c>
      <c r="L59" s="1439">
        <v>8</v>
      </c>
      <c r="M59" s="1439">
        <v>8</v>
      </c>
      <c r="N59" s="1439">
        <v>8</v>
      </c>
      <c r="O59" s="1439">
        <v>8</v>
      </c>
      <c r="P59" s="1439">
        <v>8</v>
      </c>
      <c r="Q59" s="1439">
        <v>8</v>
      </c>
      <c r="R59" s="1439">
        <v>8</v>
      </c>
      <c r="S59" s="1439">
        <v>8</v>
      </c>
      <c r="T59" s="1439">
        <v>8</v>
      </c>
      <c r="U59" s="1439">
        <v>8</v>
      </c>
      <c r="V59" s="1439">
        <v>8</v>
      </c>
      <c r="W59" s="1439">
        <v>10</v>
      </c>
    </row>
  </sheetData>
  <sheetProtection formatColumns="0" formatRows="0" autoFilter="0" sort="0" insertRows="0" insertColumns="1" deleteRows="0" deleteColumns="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216F61E-3A98-D468-00D8-88DEA57AA573}" mc:Ignorable="x14ac xr xr2 xr3">
  <sheetPr>
    <tabColor theme="9" tint="-0.25"/>
  </sheetPr>
  <dimension ref="A1:GC25"/>
  <sheetViews>
    <sheetView topLeftCell="A1" showGridLines="0" zoomScale="90" workbookViewId="0">
      <selection activeCell="A1" sqref="A1"/>
    </sheetView>
  </sheetViews>
  <sheetFormatPr defaultColWidth="9.140625" customHeight="1" defaultRowHeight="12"/>
  <cols>
    <col min="1" max="1" style="15933" width="4.7109375" hidden="1" customWidth="1"/>
    <col min="2" max="2" style="15939" width="4.7109375" hidden="1" customWidth="1"/>
    <col min="3" max="4" style="15933" width="4.7109375" hidden="1" customWidth="1"/>
    <col min="5" max="5" style="15933" width="3.00390625" customWidth="1"/>
    <col min="6" max="6" style="15933" width="6.00390625" customWidth="1"/>
    <col min="7" max="7" style="15933" width="18.00390625" customWidth="1"/>
    <col min="8" max="8" style="15933" width="27.00390625" customWidth="1"/>
    <col min="9" max="9" style="15933" width="18.00390625" customWidth="1"/>
    <col min="10" max="14" style="15933" width="0.8515625" hidden="1" customWidth="1"/>
    <col min="15" max="28" style="15933" width="21.7109375" customWidth="1"/>
    <col min="29" max="71" style="15933" width="0.8515625" customWidth="1"/>
    <col min="72" max="79" style="15933" width="21.7109375" hidden="1" customWidth="1"/>
    <col min="80" max="81" style="15933" width="29.140625" hidden="1" customWidth="1"/>
    <col min="82" max="89" style="15933" width="21.7109375" hidden="1" customWidth="1"/>
    <col min="90" max="102" style="15933" width="0.7109375" hidden="1" customWidth="1"/>
    <col min="103" max="114" style="15933" width="21.7109375" hidden="1" customWidth="1"/>
    <col min="115" max="178" style="15933" width="0.7109375" hidden="1" customWidth="1"/>
    <col min="179" max="179" style="15933" width="0.140625" customWidth="1"/>
    <col min="180" max="184" style="15933" width="8.00390625" customWidth="1"/>
    <col min="185" max="185" style="15933" width="9.140625" hidden="1"/>
  </cols>
  <sheetData>
    <row s="15863" customFormat="1" customHeight="1" ht="12" hidden="1">
      <c r="B1" s="1207"/>
      <c r="C1" s="1208"/>
      <c r="D1" s="1208"/>
      <c r="GC1" s="1206" t="s">
        <v>14</v>
      </c>
    </row>
    <row s="15863" customFormat="1" customHeight="1" ht="12" hidden="1">
      <c r="B2" s="1207"/>
      <c r="C2" s="1208"/>
      <c r="D2" s="1208"/>
      <c r="E2" s="1208"/>
      <c r="F2" s="1208"/>
      <c r="G2" s="1208"/>
      <c r="H2" s="1208"/>
      <c r="I2" s="1208"/>
      <c r="J2" s="1208"/>
      <c r="K2" s="1208"/>
      <c r="L2" s="1208"/>
      <c r="M2" s="1208"/>
      <c r="N2" s="1208"/>
      <c r="O2" s="1208"/>
      <c r="P2" s="1208"/>
      <c r="Q2" s="1208"/>
      <c r="R2" s="1208"/>
      <c r="S2" s="1208"/>
      <c r="T2" s="1208"/>
      <c r="U2" s="1208"/>
      <c r="V2" s="1208"/>
      <c r="W2" s="1208"/>
      <c r="X2" s="1208"/>
      <c r="Y2" s="1208"/>
      <c r="Z2" s="1208"/>
      <c r="AA2" s="1208"/>
      <c r="AB2" s="1209"/>
      <c r="AC2" s="1208"/>
      <c r="AD2" s="1208"/>
      <c r="AE2" s="1208"/>
      <c r="AF2" s="1208"/>
      <c r="AG2" s="1208"/>
      <c r="AH2" s="1208"/>
      <c r="AI2" s="1208"/>
      <c r="AJ2" s="1208"/>
      <c r="AK2" s="1208"/>
      <c r="AL2" s="1208"/>
      <c r="AM2" s="1208"/>
      <c r="AN2" s="1208"/>
      <c r="AO2" s="1208"/>
      <c r="AP2" s="1208"/>
      <c r="AQ2" s="1208"/>
      <c r="AR2" s="1208"/>
      <c r="AS2" s="1208"/>
      <c r="AT2" s="1208"/>
      <c r="AU2" s="1208"/>
      <c r="AV2" s="1208"/>
      <c r="AW2" s="1208"/>
      <c r="AX2" s="1208"/>
      <c r="AY2" s="1208"/>
      <c r="AZ2" s="1208"/>
      <c r="BA2" s="1208"/>
      <c r="BB2" s="1208"/>
      <c r="BC2" s="1208"/>
      <c r="BD2" s="1208"/>
      <c r="BE2" s="1208"/>
      <c r="BF2" s="1208"/>
      <c r="BG2" s="1208"/>
      <c r="BH2" s="1208"/>
      <c r="BI2" s="1208"/>
      <c r="BJ2" s="1208"/>
      <c r="BK2" s="1208"/>
      <c r="BL2" s="1208"/>
      <c r="BM2" s="1208"/>
      <c r="BN2" s="1208"/>
      <c r="BO2" s="1208"/>
      <c r="BP2" s="1208"/>
      <c r="BQ2" s="1208"/>
      <c r="BR2" s="1208"/>
      <c r="BS2" s="1208"/>
      <c r="BT2" s="1208"/>
      <c r="BU2" s="1208"/>
      <c r="BV2" s="1208"/>
      <c r="BW2" s="1208"/>
      <c r="BX2" s="1208"/>
      <c r="BY2" s="1208"/>
      <c r="BZ2" s="1208"/>
      <c r="CA2" s="1208"/>
      <c r="CB2" s="1208"/>
      <c r="CC2" s="1208"/>
      <c r="CD2" s="1208"/>
      <c r="CE2" s="1208"/>
      <c r="CF2" s="1208"/>
      <c r="CG2" s="1208"/>
      <c r="CH2" s="1208"/>
      <c r="CI2" s="1208"/>
      <c r="CJ2" s="1208"/>
      <c r="CK2" s="1208"/>
      <c r="CL2" s="1208"/>
      <c r="CM2" s="1208"/>
      <c r="CN2" s="1208"/>
      <c r="CO2" s="1208"/>
      <c r="CP2" s="1208"/>
      <c r="CQ2" s="1208"/>
      <c r="CR2" s="1208"/>
      <c r="CS2" s="1208"/>
      <c r="CT2" s="1208"/>
      <c r="CU2" s="1208"/>
      <c r="CV2" s="1208"/>
      <c r="CW2" s="1208"/>
      <c r="CX2" s="1208"/>
      <c r="CY2" s="1208"/>
      <c r="CZ2" s="1208"/>
      <c r="DA2" s="1208"/>
      <c r="DB2" s="1208"/>
      <c r="DC2" s="1208"/>
      <c r="DD2" s="1208"/>
      <c r="DE2" s="1208"/>
      <c r="DF2" s="1208"/>
      <c r="DG2" s="1208"/>
      <c r="DH2" s="1208"/>
      <c r="DI2" s="1208"/>
      <c r="DJ2" s="1208"/>
      <c r="DK2" s="1208"/>
      <c r="DL2" s="1208"/>
      <c r="DM2" s="1208"/>
      <c r="DN2" s="1208"/>
      <c r="DO2" s="1208"/>
      <c r="DP2" s="1208"/>
      <c r="DQ2" s="1208"/>
      <c r="DR2" s="1208"/>
      <c r="DS2" s="1208"/>
      <c r="DT2" s="1208"/>
      <c r="DU2" s="1208"/>
      <c r="DV2" s="1208"/>
      <c r="DW2" s="1208"/>
      <c r="DX2" s="1208"/>
      <c r="DY2" s="1208"/>
      <c r="DZ2" s="1208"/>
      <c r="EA2" s="1208"/>
      <c r="EB2" s="1208"/>
      <c r="EC2" s="1208"/>
      <c r="ED2" s="1208"/>
      <c r="EE2" s="1208"/>
      <c r="EF2" s="1208"/>
      <c r="EG2" s="1208"/>
      <c r="EH2" s="1208"/>
      <c r="EI2" s="1208"/>
      <c r="EJ2" s="1208"/>
      <c r="EK2" s="1208"/>
      <c r="EL2" s="1208"/>
      <c r="EM2" s="1208"/>
      <c r="EN2" s="1208"/>
      <c r="EO2" s="1208"/>
      <c r="EP2" s="1208"/>
      <c r="EQ2" s="1208"/>
      <c r="ER2" s="1208"/>
      <c r="ES2" s="1208"/>
      <c r="ET2" s="1208"/>
      <c r="EU2" s="1208"/>
      <c r="EV2" s="1208"/>
      <c r="EW2" s="1208"/>
      <c r="EX2" s="1208"/>
      <c r="EY2" s="1208"/>
      <c r="EZ2" s="1208"/>
      <c r="FA2" s="1208"/>
      <c r="FB2" s="1208"/>
      <c r="FC2" s="1208"/>
      <c r="FD2" s="1208"/>
      <c r="FE2" s="1208"/>
      <c r="FF2" s="1208"/>
      <c r="FG2" s="1208"/>
      <c r="FH2" s="1208"/>
      <c r="FI2" s="1208"/>
      <c r="FJ2" s="1208"/>
      <c r="FK2" s="1208"/>
      <c r="FL2" s="1208"/>
      <c r="FM2" s="1208"/>
      <c r="FN2" s="1208"/>
      <c r="FO2" s="1208"/>
      <c r="FP2" s="1208"/>
      <c r="FQ2" s="1208"/>
      <c r="FR2" s="1208"/>
      <c r="FS2" s="1208"/>
      <c r="FT2" s="1208"/>
      <c r="FU2" s="1208"/>
      <c r="FV2" s="1208"/>
      <c r="FW2" s="1208"/>
      <c r="GC2" s="1206">
        <v>0</v>
      </c>
    </row>
    <row s="15863" customFormat="1" customHeight="1" ht="12" hidden="1">
      <c r="B3" s="1207"/>
      <c r="C3" s="1208"/>
      <c r="D3" s="1208"/>
      <c r="E3" s="1208"/>
      <c r="F3" s="1208"/>
      <c r="G3" s="1208"/>
      <c r="H3" s="1208"/>
      <c r="I3" s="1208"/>
      <c r="J3" s="1208"/>
      <c r="K3" s="1208"/>
      <c r="L3" s="1208"/>
      <c r="M3" s="1208"/>
      <c r="N3" s="1208"/>
      <c r="O3" s="1208"/>
      <c r="P3" s="1208"/>
      <c r="Q3" s="1208"/>
      <c r="R3" s="1208"/>
      <c r="S3" s="1208"/>
      <c r="T3" s="1208"/>
      <c r="U3" s="1208"/>
      <c r="V3" s="1208"/>
      <c r="W3" s="1208"/>
      <c r="X3" s="1208"/>
      <c r="Y3" s="1208"/>
      <c r="Z3" s="1208"/>
      <c r="AA3" s="1208"/>
      <c r="AB3" s="1209"/>
      <c r="AC3" s="1208"/>
      <c r="AD3" s="1208"/>
      <c r="AE3" s="1208"/>
      <c r="AF3" s="1208"/>
      <c r="AG3" s="1208"/>
      <c r="AH3" s="1208"/>
      <c r="AI3" s="1208"/>
      <c r="AJ3" s="1208"/>
      <c r="AK3" s="1208"/>
      <c r="AL3" s="1208"/>
      <c r="AM3" s="1208"/>
      <c r="AN3" s="1208"/>
      <c r="AO3" s="1208"/>
      <c r="AP3" s="1208"/>
      <c r="AQ3" s="1208"/>
      <c r="AR3" s="1208"/>
      <c r="AS3" s="1208"/>
      <c r="AT3" s="1208"/>
      <c r="AU3" s="1208"/>
      <c r="AV3" s="1208"/>
      <c r="AW3" s="1208"/>
      <c r="AX3" s="1208"/>
      <c r="AY3" s="1208"/>
      <c r="AZ3" s="1208"/>
      <c r="BA3" s="1208"/>
      <c r="BB3" s="1208"/>
      <c r="BC3" s="1208"/>
      <c r="BD3" s="1208"/>
      <c r="BE3" s="1208"/>
      <c r="BF3" s="1208"/>
      <c r="BG3" s="1208"/>
      <c r="BH3" s="1208"/>
      <c r="BI3" s="1208"/>
      <c r="BJ3" s="1208"/>
      <c r="BK3" s="1208"/>
      <c r="BL3" s="1208"/>
      <c r="BM3" s="1208"/>
      <c r="BN3" s="1208"/>
      <c r="BO3" s="1208"/>
      <c r="BP3" s="1208"/>
      <c r="BQ3" s="1208"/>
      <c r="BR3" s="1208"/>
      <c r="BS3" s="1208"/>
      <c r="BT3" s="1208"/>
      <c r="BU3" s="1208"/>
      <c r="BV3" s="1208"/>
      <c r="BW3" s="1208"/>
      <c r="BX3" s="1208"/>
      <c r="BY3" s="1208"/>
      <c r="BZ3" s="1208"/>
      <c r="CA3" s="1208"/>
      <c r="CB3" s="1208"/>
      <c r="CC3" s="1208"/>
      <c r="CD3" s="1208"/>
      <c r="CE3" s="1208"/>
      <c r="CF3" s="1208"/>
      <c r="CG3" s="1208"/>
      <c r="CH3" s="1208"/>
      <c r="CI3" s="1208"/>
      <c r="CJ3" s="1208"/>
      <c r="CK3" s="1208"/>
      <c r="CL3" s="1208"/>
      <c r="CM3" s="1208"/>
      <c r="CN3" s="1208"/>
      <c r="CO3" s="1208"/>
      <c r="CP3" s="1208"/>
      <c r="CQ3" s="1208"/>
      <c r="CR3" s="1208"/>
      <c r="CS3" s="1208"/>
      <c r="CT3" s="1208"/>
      <c r="CU3" s="1208"/>
      <c r="CV3" s="1208"/>
      <c r="CW3" s="1208"/>
      <c r="CX3" s="1208"/>
      <c r="CY3" s="1208"/>
      <c r="CZ3" s="1208"/>
      <c r="DA3" s="1208"/>
      <c r="DB3" s="1208"/>
      <c r="DC3" s="1208"/>
      <c r="DD3" s="1208"/>
      <c r="DE3" s="1208"/>
      <c r="DF3" s="1208"/>
      <c r="DG3" s="1208"/>
      <c r="DH3" s="1208"/>
      <c r="DI3" s="1208"/>
      <c r="DJ3" s="1208"/>
      <c r="DK3" s="1208"/>
      <c r="DL3" s="1208"/>
      <c r="DM3" s="1208"/>
      <c r="DN3" s="1208"/>
      <c r="DO3" s="1208"/>
      <c r="DP3" s="1208"/>
      <c r="DQ3" s="1208"/>
      <c r="DR3" s="1208"/>
      <c r="DS3" s="1208"/>
      <c r="DT3" s="1208"/>
      <c r="DU3" s="1208"/>
      <c r="DV3" s="1208"/>
      <c r="DW3" s="1208"/>
      <c r="DX3" s="1208"/>
      <c r="DY3" s="1208"/>
      <c r="DZ3" s="1208"/>
      <c r="EA3" s="1208"/>
      <c r="EB3" s="1208"/>
      <c r="EC3" s="1208"/>
      <c r="ED3" s="1208"/>
      <c r="EE3" s="1208"/>
      <c r="EF3" s="1208"/>
      <c r="EG3" s="1208"/>
      <c r="EH3" s="1208"/>
      <c r="EI3" s="1208"/>
      <c r="EJ3" s="1208"/>
      <c r="EK3" s="1208"/>
      <c r="EL3" s="1208"/>
      <c r="EM3" s="1208"/>
      <c r="EN3" s="1208"/>
      <c r="EO3" s="1208"/>
      <c r="EP3" s="1208"/>
      <c r="EQ3" s="1208"/>
      <c r="ER3" s="1208"/>
      <c r="ES3" s="1208"/>
      <c r="ET3" s="1208"/>
      <c r="EU3" s="1208"/>
      <c r="EV3" s="1208"/>
      <c r="EW3" s="1208"/>
      <c r="EX3" s="1208"/>
      <c r="EY3" s="1208"/>
      <c r="EZ3" s="1208"/>
      <c r="FA3" s="1208"/>
      <c r="FB3" s="1208"/>
      <c r="FC3" s="1208"/>
      <c r="FD3" s="1208"/>
      <c r="FE3" s="1208"/>
      <c r="FF3" s="1208"/>
      <c r="FG3" s="1208"/>
      <c r="FH3" s="1208"/>
      <c r="FI3" s="1208"/>
      <c r="FJ3" s="1208"/>
      <c r="FK3" s="1208"/>
      <c r="FL3" s="1208"/>
      <c r="FM3" s="1208"/>
      <c r="FN3" s="1208"/>
      <c r="FO3" s="1208"/>
      <c r="FP3" s="1208"/>
      <c r="FQ3" s="1208"/>
      <c r="FR3" s="1208"/>
      <c r="FS3" s="1208"/>
      <c r="FT3" s="1208"/>
      <c r="FU3" s="1208"/>
      <c r="FV3" s="1208"/>
      <c r="FW3" s="1208"/>
      <c r="GC3" s="1206">
        <v>0</v>
      </c>
    </row>
    <row customHeight="1" ht="10.5">
      <c r="B4" s="1211"/>
      <c r="C4" s="1212"/>
      <c r="D4" s="1212"/>
      <c r="E4" s="1212"/>
      <c r="F4" s="1212"/>
      <c r="G4" s="1212"/>
      <c r="H4" s="1213"/>
      <c r="I4" s="1213"/>
      <c r="J4" s="1213"/>
      <c r="K4" s="1213"/>
      <c r="L4" s="1213"/>
      <c r="M4" s="1214"/>
      <c r="N4" s="1214"/>
      <c r="O4" s="1214"/>
      <c r="P4" s="1214"/>
      <c r="Q4" s="1214"/>
      <c r="R4" s="1214"/>
      <c r="S4" s="1214"/>
      <c r="T4" s="1214"/>
      <c r="U4" s="1214"/>
      <c r="V4" s="1214"/>
      <c r="W4" s="1214"/>
      <c r="X4" s="1214"/>
      <c r="Y4" s="1214"/>
      <c r="Z4" s="1214"/>
      <c r="AA4" s="1214"/>
      <c r="AB4" s="1214"/>
      <c r="AC4" s="1214"/>
      <c r="AD4" s="1214"/>
      <c r="AE4" s="1214"/>
      <c r="AF4" s="1214"/>
      <c r="AG4" s="1214"/>
      <c r="AH4" s="1214"/>
      <c r="AI4" s="1214"/>
      <c r="AJ4" s="1214"/>
      <c r="AK4" s="1214"/>
      <c r="AL4" s="1214"/>
      <c r="AM4" s="1214"/>
      <c r="AN4" s="1214"/>
      <c r="AO4" s="1214"/>
      <c r="AP4" s="1214"/>
      <c r="AQ4" s="1214"/>
      <c r="AR4" s="1214"/>
      <c r="AS4" s="1214"/>
      <c r="AT4" s="1214"/>
      <c r="AU4" s="1214"/>
      <c r="AV4" s="1214"/>
      <c r="AW4" s="1214"/>
      <c r="AX4" s="1214"/>
      <c r="AY4" s="1214"/>
      <c r="AZ4" s="1214"/>
      <c r="BA4" s="1214"/>
      <c r="BB4" s="1214"/>
      <c r="BC4" s="1214"/>
      <c r="BD4" s="1214"/>
      <c r="BE4" s="1214"/>
      <c r="BF4" s="1214"/>
      <c r="BG4" s="1214"/>
      <c r="BH4" s="1214"/>
      <c r="BI4" s="1214"/>
      <c r="BJ4" s="1214"/>
      <c r="BK4" s="1214"/>
      <c r="BL4" s="1214"/>
      <c r="BM4" s="1214"/>
      <c r="BN4" s="1214"/>
      <c r="BO4" s="1214"/>
      <c r="BP4" s="1214"/>
      <c r="BQ4" s="1214"/>
      <c r="BR4" s="1214"/>
      <c r="BS4" s="1214"/>
      <c r="BT4" s="1214"/>
      <c r="BU4" s="1214"/>
      <c r="BV4" s="1214"/>
      <c r="BW4" s="1214"/>
      <c r="BX4" s="1214"/>
      <c r="BY4" s="1214"/>
      <c r="BZ4" s="1214"/>
      <c r="CA4" s="1214"/>
      <c r="CB4" s="1214"/>
      <c r="CC4" s="1214"/>
      <c r="CD4" s="1214"/>
      <c r="CE4" s="1214"/>
      <c r="CF4" s="1214"/>
      <c r="CG4" s="1214"/>
      <c r="CH4" s="1214"/>
      <c r="CI4" s="1214"/>
      <c r="CJ4" s="1214"/>
      <c r="CK4" s="1214"/>
      <c r="CL4" s="1214"/>
      <c r="CM4" s="1214"/>
      <c r="CN4" s="1214"/>
      <c r="CO4" s="1214"/>
      <c r="CP4" s="1214"/>
      <c r="CQ4" s="1214"/>
      <c r="CR4" s="1214"/>
      <c r="CS4" s="1214"/>
      <c r="CT4" s="1214"/>
      <c r="CU4" s="1214"/>
      <c r="CV4" s="1214"/>
      <c r="CW4" s="1214"/>
      <c r="CX4" s="1214"/>
      <c r="CY4" s="1214"/>
      <c r="CZ4" s="1214"/>
      <c r="DA4" s="1214"/>
      <c r="DB4" s="1214"/>
      <c r="DC4" s="1214"/>
      <c r="DD4" s="1214"/>
      <c r="DE4" s="1214"/>
      <c r="DF4" s="1214"/>
      <c r="DG4" s="1214"/>
      <c r="DH4" s="1214"/>
      <c r="DI4" s="1214"/>
      <c r="DJ4" s="1214"/>
      <c r="DK4" s="1214"/>
      <c r="DL4" s="1214"/>
      <c r="DM4" s="1214"/>
      <c r="DN4" s="1214"/>
      <c r="DO4" s="1214"/>
      <c r="DP4" s="1214"/>
      <c r="DQ4" s="1214"/>
      <c r="DR4" s="1214"/>
      <c r="DS4" s="1214"/>
      <c r="DT4" s="1214"/>
      <c r="DU4" s="1214"/>
      <c r="DV4" s="1214"/>
      <c r="DW4" s="1214"/>
      <c r="DX4" s="1214"/>
      <c r="DY4" s="1214"/>
      <c r="DZ4" s="1214"/>
      <c r="EA4" s="1214"/>
      <c r="EB4" s="1214"/>
      <c r="EC4" s="1214"/>
      <c r="ED4" s="1214"/>
      <c r="EE4" s="1214"/>
      <c r="EF4" s="1214"/>
      <c r="EG4" s="1214"/>
      <c r="EH4" s="1214"/>
      <c r="EI4" s="1214"/>
      <c r="EJ4" s="1214"/>
      <c r="EK4" s="1214"/>
      <c r="EL4" s="1214"/>
      <c r="EM4" s="1214"/>
      <c r="EN4" s="1214"/>
      <c r="EO4" s="1214"/>
      <c r="EP4" s="1214"/>
      <c r="EQ4" s="1214"/>
      <c r="ER4" s="1214"/>
      <c r="ES4" s="1214"/>
      <c r="ET4" s="1214"/>
      <c r="EU4" s="1214"/>
      <c r="EV4" s="1214"/>
      <c r="EW4" s="1214"/>
      <c r="EX4" s="1214"/>
      <c r="EY4" s="1214"/>
      <c r="EZ4" s="1214"/>
      <c r="FA4" s="1214"/>
      <c r="FB4" s="1214"/>
      <c r="FC4" s="1214"/>
      <c r="FD4" s="1214"/>
      <c r="FE4" s="1214"/>
      <c r="FF4" s="1214"/>
      <c r="FG4" s="1214"/>
      <c r="FH4" s="1214"/>
      <c r="FI4" s="1214"/>
      <c r="FJ4" s="1214"/>
      <c r="FK4" s="1214"/>
      <c r="FL4" s="1214"/>
      <c r="FM4" s="1214"/>
      <c r="FN4" s="1214"/>
      <c r="FO4" s="1214"/>
      <c r="FP4" s="1214"/>
      <c r="FQ4" s="1214"/>
      <c r="FR4" s="1214"/>
      <c r="FS4" s="1214"/>
      <c r="FT4" s="1214"/>
      <c r="FU4" s="1214"/>
      <c r="FV4" s="1214"/>
      <c r="FW4" s="1214"/>
      <c r="GC4" s="1210">
        <v>10</v>
      </c>
    </row>
    <row s="15873" customFormat="1" customHeight="1" ht="27.299999999999997">
      <c r="B5" s="2156"/>
      <c r="E5" s="2158"/>
      <c r="F5" s="2716" t="str">
        <f>IP_NAME_FORM&amp;"
Показатели качества, надежности и энергетической эффективности в сфере "&amp;TEMPLATE_SPHERE_RUS</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Показатели качества, надежности и энергетической эффективности в сфере теплоснабжения</v>
      </c>
      <c r="G5" s="2453"/>
      <c r="H5" s="2453"/>
      <c r="I5" s="2453"/>
      <c r="J5" s="2453"/>
      <c r="K5" s="2453"/>
      <c r="L5" s="2453"/>
      <c r="M5" s="2453"/>
      <c r="N5" s="2453"/>
      <c r="O5" s="2453"/>
      <c r="P5" s="2453"/>
      <c r="Q5" s="2453"/>
      <c r="R5" s="2453"/>
      <c r="S5" s="2453"/>
      <c r="T5" s="2453"/>
      <c r="U5" s="2453"/>
      <c r="V5" s="2453"/>
      <c r="W5" s="2453"/>
      <c r="X5" s="2453"/>
      <c r="Y5" s="2453"/>
      <c r="Z5" s="2453"/>
      <c r="AA5" s="2453"/>
      <c r="AB5" s="2453"/>
      <c r="AC5" s="2453"/>
      <c r="AD5" s="2453"/>
      <c r="AE5" s="2453"/>
      <c r="AF5" s="2453"/>
      <c r="AG5" s="2453"/>
      <c r="AH5" s="2453"/>
      <c r="AI5" s="2453"/>
      <c r="AJ5" s="2453"/>
      <c r="AK5" s="2453"/>
      <c r="AL5" s="2453"/>
      <c r="AM5" s="2453"/>
      <c r="AN5" s="2453"/>
      <c r="AO5" s="2453"/>
      <c r="AP5" s="2453"/>
      <c r="AQ5" s="2453"/>
      <c r="AR5" s="2453"/>
      <c r="AS5" s="2453"/>
      <c r="AT5" s="2453"/>
      <c r="AU5" s="2453"/>
      <c r="AV5" s="2453"/>
      <c r="AW5" s="2453"/>
      <c r="AX5" s="2453"/>
      <c r="AY5" s="2453"/>
      <c r="AZ5" s="2453"/>
      <c r="BA5" s="2453"/>
      <c r="BB5" s="2453"/>
      <c r="BC5" s="2453"/>
      <c r="BD5" s="2453"/>
      <c r="BE5" s="2453"/>
      <c r="BF5" s="2453"/>
      <c r="BG5" s="2453"/>
      <c r="BH5" s="2453"/>
      <c r="BI5" s="2453"/>
      <c r="BJ5" s="2453"/>
      <c r="BK5" s="2453"/>
      <c r="BL5" s="2453"/>
      <c r="BM5" s="2453"/>
      <c r="BN5" s="2453"/>
      <c r="BO5" s="2453"/>
      <c r="BP5" s="2453"/>
      <c r="BQ5" s="2453"/>
      <c r="BR5" s="2453"/>
      <c r="BS5" s="2453"/>
      <c r="GC5" s="2157">
        <v>26</v>
      </c>
    </row>
    <row s="15878" customFormat="1" customHeight="1" ht="18.75">
      <c r="B6" s="1227"/>
      <c r="E6" s="1229"/>
      <c r="F6" s="2498" t="str">
        <f>IF(org=0,"Не определено",org)</f>
        <v>МУП г. Азова "Теплоэнерго"</v>
      </c>
      <c r="G6" s="2499"/>
      <c r="H6" s="2499"/>
      <c r="I6" s="2499"/>
      <c r="J6" s="2499"/>
      <c r="K6" s="2499"/>
      <c r="L6" s="2499"/>
      <c r="M6" s="2499"/>
      <c r="N6" s="2499"/>
      <c r="O6" s="2499"/>
      <c r="P6" s="2499"/>
      <c r="Q6" s="2499"/>
      <c r="R6" s="2499"/>
      <c r="S6" s="2499"/>
      <c r="T6" s="2499"/>
      <c r="U6" s="2499"/>
      <c r="V6" s="2499"/>
      <c r="W6" s="2499"/>
      <c r="X6" s="2499"/>
      <c r="Y6" s="2499"/>
      <c r="Z6" s="2499"/>
      <c r="AA6" s="2499"/>
      <c r="AB6" s="2499"/>
      <c r="AC6" s="2499"/>
      <c r="AD6" s="2499"/>
      <c r="AE6" s="2499"/>
      <c r="AF6" s="2499"/>
      <c r="AG6" s="2499"/>
      <c r="AH6" s="2499"/>
      <c r="AI6" s="2499"/>
      <c r="AJ6" s="2499"/>
      <c r="AK6" s="2499"/>
      <c r="AL6" s="2499"/>
      <c r="AM6" s="2499"/>
      <c r="AN6" s="2499"/>
      <c r="AO6" s="2499"/>
      <c r="AP6" s="2499"/>
      <c r="AQ6" s="2499"/>
      <c r="AR6" s="2499"/>
      <c r="AS6" s="2499"/>
      <c r="AT6" s="2499"/>
      <c r="AU6" s="2499"/>
      <c r="AV6" s="2499"/>
      <c r="AW6" s="2499"/>
      <c r="AX6" s="2499"/>
      <c r="AY6" s="2499"/>
      <c r="AZ6" s="2499"/>
      <c r="BA6" s="2499"/>
      <c r="BB6" s="2499"/>
      <c r="BC6" s="2499"/>
      <c r="BD6" s="2499"/>
      <c r="BE6" s="2499"/>
      <c r="BF6" s="2499"/>
      <c r="BG6" s="2499"/>
      <c r="BH6" s="2499"/>
      <c r="BI6" s="2499"/>
      <c r="BJ6" s="2499"/>
      <c r="BK6" s="2499"/>
      <c r="BL6" s="2499"/>
      <c r="BM6" s="2499"/>
      <c r="BN6" s="2499"/>
      <c r="BO6" s="2499"/>
      <c r="BP6" s="2499"/>
      <c r="BQ6" s="2499"/>
      <c r="BR6" s="2499"/>
      <c r="BS6" s="2499"/>
      <c r="GC6" s="1228">
        <v>18</v>
      </c>
    </row>
    <row s="15882" customFormat="1" customHeight="1" ht="10.5">
      <c r="B7" s="1216"/>
      <c r="E7" s="1217"/>
      <c r="F7" s="1217"/>
      <c r="G7" s="1219"/>
      <c r="H7" s="1213"/>
      <c r="I7" s="1213"/>
      <c r="J7" s="1213"/>
      <c r="K7" s="1213"/>
      <c r="L7" s="1213"/>
      <c r="M7" s="1217"/>
      <c r="N7" s="1217"/>
      <c r="O7" s="1217"/>
      <c r="P7" s="1217"/>
      <c r="Q7" s="1217"/>
      <c r="R7" s="1217"/>
      <c r="S7" s="1217"/>
      <c r="T7" s="1217"/>
      <c r="U7" s="1217"/>
      <c r="V7" s="1217"/>
      <c r="W7" s="1217"/>
      <c r="X7" s="1217"/>
      <c r="Y7" s="1217"/>
      <c r="Z7" s="1217"/>
      <c r="AA7" s="1217"/>
      <c r="AB7" s="1217"/>
      <c r="AC7" s="1217"/>
      <c r="AD7" s="1217"/>
      <c r="AE7" s="1217"/>
      <c r="AF7" s="1217"/>
      <c r="AG7" s="1217"/>
      <c r="AH7" s="1217"/>
      <c r="AI7" s="1217"/>
      <c r="AJ7" s="1217"/>
      <c r="AK7" s="1217"/>
      <c r="AL7" s="1217"/>
      <c r="AM7" s="1217"/>
      <c r="AN7" s="1217"/>
      <c r="AO7" s="1217"/>
      <c r="AP7" s="1217"/>
      <c r="AQ7" s="1217"/>
      <c r="AR7" s="1217"/>
      <c r="AS7" s="1217"/>
      <c r="AT7" s="1217"/>
      <c r="AU7" s="1217"/>
      <c r="AV7" s="1217"/>
      <c r="AW7" s="1217"/>
      <c r="AX7" s="1217"/>
      <c r="AY7" s="1217"/>
      <c r="AZ7" s="1217"/>
      <c r="BA7" s="1217"/>
      <c r="BB7" s="1217"/>
      <c r="BC7" s="1217"/>
      <c r="BD7" s="1217"/>
      <c r="BE7" s="1217"/>
      <c r="BF7" s="1217"/>
      <c r="BG7" s="1217"/>
      <c r="BH7" s="1217"/>
      <c r="BI7" s="1217"/>
      <c r="BJ7" s="1217"/>
      <c r="BK7" s="1217"/>
      <c r="BL7" s="1217"/>
      <c r="BM7" s="1217"/>
      <c r="BN7" s="1217"/>
      <c r="BO7" s="1217"/>
      <c r="BP7" s="1217"/>
      <c r="BQ7" s="1217"/>
      <c r="BR7" s="1217"/>
      <c r="BS7" s="1217"/>
      <c r="BT7" s="1217"/>
      <c r="BU7" s="1217"/>
      <c r="BV7" s="1217"/>
      <c r="BW7" s="1217"/>
      <c r="BX7" s="1217"/>
      <c r="BY7" s="1217"/>
      <c r="BZ7" s="1217"/>
      <c r="CA7" s="1217"/>
      <c r="CB7" s="1217"/>
      <c r="CC7" s="1217"/>
      <c r="CD7" s="1217"/>
      <c r="CE7" s="1217"/>
      <c r="CF7" s="1217"/>
      <c r="CG7" s="1217"/>
      <c r="CH7" s="1217"/>
      <c r="CI7" s="1217"/>
      <c r="CJ7" s="1217"/>
      <c r="CK7" s="1217"/>
      <c r="CL7" s="1217"/>
      <c r="CM7" s="1217"/>
      <c r="CN7" s="1217"/>
      <c r="CO7" s="1217"/>
      <c r="CP7" s="1217"/>
      <c r="CQ7" s="1217"/>
      <c r="CR7" s="1217"/>
      <c r="CS7" s="1217"/>
      <c r="CT7" s="1217"/>
      <c r="CU7" s="1217"/>
      <c r="CV7" s="1217"/>
      <c r="CW7" s="1217"/>
      <c r="CX7" s="1217"/>
      <c r="CY7" s="1217"/>
      <c r="CZ7" s="1217"/>
      <c r="DA7" s="1217"/>
      <c r="DB7" s="1217"/>
      <c r="DC7" s="1217"/>
      <c r="DD7" s="1217"/>
      <c r="DE7" s="1217"/>
      <c r="DF7" s="1217"/>
      <c r="DG7" s="1217"/>
      <c r="DH7" s="1217"/>
      <c r="DI7" s="1217"/>
      <c r="DJ7" s="1217"/>
      <c r="DK7" s="1217"/>
      <c r="DL7" s="1217"/>
      <c r="DM7" s="1217"/>
      <c r="DN7" s="1217"/>
      <c r="DO7" s="1217"/>
      <c r="DP7" s="1217"/>
      <c r="DQ7" s="1217"/>
      <c r="DR7" s="1217"/>
      <c r="DS7" s="1217"/>
      <c r="DT7" s="1217"/>
      <c r="DU7" s="1217"/>
      <c r="DV7" s="1217"/>
      <c r="DW7" s="1217"/>
      <c r="DX7" s="1217"/>
      <c r="DY7" s="1217"/>
      <c r="DZ7" s="1217"/>
      <c r="EA7" s="1217"/>
      <c r="EB7" s="1217"/>
      <c r="EC7" s="1217"/>
      <c r="ED7" s="1217"/>
      <c r="EE7" s="1217"/>
      <c r="EF7" s="1217"/>
      <c r="EG7" s="1217"/>
      <c r="EH7" s="1217"/>
      <c r="EI7" s="1217"/>
      <c r="EJ7" s="1217"/>
      <c r="EK7" s="1217"/>
      <c r="EL7" s="1217"/>
      <c r="EM7" s="1217"/>
      <c r="EN7" s="1217"/>
      <c r="EO7" s="1217"/>
      <c r="EP7" s="1217"/>
      <c r="EQ7" s="1217"/>
      <c r="ER7" s="1217"/>
      <c r="ES7" s="1217"/>
      <c r="ET7" s="1217"/>
      <c r="EU7" s="1217"/>
      <c r="EV7" s="1217"/>
      <c r="EW7" s="1217"/>
      <c r="EX7" s="1217"/>
      <c r="EY7" s="1217"/>
      <c r="EZ7" s="1217"/>
      <c r="FA7" s="1217"/>
      <c r="FB7" s="1217"/>
      <c r="FC7" s="1217"/>
      <c r="FD7" s="1217"/>
      <c r="FE7" s="1217"/>
      <c r="FF7" s="1217"/>
      <c r="FG7" s="1217"/>
      <c r="FH7" s="1217"/>
      <c r="FI7" s="1217"/>
      <c r="FJ7" s="1217"/>
      <c r="FK7" s="1217"/>
      <c r="FL7" s="1217"/>
      <c r="FM7" s="1217"/>
      <c r="FN7" s="1217"/>
      <c r="FO7" s="1217"/>
      <c r="FP7" s="1217"/>
      <c r="FQ7" s="1217"/>
      <c r="FR7" s="1217"/>
      <c r="FS7" s="1217"/>
      <c r="FT7" s="1217"/>
      <c r="FU7" s="1217"/>
      <c r="FV7" s="1217"/>
      <c r="FW7" s="1217"/>
      <c r="GC7" s="1215">
        <v>10</v>
      </c>
    </row>
    <row s="15882" customFormat="1" customHeight="1" ht="11.25" hidden="1">
      <c r="B8" s="1218"/>
      <c r="F8" s="1340"/>
      <c r="G8" s="1047"/>
      <c r="H8" s="644"/>
      <c r="I8" s="644"/>
      <c r="J8" s="644"/>
      <c r="K8" s="644"/>
      <c r="L8" s="644"/>
      <c r="M8" s="1340"/>
      <c r="N8" s="1340"/>
      <c r="O8" s="2734" t="s">
        <v>1079</v>
      </c>
      <c r="P8" s="2735"/>
      <c r="Q8" s="2735"/>
      <c r="R8" s="2735"/>
      <c r="S8" s="2735"/>
      <c r="T8" s="2735"/>
      <c r="U8" s="2735"/>
      <c r="V8" s="2735"/>
      <c r="W8" s="2735"/>
      <c r="X8" s="2735"/>
      <c r="Y8" s="2735"/>
      <c r="Z8" s="2735"/>
      <c r="AA8" s="2735"/>
      <c r="AB8" s="2735"/>
      <c r="AC8" s="2735"/>
      <c r="AD8" s="2735"/>
      <c r="AE8" s="2735"/>
      <c r="AF8" s="2735"/>
      <c r="AG8" s="2735"/>
      <c r="AH8" s="2735"/>
      <c r="AI8" s="2735"/>
      <c r="AJ8" s="2735"/>
      <c r="AK8" s="2735"/>
      <c r="AL8" s="2735"/>
      <c r="AM8" s="2735"/>
      <c r="AN8" s="2735"/>
      <c r="AO8" s="2735"/>
      <c r="AP8" s="2735"/>
      <c r="AQ8" s="2735"/>
      <c r="AR8" s="2735"/>
      <c r="AS8" s="2735"/>
      <c r="AT8" s="2735"/>
      <c r="AU8" s="2735"/>
      <c r="AV8" s="2735"/>
      <c r="AW8" s="2735"/>
      <c r="AX8" s="2735"/>
      <c r="AY8" s="2735"/>
      <c r="AZ8" s="2735"/>
      <c r="BA8" s="2735"/>
      <c r="BB8" s="2735"/>
      <c r="BC8" s="2735"/>
      <c r="BD8" s="2735"/>
      <c r="BE8" s="2735"/>
      <c r="BF8" s="2735"/>
      <c r="BG8" s="2735"/>
      <c r="BH8" s="2735"/>
      <c r="BI8" s="2735"/>
      <c r="BJ8" s="2735"/>
      <c r="BK8" s="2735"/>
      <c r="BL8" s="2735"/>
      <c r="BM8" s="2735"/>
      <c r="BN8" s="2735"/>
      <c r="BO8" s="2735"/>
      <c r="BP8" s="2735"/>
      <c r="BQ8" s="2735"/>
      <c r="BR8" s="2735"/>
      <c r="BS8" s="2736"/>
      <c r="BT8" s="2723"/>
      <c r="BU8" s="2724"/>
      <c r="BV8" s="2724"/>
      <c r="BW8" s="2724"/>
      <c r="BX8" s="2724"/>
      <c r="BY8" s="2724"/>
      <c r="BZ8" s="2724"/>
      <c r="CA8" s="2724"/>
      <c r="CB8" s="2724"/>
      <c r="CC8" s="2724"/>
      <c r="CD8" s="2724"/>
      <c r="CE8" s="2724"/>
      <c r="CF8" s="2724"/>
      <c r="CG8" s="2724"/>
      <c r="CH8" s="2724"/>
      <c r="CI8" s="2724"/>
      <c r="CJ8" s="2724"/>
      <c r="CK8" s="2724"/>
      <c r="CL8" s="2724"/>
      <c r="CM8" s="2724"/>
      <c r="CN8" s="2724"/>
      <c r="CO8" s="2724"/>
      <c r="CP8" s="2724"/>
      <c r="CQ8" s="2724"/>
      <c r="CR8" s="2724"/>
      <c r="CS8" s="2724"/>
      <c r="CT8" s="2724"/>
      <c r="CU8" s="2724"/>
      <c r="CV8" s="2724"/>
      <c r="CW8" s="2724"/>
      <c r="CX8" s="2725"/>
      <c r="CY8" s="2726"/>
      <c r="CZ8" s="2727"/>
      <c r="DA8" s="2727"/>
      <c r="DB8" s="2727"/>
      <c r="DC8" s="2727"/>
      <c r="DD8" s="2727"/>
      <c r="DE8" s="2727"/>
      <c r="DF8" s="2727"/>
      <c r="DG8" s="2727"/>
      <c r="DH8" s="2727"/>
      <c r="DI8" s="2727"/>
      <c r="DJ8" s="2727"/>
      <c r="DK8" s="2727"/>
      <c r="DL8" s="2727"/>
      <c r="DM8" s="2727"/>
      <c r="DN8" s="2727"/>
      <c r="DO8" s="2727"/>
      <c r="DP8" s="2727"/>
      <c r="DQ8" s="2727"/>
      <c r="DR8" s="2727"/>
      <c r="DS8" s="2727"/>
      <c r="DT8" s="2727"/>
      <c r="DU8" s="2727"/>
      <c r="DV8" s="2727"/>
      <c r="DW8" s="2727"/>
      <c r="DX8" s="2728"/>
      <c r="DY8" s="2729" t="s">
        <v>1080</v>
      </c>
      <c r="DZ8" s="2730"/>
      <c r="EA8" s="2730"/>
      <c r="EB8" s="2730"/>
      <c r="EC8" s="2730"/>
      <c r="ED8" s="2730"/>
      <c r="EE8" s="2730"/>
      <c r="EF8" s="2730"/>
      <c r="EG8" s="2730"/>
      <c r="EH8" s="2730"/>
      <c r="EI8" s="2730"/>
      <c r="EJ8" s="2730"/>
      <c r="EK8" s="2730"/>
      <c r="EL8" s="2730"/>
      <c r="EM8" s="2730"/>
      <c r="EN8" s="2730"/>
      <c r="EO8" s="2730"/>
      <c r="EP8" s="2730"/>
      <c r="EQ8" s="2730"/>
      <c r="ER8" s="2730"/>
      <c r="ES8" s="2730"/>
      <c r="ET8" s="2730"/>
      <c r="EU8" s="2730"/>
      <c r="EV8" s="2730"/>
      <c r="EW8" s="2730"/>
      <c r="EX8" s="2730"/>
      <c r="EY8" s="2730"/>
      <c r="EZ8" s="2730"/>
      <c r="FA8" s="2730"/>
      <c r="FB8" s="2730"/>
      <c r="FC8" s="2730"/>
      <c r="FD8" s="2730"/>
      <c r="FE8" s="2730"/>
      <c r="FF8" s="2730"/>
      <c r="FG8" s="2730"/>
      <c r="FH8" s="2730"/>
      <c r="FI8" s="2730"/>
      <c r="FJ8" s="2730"/>
      <c r="FK8" s="2730"/>
      <c r="FL8" s="2730"/>
      <c r="FM8" s="2730"/>
      <c r="FN8" s="2730"/>
      <c r="FO8" s="2730"/>
      <c r="FP8" s="2730"/>
      <c r="FQ8" s="2730"/>
      <c r="FR8" s="2730"/>
      <c r="FS8" s="2730"/>
      <c r="FT8" s="2730"/>
      <c r="FU8" s="2730"/>
      <c r="FV8" s="2730"/>
      <c r="FW8" s="2731"/>
      <c r="FX8" s="1340"/>
      <c r="GC8" s="1217">
        <v>0</v>
      </c>
    </row>
    <row s="15882" customFormat="1" customHeight="1" ht="11.25" hidden="1">
      <c r="B9" s="1218"/>
      <c r="F9" s="1340"/>
      <c r="G9" s="1047"/>
      <c r="H9" s="644"/>
      <c r="I9" s="644"/>
      <c r="J9" s="644"/>
      <c r="K9" s="644"/>
      <c r="L9" s="644"/>
      <c r="M9" s="1340"/>
      <c r="N9" s="1340"/>
      <c r="O9" s="1340"/>
      <c r="P9" s="1340"/>
      <c r="Q9" s="1340"/>
      <c r="R9" s="1340"/>
      <c r="S9" s="1340"/>
      <c r="T9" s="1340"/>
      <c r="U9" s="1340"/>
      <c r="V9" s="1340"/>
      <c r="W9" s="1340"/>
      <c r="X9" s="1340"/>
      <c r="Y9" s="1340"/>
      <c r="Z9" s="1340"/>
      <c r="AA9" s="1340"/>
      <c r="AB9" s="1340"/>
      <c r="AC9" s="1340"/>
      <c r="AD9" s="1340"/>
      <c r="AE9" s="1340"/>
      <c r="AF9" s="1340"/>
      <c r="AG9" s="1340"/>
      <c r="AH9" s="1340"/>
      <c r="AI9" s="1340"/>
      <c r="AJ9" s="1340"/>
      <c r="AK9" s="1340"/>
      <c r="AL9" s="1340"/>
      <c r="AM9" s="1340"/>
      <c r="AN9" s="1340"/>
      <c r="AO9" s="1340"/>
      <c r="AP9" s="1340"/>
      <c r="AQ9" s="1340"/>
      <c r="AR9" s="1340"/>
      <c r="AS9" s="1340"/>
      <c r="AT9" s="1340"/>
      <c r="AU9" s="1340"/>
      <c r="AV9" s="1340"/>
      <c r="AW9" s="1340"/>
      <c r="AX9" s="1340"/>
      <c r="AY9" s="1340"/>
      <c r="AZ9" s="1340"/>
      <c r="BA9" s="1340"/>
      <c r="BB9" s="1340"/>
      <c r="BC9" s="1340"/>
      <c r="BD9" s="1340"/>
      <c r="BE9" s="1340"/>
      <c r="BF9" s="1340"/>
      <c r="BG9" s="1340"/>
      <c r="BH9" s="1340"/>
      <c r="BI9" s="1340"/>
      <c r="BJ9" s="1340"/>
      <c r="BK9" s="1340"/>
      <c r="BL9" s="1340"/>
      <c r="BM9" s="1340"/>
      <c r="BN9" s="1340"/>
      <c r="BO9" s="1340"/>
      <c r="BP9" s="1340"/>
      <c r="BQ9" s="1340"/>
      <c r="BR9" s="1340"/>
      <c r="BS9" s="1340"/>
      <c r="BT9" s="1340"/>
      <c r="BU9" s="1340"/>
      <c r="BV9" s="1340"/>
      <c r="BW9" s="1340"/>
      <c r="BX9" s="1340"/>
      <c r="BY9" s="1340"/>
      <c r="BZ9" s="1340"/>
      <c r="CA9" s="1340"/>
      <c r="CB9" s="1340"/>
      <c r="CC9" s="1340"/>
      <c r="CD9" s="1340"/>
      <c r="CE9" s="1340"/>
      <c r="CF9" s="1340"/>
      <c r="CG9" s="1340"/>
      <c r="CH9" s="1340"/>
      <c r="CI9" s="1340"/>
      <c r="CJ9" s="1340"/>
      <c r="CK9" s="1340"/>
      <c r="CL9" s="1340"/>
      <c r="CM9" s="1340"/>
      <c r="CN9" s="1340"/>
      <c r="CO9" s="1340"/>
      <c r="CP9" s="1340"/>
      <c r="CQ9" s="1340"/>
      <c r="CR9" s="1340"/>
      <c r="CS9" s="1340"/>
      <c r="CT9" s="1340"/>
      <c r="CU9" s="1340"/>
      <c r="CV9" s="1340"/>
      <c r="CW9" s="1340"/>
      <c r="CX9" s="1340"/>
      <c r="CY9" s="1340"/>
      <c r="CZ9" s="1340"/>
      <c r="DA9" s="1340"/>
      <c r="DB9" s="1340"/>
      <c r="DC9" s="1340"/>
      <c r="DD9" s="1340"/>
      <c r="DE9" s="1340"/>
      <c r="DF9" s="1340"/>
      <c r="DG9" s="1340"/>
      <c r="DH9" s="1340"/>
      <c r="DI9" s="1340"/>
      <c r="DJ9" s="1340"/>
      <c r="DK9" s="1340"/>
      <c r="DL9" s="1340"/>
      <c r="DM9" s="1340"/>
      <c r="DN9" s="1340"/>
      <c r="DO9" s="1340"/>
      <c r="DP9" s="1340"/>
      <c r="DQ9" s="1340"/>
      <c r="DR9" s="1340"/>
      <c r="DS9" s="1340"/>
      <c r="DT9" s="1340"/>
      <c r="DU9" s="1340"/>
      <c r="DV9" s="1340"/>
      <c r="DW9" s="1340"/>
      <c r="DX9" s="1340"/>
      <c r="DY9" s="1340"/>
      <c r="DZ9" s="1340"/>
      <c r="EA9" s="1340"/>
      <c r="EB9" s="1340"/>
      <c r="EC9" s="1340"/>
      <c r="ED9" s="1340"/>
      <c r="EE9" s="1340"/>
      <c r="EF9" s="1340"/>
      <c r="EG9" s="1340"/>
      <c r="EH9" s="1340"/>
      <c r="EI9" s="1340"/>
      <c r="EJ9" s="1340"/>
      <c r="EK9" s="1340"/>
      <c r="EL9" s="1340"/>
      <c r="EM9" s="1340"/>
      <c r="EN9" s="1340"/>
      <c r="EO9" s="1340"/>
      <c r="EP9" s="1340"/>
      <c r="EQ9" s="1340"/>
      <c r="ER9" s="1340"/>
      <c r="ES9" s="1340"/>
      <c r="ET9" s="1340"/>
      <c r="EU9" s="1340"/>
      <c r="EV9" s="1340"/>
      <c r="EW9" s="1340"/>
      <c r="EX9" s="1340"/>
      <c r="EY9" s="1340"/>
      <c r="EZ9" s="1340"/>
      <c r="FA9" s="1340"/>
      <c r="FB9" s="1340"/>
      <c r="FC9" s="1340"/>
      <c r="FD9" s="1340"/>
      <c r="FE9" s="1340"/>
      <c r="FF9" s="1340"/>
      <c r="FG9" s="1340"/>
      <c r="FH9" s="1340"/>
      <c r="FI9" s="1340"/>
      <c r="FJ9" s="1340"/>
      <c r="FK9" s="1340"/>
      <c r="FL9" s="1340"/>
      <c r="FM9" s="1340"/>
      <c r="FN9" s="1340"/>
      <c r="FO9" s="1340"/>
      <c r="FP9" s="1340"/>
      <c r="FQ9" s="1340"/>
      <c r="FR9" s="1340"/>
      <c r="FS9" s="1340"/>
      <c r="FT9" s="1340"/>
      <c r="FU9" s="1340"/>
      <c r="FV9" s="1340"/>
      <c r="FW9" s="2732"/>
      <c r="FX9" s="1340"/>
      <c r="GC9" s="1217">
        <v>0</v>
      </c>
    </row>
    <row s="15882" customFormat="1" customHeight="1" ht="11.549999999999999">
      <c r="B10" s="1218"/>
      <c r="F10" s="2713" t="s">
        <v>305</v>
      </c>
      <c r="G10" s="2714"/>
      <c r="H10" s="2714"/>
      <c r="I10" s="2714"/>
      <c r="J10" s="2714"/>
      <c r="K10" s="2714"/>
      <c r="L10" s="2714"/>
      <c r="M10" s="2714"/>
      <c r="N10" s="2714"/>
      <c r="O10" s="2714"/>
      <c r="P10" s="2714"/>
      <c r="Q10" s="2714"/>
      <c r="R10" s="2714"/>
      <c r="S10" s="2714"/>
      <c r="T10" s="2714"/>
      <c r="U10" s="2714"/>
      <c r="V10" s="2714"/>
      <c r="W10" s="2714"/>
      <c r="X10" s="2714"/>
      <c r="Y10" s="2714"/>
      <c r="Z10" s="2714"/>
      <c r="AA10" s="2714"/>
      <c r="AB10" s="2714"/>
      <c r="AC10" s="2714"/>
      <c r="AD10" s="2714"/>
      <c r="AE10" s="2714"/>
      <c r="AF10" s="2714"/>
      <c r="AG10" s="2714"/>
      <c r="AH10" s="2714"/>
      <c r="AI10" s="2714"/>
      <c r="AJ10" s="2714"/>
      <c r="AK10" s="2714"/>
      <c r="AL10" s="2714"/>
      <c r="AM10" s="2714"/>
      <c r="AN10" s="2714"/>
      <c r="AO10" s="2714"/>
      <c r="AP10" s="2714"/>
      <c r="AQ10" s="2714"/>
      <c r="AR10" s="2714"/>
      <c r="AS10" s="2714"/>
      <c r="AT10" s="2714"/>
      <c r="AU10" s="2714"/>
      <c r="AV10" s="2714"/>
      <c r="AW10" s="2714"/>
      <c r="AX10" s="2714"/>
      <c r="AY10" s="2714"/>
      <c r="AZ10" s="2714"/>
      <c r="BA10" s="2714"/>
      <c r="BB10" s="2714"/>
      <c r="BC10" s="2714"/>
      <c r="BD10" s="2714"/>
      <c r="BE10" s="2714"/>
      <c r="BF10" s="2714"/>
      <c r="BG10" s="2714"/>
      <c r="BH10" s="2714"/>
      <c r="BI10" s="2714"/>
      <c r="BJ10" s="2714"/>
      <c r="BK10" s="2714"/>
      <c r="BL10" s="2714"/>
      <c r="BM10" s="2714"/>
      <c r="BN10" s="2714"/>
      <c r="BO10" s="2714"/>
      <c r="BP10" s="2714"/>
      <c r="BQ10" s="2714"/>
      <c r="BR10" s="2714"/>
      <c r="BS10" s="2714"/>
      <c r="BT10" s="2714"/>
      <c r="BU10" s="2714"/>
      <c r="BV10" s="2714"/>
      <c r="BW10" s="2714"/>
      <c r="BX10" s="2714"/>
      <c r="BY10" s="2714"/>
      <c r="BZ10" s="2714"/>
      <c r="CA10" s="2714"/>
      <c r="CB10" s="2714"/>
      <c r="CC10" s="2714"/>
      <c r="CD10" s="2714"/>
      <c r="CE10" s="2714"/>
      <c r="CF10" s="2714"/>
      <c r="CG10" s="2714"/>
      <c r="CH10" s="2714"/>
      <c r="CI10" s="2714"/>
      <c r="CJ10" s="2714"/>
      <c r="CK10" s="2714"/>
      <c r="CL10" s="2714"/>
      <c r="CM10" s="2714"/>
      <c r="CN10" s="2714"/>
      <c r="CO10" s="2714"/>
      <c r="CP10" s="2714"/>
      <c r="CQ10" s="2714"/>
      <c r="CR10" s="2714"/>
      <c r="CS10" s="2714"/>
      <c r="CT10" s="2714"/>
      <c r="CU10" s="2714"/>
      <c r="CV10" s="2714"/>
      <c r="CW10" s="2714"/>
      <c r="CX10" s="2714"/>
      <c r="CY10" s="2714"/>
      <c r="CZ10" s="2714"/>
      <c r="DA10" s="2714"/>
      <c r="DB10" s="2714"/>
      <c r="DC10" s="2714"/>
      <c r="DD10" s="2714"/>
      <c r="DE10" s="2714"/>
      <c r="DF10" s="2714"/>
      <c r="DG10" s="2714"/>
      <c r="DH10" s="2714"/>
      <c r="DI10" s="2714"/>
      <c r="DJ10" s="2714"/>
      <c r="DK10" s="2714"/>
      <c r="DL10" s="2714"/>
      <c r="DM10" s="2714"/>
      <c r="DN10" s="2714"/>
      <c r="DO10" s="2714"/>
      <c r="DP10" s="2714"/>
      <c r="DQ10" s="2714"/>
      <c r="DR10" s="2714"/>
      <c r="DS10" s="2714"/>
      <c r="DT10" s="2714"/>
      <c r="DU10" s="2714"/>
      <c r="DV10" s="2714"/>
      <c r="DW10" s="2714"/>
      <c r="DX10" s="2714"/>
      <c r="DY10" s="2714"/>
      <c r="DZ10" s="2714"/>
      <c r="EA10" s="2714"/>
      <c r="EB10" s="2714"/>
      <c r="EC10" s="2714"/>
      <c r="ED10" s="2714"/>
      <c r="EE10" s="2714"/>
      <c r="EF10" s="2714"/>
      <c r="EG10" s="2714"/>
      <c r="EH10" s="2714"/>
      <c r="EI10" s="2714"/>
      <c r="EJ10" s="2714"/>
      <c r="EK10" s="2714"/>
      <c r="EL10" s="2714"/>
      <c r="EM10" s="2714"/>
      <c r="EN10" s="2714"/>
      <c r="EO10" s="2714"/>
      <c r="EP10" s="2714"/>
      <c r="EQ10" s="2714"/>
      <c r="ER10" s="2714"/>
      <c r="ES10" s="2714"/>
      <c r="ET10" s="2714"/>
      <c r="EU10" s="2714"/>
      <c r="EV10" s="2714"/>
      <c r="EW10" s="2714"/>
      <c r="EX10" s="2714"/>
      <c r="EY10" s="2714"/>
      <c r="EZ10" s="2714"/>
      <c r="FA10" s="2714"/>
      <c r="FB10" s="2714"/>
      <c r="FC10" s="2714"/>
      <c r="FD10" s="2714"/>
      <c r="FE10" s="2714"/>
      <c r="FF10" s="2714"/>
      <c r="FG10" s="2714"/>
      <c r="FH10" s="2714"/>
      <c r="FI10" s="2714"/>
      <c r="FJ10" s="2714"/>
      <c r="FK10" s="2714"/>
      <c r="FL10" s="2714"/>
      <c r="FM10" s="2714"/>
      <c r="FN10" s="2714"/>
      <c r="FO10" s="2714"/>
      <c r="FP10" s="2714"/>
      <c r="FQ10" s="2714"/>
      <c r="FR10" s="2714"/>
      <c r="FS10" s="2714"/>
      <c r="FT10" s="2714"/>
      <c r="FU10" s="2714"/>
      <c r="FV10" s="2715"/>
      <c r="FW10" s="2732"/>
      <c r="FX10" s="1340"/>
      <c r="GC10" s="1217">
        <v>11</v>
      </c>
    </row>
    <row customHeight="1" ht="12.75">
      <c r="E11" s="1221"/>
      <c r="F11" s="2489" t="s">
        <v>89</v>
      </c>
      <c r="G11" s="2489" t="s">
        <v>1081</v>
      </c>
      <c r="H11" s="2721" t="s">
        <v>1082</v>
      </c>
      <c r="I11" s="2721" t="s">
        <v>1083</v>
      </c>
      <c r="J11" s="2722"/>
      <c r="K11" s="2722"/>
      <c r="L11" s="2722"/>
      <c r="M11" s="2722"/>
      <c r="N11" s="2722"/>
      <c r="O11" s="2493" t="s">
        <v>1084</v>
      </c>
      <c r="P11" s="2493"/>
      <c r="Q11" s="2493"/>
      <c r="R11" s="2493"/>
      <c r="S11" s="2493"/>
      <c r="T11" s="2493"/>
      <c r="U11" s="2493"/>
      <c r="V11" s="2493"/>
      <c r="W11" s="2493"/>
      <c r="X11" s="2493"/>
      <c r="Y11" s="2493"/>
      <c r="Z11" s="2493"/>
      <c r="AA11" s="2493"/>
      <c r="AB11" s="2493"/>
      <c r="AC11" s="2718"/>
      <c r="AD11" s="2718"/>
      <c r="AE11" s="2718"/>
      <c r="AF11" s="2718"/>
      <c r="AG11" s="2718"/>
      <c r="AH11" s="2718"/>
      <c r="AI11" s="2718"/>
      <c r="AJ11" s="2718"/>
      <c r="AK11" s="2718"/>
      <c r="AL11" s="2718"/>
      <c r="AM11" s="2718"/>
      <c r="AN11" s="2718"/>
      <c r="AO11" s="2718"/>
      <c r="AP11" s="2718"/>
      <c r="AQ11" s="2718"/>
      <c r="AR11" s="2718"/>
      <c r="AS11" s="2718"/>
      <c r="AT11" s="2718"/>
      <c r="AU11" s="2718"/>
      <c r="AV11" s="2718"/>
      <c r="AW11" s="2718"/>
      <c r="AX11" s="2718"/>
      <c r="AY11" s="2718"/>
      <c r="AZ11" s="2718"/>
      <c r="BA11" s="2718"/>
      <c r="BB11" s="2718"/>
      <c r="BC11" s="2718"/>
      <c r="BD11" s="2718"/>
      <c r="BE11" s="2718"/>
      <c r="BF11" s="2718"/>
      <c r="BG11" s="2718"/>
      <c r="BH11" s="2718"/>
      <c r="BI11" s="2718"/>
      <c r="BJ11" s="2718"/>
      <c r="BK11" s="2718"/>
      <c r="BL11" s="2718"/>
      <c r="BM11" s="2718"/>
      <c r="BN11" s="2718"/>
      <c r="BO11" s="2718"/>
      <c r="BP11" s="2718"/>
      <c r="BQ11" s="2718"/>
      <c r="BR11" s="2718"/>
      <c r="BS11" s="2737"/>
      <c r="BT11" s="2670" t="s">
        <v>1084</v>
      </c>
      <c r="BU11" s="2671"/>
      <c r="BV11" s="2671"/>
      <c r="BW11" s="2671"/>
      <c r="BX11" s="2671"/>
      <c r="BY11" s="2671"/>
      <c r="BZ11" s="2671"/>
      <c r="CA11" s="2671"/>
      <c r="CB11" s="2671"/>
      <c r="CC11" s="2671"/>
      <c r="CD11" s="2671"/>
      <c r="CE11" s="2671"/>
      <c r="CF11" s="2671"/>
      <c r="CG11" s="2671"/>
      <c r="CH11" s="2671"/>
      <c r="CI11" s="2671"/>
      <c r="CJ11" s="2671"/>
      <c r="CK11" s="2717"/>
      <c r="CL11" s="2720"/>
      <c r="CM11" s="2718"/>
      <c r="CN11" s="2718"/>
      <c r="CO11" s="2718"/>
      <c r="CP11" s="2718"/>
      <c r="CQ11" s="2718"/>
      <c r="CR11" s="2718"/>
      <c r="CS11" s="2718"/>
      <c r="CT11" s="2718"/>
      <c r="CU11" s="2718"/>
      <c r="CV11" s="2718"/>
      <c r="CW11" s="2718"/>
      <c r="CX11" s="2737"/>
      <c r="CY11" s="2670" t="s">
        <v>1084</v>
      </c>
      <c r="CZ11" s="2671"/>
      <c r="DA11" s="2671"/>
      <c r="DB11" s="2671"/>
      <c r="DC11" s="2671"/>
      <c r="DD11" s="2671"/>
      <c r="DE11" s="2671"/>
      <c r="DF11" s="2671"/>
      <c r="DG11" s="2671"/>
      <c r="DH11" s="2671"/>
      <c r="DI11" s="2671"/>
      <c r="DJ11" s="2717"/>
      <c r="DK11" s="2720"/>
      <c r="DL11" s="2718"/>
      <c r="DM11" s="2718"/>
      <c r="DN11" s="2718"/>
      <c r="DO11" s="2718"/>
      <c r="DP11" s="2718"/>
      <c r="DQ11" s="2718"/>
      <c r="DR11" s="2718"/>
      <c r="DS11" s="2718"/>
      <c r="DT11" s="2718"/>
      <c r="DU11" s="2718"/>
      <c r="DV11" s="2718"/>
      <c r="DW11" s="2718"/>
      <c r="DX11" s="2718"/>
      <c r="DY11" s="2718"/>
      <c r="DZ11" s="2718"/>
      <c r="EA11" s="2718"/>
      <c r="EB11" s="2718"/>
      <c r="EC11" s="2718"/>
      <c r="ED11" s="2718"/>
      <c r="EE11" s="2718"/>
      <c r="EF11" s="2718"/>
      <c r="EG11" s="2718"/>
      <c r="EH11" s="2718"/>
      <c r="EI11" s="2718"/>
      <c r="EJ11" s="2718"/>
      <c r="EK11" s="2718"/>
      <c r="EL11" s="2718"/>
      <c r="EM11" s="2718"/>
      <c r="EN11" s="2718"/>
      <c r="EO11" s="2718"/>
      <c r="EP11" s="2718"/>
      <c r="EQ11" s="2718"/>
      <c r="ER11" s="2718"/>
      <c r="ES11" s="2718"/>
      <c r="ET11" s="2718"/>
      <c r="EU11" s="2718"/>
      <c r="EV11" s="2718"/>
      <c r="EW11" s="2718"/>
      <c r="EX11" s="2718"/>
      <c r="EY11" s="2718"/>
      <c r="EZ11" s="2718"/>
      <c r="FA11" s="2718"/>
      <c r="FB11" s="2718"/>
      <c r="FC11" s="2718"/>
      <c r="FD11" s="2718"/>
      <c r="FE11" s="2718"/>
      <c r="FF11" s="2718"/>
      <c r="FG11" s="2718"/>
      <c r="FH11" s="2718"/>
      <c r="FI11" s="2718"/>
      <c r="FJ11" s="2718"/>
      <c r="FK11" s="2718"/>
      <c r="FL11" s="2718"/>
      <c r="FM11" s="2718"/>
      <c r="FN11" s="2718"/>
      <c r="FO11" s="2718"/>
      <c r="FP11" s="2718"/>
      <c r="FQ11" s="2718"/>
      <c r="FR11" s="2718"/>
      <c r="FS11" s="2718"/>
      <c r="FT11" s="2718"/>
      <c r="FU11" s="2718"/>
      <c r="FV11" s="2718"/>
      <c r="FW11" s="2732"/>
      <c r="FX11" s="1046"/>
      <c r="GC11" s="1210">
        <v>12</v>
      </c>
    </row>
    <row customHeight="1" ht="12.75">
      <c r="D12" s="1222"/>
      <c r="E12" s="1221"/>
      <c r="F12" s="2489"/>
      <c r="G12" s="2489"/>
      <c r="H12" s="2721"/>
      <c r="I12" s="2721"/>
      <c r="J12" s="2722"/>
      <c r="K12" s="2722"/>
      <c r="L12" s="2722"/>
      <c r="M12" s="2722"/>
      <c r="N12" s="2722"/>
      <c r="O12" s="2493" t="s">
        <v>1085</v>
      </c>
      <c r="P12" s="2493"/>
      <c r="Q12" s="2493"/>
      <c r="R12" s="2493"/>
      <c r="S12" s="2493" t="s">
        <v>1086</v>
      </c>
      <c r="T12" s="2493"/>
      <c r="U12" s="2493"/>
      <c r="V12" s="2493"/>
      <c r="W12" s="2493"/>
      <c r="X12" s="2493"/>
      <c r="Y12" s="2493"/>
      <c r="Z12" s="2493"/>
      <c r="AA12" s="2493"/>
      <c r="AB12" s="2493"/>
      <c r="AC12" s="2718"/>
      <c r="AD12" s="2718"/>
      <c r="AE12" s="2718"/>
      <c r="AF12" s="2718"/>
      <c r="AG12" s="2718"/>
      <c r="AH12" s="2718"/>
      <c r="AI12" s="2718"/>
      <c r="AJ12" s="2718"/>
      <c r="AK12" s="2718"/>
      <c r="AL12" s="2718"/>
      <c r="AM12" s="2718"/>
      <c r="AN12" s="2718"/>
      <c r="AO12" s="2718"/>
      <c r="AP12" s="2718"/>
      <c r="AQ12" s="2718"/>
      <c r="AR12" s="2718"/>
      <c r="AS12" s="2718"/>
      <c r="AT12" s="2718"/>
      <c r="AU12" s="2718"/>
      <c r="AV12" s="2718"/>
      <c r="AW12" s="2718"/>
      <c r="AX12" s="2718"/>
      <c r="AY12" s="2718"/>
      <c r="AZ12" s="2718"/>
      <c r="BA12" s="2718"/>
      <c r="BB12" s="2718"/>
      <c r="BC12" s="2718"/>
      <c r="BD12" s="2718"/>
      <c r="BE12" s="2718"/>
      <c r="BF12" s="2718"/>
      <c r="BG12" s="2718"/>
      <c r="BH12" s="2718"/>
      <c r="BI12" s="2718"/>
      <c r="BJ12" s="2718"/>
      <c r="BK12" s="2718"/>
      <c r="BL12" s="2718"/>
      <c r="BM12" s="2718"/>
      <c r="BN12" s="2718"/>
      <c r="BO12" s="2718"/>
      <c r="BP12" s="2718"/>
      <c r="BQ12" s="2718"/>
      <c r="BR12" s="2718"/>
      <c r="BS12" s="2737"/>
      <c r="BT12" s="2670" t="s">
        <v>1087</v>
      </c>
      <c r="BU12" s="2671"/>
      <c r="BV12" s="2671"/>
      <c r="BW12" s="2717"/>
      <c r="BX12" s="2670" t="s">
        <v>1088</v>
      </c>
      <c r="BY12" s="2671"/>
      <c r="BZ12" s="2671"/>
      <c r="CA12" s="2717"/>
      <c r="CB12" s="2670" t="s">
        <v>1089</v>
      </c>
      <c r="CC12" s="2717"/>
      <c r="CD12" s="2670" t="s">
        <v>1090</v>
      </c>
      <c r="CE12" s="2671"/>
      <c r="CF12" s="2671"/>
      <c r="CG12" s="2671"/>
      <c r="CH12" s="2671"/>
      <c r="CI12" s="2671"/>
      <c r="CJ12" s="2671"/>
      <c r="CK12" s="2717"/>
      <c r="CL12" s="2720"/>
      <c r="CM12" s="2718"/>
      <c r="CN12" s="2718"/>
      <c r="CO12" s="2718"/>
      <c r="CP12" s="2718"/>
      <c r="CQ12" s="2718"/>
      <c r="CR12" s="2718"/>
      <c r="CS12" s="2718"/>
      <c r="CT12" s="2718"/>
      <c r="CU12" s="2718"/>
      <c r="CV12" s="2718"/>
      <c r="CW12" s="2718"/>
      <c r="CX12" s="2737"/>
      <c r="CY12" s="2670" t="s">
        <v>1091</v>
      </c>
      <c r="CZ12" s="2671"/>
      <c r="DA12" s="2671"/>
      <c r="DB12" s="2671"/>
      <c r="DC12" s="2671"/>
      <c r="DD12" s="2717"/>
      <c r="DE12" s="2670" t="s">
        <v>1092</v>
      </c>
      <c r="DF12" s="2717"/>
      <c r="DG12" s="2670" t="s">
        <v>1090</v>
      </c>
      <c r="DH12" s="2671"/>
      <c r="DI12" s="2671"/>
      <c r="DJ12" s="2717"/>
      <c r="DK12" s="2720"/>
      <c r="DL12" s="2718"/>
      <c r="DM12" s="2718"/>
      <c r="DN12" s="2718"/>
      <c r="DO12" s="2718"/>
      <c r="DP12" s="2718"/>
      <c r="DQ12" s="2718"/>
      <c r="DR12" s="2718"/>
      <c r="DS12" s="2718"/>
      <c r="DT12" s="2718"/>
      <c r="DU12" s="2718"/>
      <c r="DV12" s="2718"/>
      <c r="DW12" s="2718"/>
      <c r="DX12" s="2718"/>
      <c r="DY12" s="2718"/>
      <c r="DZ12" s="2718"/>
      <c r="EA12" s="2718"/>
      <c r="EB12" s="2718"/>
      <c r="EC12" s="2718"/>
      <c r="ED12" s="2718"/>
      <c r="EE12" s="2718"/>
      <c r="EF12" s="2718"/>
      <c r="EG12" s="2718"/>
      <c r="EH12" s="2718"/>
      <c r="EI12" s="2718"/>
      <c r="EJ12" s="2718"/>
      <c r="EK12" s="2718"/>
      <c r="EL12" s="2718"/>
      <c r="EM12" s="2718"/>
      <c r="EN12" s="2718"/>
      <c r="EO12" s="2718"/>
      <c r="EP12" s="2718"/>
      <c r="EQ12" s="2718"/>
      <c r="ER12" s="2718"/>
      <c r="ES12" s="2718"/>
      <c r="ET12" s="2718"/>
      <c r="EU12" s="2718"/>
      <c r="EV12" s="2718"/>
      <c r="EW12" s="2718"/>
      <c r="EX12" s="2718"/>
      <c r="EY12" s="2718"/>
      <c r="EZ12" s="2718"/>
      <c r="FA12" s="2718"/>
      <c r="FB12" s="2718"/>
      <c r="FC12" s="2718"/>
      <c r="FD12" s="2718"/>
      <c r="FE12" s="2718"/>
      <c r="FF12" s="2718"/>
      <c r="FG12" s="2718"/>
      <c r="FH12" s="2718"/>
      <c r="FI12" s="2718"/>
      <c r="FJ12" s="2718"/>
      <c r="FK12" s="2718"/>
      <c r="FL12" s="2718"/>
      <c r="FM12" s="2718"/>
      <c r="FN12" s="2718"/>
      <c r="FO12" s="2718"/>
      <c r="FP12" s="2718"/>
      <c r="FQ12" s="2718"/>
      <c r="FR12" s="2718"/>
      <c r="FS12" s="2718"/>
      <c r="FT12" s="2718"/>
      <c r="FU12" s="2718"/>
      <c r="FV12" s="2718"/>
      <c r="FW12" s="2732"/>
      <c r="FX12" s="1046"/>
      <c r="GC12" s="1210">
        <v>12</v>
      </c>
    </row>
    <row customHeight="1" ht="37.8">
      <c r="D13" s="1222"/>
      <c r="E13" s="1221"/>
      <c r="F13" s="2489"/>
      <c r="G13" s="2489"/>
      <c r="H13" s="2721"/>
      <c r="I13" s="2721"/>
      <c r="J13" s="2722"/>
      <c r="K13" s="2722"/>
      <c r="L13" s="2722"/>
      <c r="M13" s="2722"/>
      <c r="N13" s="2722"/>
      <c r="O13" s="2493" t="s">
        <v>1093</v>
      </c>
      <c r="P13" s="2493"/>
      <c r="Q13" s="2493"/>
      <c r="R13" s="2493"/>
      <c r="S13" s="2620" t="s">
        <v>1094</v>
      </c>
      <c r="T13" s="2672"/>
      <c r="U13" s="2411" t="s">
        <v>1095</v>
      </c>
      <c r="V13" s="2411"/>
      <c r="W13" s="2411"/>
      <c r="X13" s="2411"/>
      <c r="Y13" s="2411" t="s">
        <v>1096</v>
      </c>
      <c r="Z13" s="2411"/>
      <c r="AA13" s="2411"/>
      <c r="AB13" s="2411"/>
      <c r="AC13" s="2718"/>
      <c r="AD13" s="2718"/>
      <c r="AE13" s="2718"/>
      <c r="AF13" s="2718"/>
      <c r="AG13" s="2718"/>
      <c r="AH13" s="2718"/>
      <c r="AI13" s="2718"/>
      <c r="AJ13" s="2718"/>
      <c r="AK13" s="2718"/>
      <c r="AL13" s="2718"/>
      <c r="AM13" s="2718"/>
      <c r="AN13" s="2718"/>
      <c r="AO13" s="2718"/>
      <c r="AP13" s="2718"/>
      <c r="AQ13" s="2718"/>
      <c r="AR13" s="2718"/>
      <c r="AS13" s="2718"/>
      <c r="AT13" s="2718"/>
      <c r="AU13" s="2718"/>
      <c r="AV13" s="2718"/>
      <c r="AW13" s="2718"/>
      <c r="AX13" s="2718"/>
      <c r="AY13" s="2718"/>
      <c r="AZ13" s="2718"/>
      <c r="BA13" s="2718"/>
      <c r="BB13" s="2718"/>
      <c r="BC13" s="2718"/>
      <c r="BD13" s="2718"/>
      <c r="BE13" s="2718"/>
      <c r="BF13" s="2718"/>
      <c r="BG13" s="2718"/>
      <c r="BH13" s="2718"/>
      <c r="BI13" s="2718"/>
      <c r="BJ13" s="2718"/>
      <c r="BK13" s="2718"/>
      <c r="BL13" s="2718"/>
      <c r="BM13" s="2718"/>
      <c r="BN13" s="2718"/>
      <c r="BO13" s="2718"/>
      <c r="BP13" s="2718"/>
      <c r="BQ13" s="2718"/>
      <c r="BR13" s="2718"/>
      <c r="BS13" s="2737"/>
      <c r="BT13" s="2620" t="s">
        <v>1097</v>
      </c>
      <c r="BU13" s="2672"/>
      <c r="BV13" s="2620" t="s">
        <v>1098</v>
      </c>
      <c r="BW13" s="2672"/>
      <c r="BX13" s="2620" t="s">
        <v>1099</v>
      </c>
      <c r="BY13" s="2672"/>
      <c r="BZ13" s="2620" t="s">
        <v>1100</v>
      </c>
      <c r="CA13" s="2672"/>
      <c r="CB13" s="2620" t="s">
        <v>1101</v>
      </c>
      <c r="CC13" s="2672"/>
      <c r="CD13" s="2620" t="s">
        <v>1102</v>
      </c>
      <c r="CE13" s="2672"/>
      <c r="CF13" s="2620" t="s">
        <v>1103</v>
      </c>
      <c r="CG13" s="2672"/>
      <c r="CH13" s="2670" t="s">
        <v>1104</v>
      </c>
      <c r="CI13" s="2671"/>
      <c r="CJ13" s="2671"/>
      <c r="CK13" s="2717"/>
      <c r="CL13" s="2720"/>
      <c r="CM13" s="2718"/>
      <c r="CN13" s="2718"/>
      <c r="CO13" s="2718"/>
      <c r="CP13" s="2718"/>
      <c r="CQ13" s="2718"/>
      <c r="CR13" s="2718"/>
      <c r="CS13" s="2718"/>
      <c r="CT13" s="2718"/>
      <c r="CU13" s="2718"/>
      <c r="CV13" s="2718"/>
      <c r="CW13" s="2718"/>
      <c r="CX13" s="2737"/>
      <c r="CY13" s="2620" t="s">
        <v>1105</v>
      </c>
      <c r="CZ13" s="2672"/>
      <c r="DA13" s="2620" t="s">
        <v>1106</v>
      </c>
      <c r="DB13" s="2672"/>
      <c r="DC13" s="2620" t="s">
        <v>1107</v>
      </c>
      <c r="DD13" s="2672"/>
      <c r="DE13" s="2620" t="s">
        <v>1108</v>
      </c>
      <c r="DF13" s="2672"/>
      <c r="DG13" s="2670" t="s">
        <v>1109</v>
      </c>
      <c r="DH13" s="2671"/>
      <c r="DI13" s="2671"/>
      <c r="DJ13" s="2717"/>
      <c r="DK13" s="2720"/>
      <c r="DL13" s="2718"/>
      <c r="DM13" s="2718"/>
      <c r="DN13" s="2718"/>
      <c r="DO13" s="2718"/>
      <c r="DP13" s="2718"/>
      <c r="DQ13" s="2718"/>
      <c r="DR13" s="2718"/>
      <c r="DS13" s="2718"/>
      <c r="DT13" s="2718"/>
      <c r="DU13" s="2718"/>
      <c r="DV13" s="2718"/>
      <c r="DW13" s="2718"/>
      <c r="DX13" s="2718"/>
      <c r="DY13" s="2718"/>
      <c r="DZ13" s="2718"/>
      <c r="EA13" s="2718"/>
      <c r="EB13" s="2718"/>
      <c r="EC13" s="2718"/>
      <c r="ED13" s="2718"/>
      <c r="EE13" s="2718"/>
      <c r="EF13" s="2718"/>
      <c r="EG13" s="2718"/>
      <c r="EH13" s="2718"/>
      <c r="EI13" s="2718"/>
      <c r="EJ13" s="2718"/>
      <c r="EK13" s="2718"/>
      <c r="EL13" s="2718"/>
      <c r="EM13" s="2718"/>
      <c r="EN13" s="2718"/>
      <c r="EO13" s="2718"/>
      <c r="EP13" s="2718"/>
      <c r="EQ13" s="2718"/>
      <c r="ER13" s="2718"/>
      <c r="ES13" s="2718"/>
      <c r="ET13" s="2718"/>
      <c r="EU13" s="2718"/>
      <c r="EV13" s="2718"/>
      <c r="EW13" s="2718"/>
      <c r="EX13" s="2718"/>
      <c r="EY13" s="2718"/>
      <c r="EZ13" s="2718"/>
      <c r="FA13" s="2718"/>
      <c r="FB13" s="2718"/>
      <c r="FC13" s="2718"/>
      <c r="FD13" s="2718"/>
      <c r="FE13" s="2718"/>
      <c r="FF13" s="2718"/>
      <c r="FG13" s="2718"/>
      <c r="FH13" s="2718"/>
      <c r="FI13" s="2718"/>
      <c r="FJ13" s="2718"/>
      <c r="FK13" s="2718"/>
      <c r="FL13" s="2718"/>
      <c r="FM13" s="2718"/>
      <c r="FN13" s="2718"/>
      <c r="FO13" s="2718"/>
      <c r="FP13" s="2718"/>
      <c r="FQ13" s="2718"/>
      <c r="FR13" s="2718"/>
      <c r="FS13" s="2718"/>
      <c r="FT13" s="2718"/>
      <c r="FU13" s="2718"/>
      <c r="FV13" s="2718"/>
      <c r="FW13" s="2732"/>
      <c r="FX13" s="1046"/>
      <c r="GC13" s="1210">
        <v>36</v>
      </c>
    </row>
    <row customHeight="1" ht="37.8">
      <c r="D14" s="1222"/>
      <c r="E14" s="1221"/>
      <c r="F14" s="2489"/>
      <c r="G14" s="2489"/>
      <c r="H14" s="2721"/>
      <c r="I14" s="2721"/>
      <c r="J14" s="2722"/>
      <c r="K14" s="2722"/>
      <c r="L14" s="2722"/>
      <c r="M14" s="2722"/>
      <c r="N14" s="2722"/>
      <c r="O14" s="2620" t="s">
        <v>1110</v>
      </c>
      <c r="P14" s="2672"/>
      <c r="Q14" s="2620" t="s">
        <v>1111</v>
      </c>
      <c r="R14" s="2672"/>
      <c r="S14" s="2621"/>
      <c r="T14" s="2497"/>
      <c r="U14" s="2620" t="s">
        <v>843</v>
      </c>
      <c r="V14" s="2672"/>
      <c r="W14" s="2620" t="s">
        <v>846</v>
      </c>
      <c r="X14" s="2672"/>
      <c r="Y14" s="2620" t="s">
        <v>843</v>
      </c>
      <c r="Z14" s="2672"/>
      <c r="AA14" s="2620" t="s">
        <v>853</v>
      </c>
      <c r="AB14" s="2672"/>
      <c r="AC14" s="2718"/>
      <c r="AD14" s="2718"/>
      <c r="AE14" s="2718"/>
      <c r="AF14" s="2718"/>
      <c r="AG14" s="2718"/>
      <c r="AH14" s="2718"/>
      <c r="AI14" s="2718"/>
      <c r="AJ14" s="2718"/>
      <c r="AK14" s="2718"/>
      <c r="AL14" s="2718"/>
      <c r="AM14" s="2718"/>
      <c r="AN14" s="2718"/>
      <c r="AO14" s="2718"/>
      <c r="AP14" s="2718"/>
      <c r="AQ14" s="2718"/>
      <c r="AR14" s="2718"/>
      <c r="AS14" s="2718"/>
      <c r="AT14" s="2718"/>
      <c r="AU14" s="2718"/>
      <c r="AV14" s="2718"/>
      <c r="AW14" s="2718"/>
      <c r="AX14" s="2718"/>
      <c r="AY14" s="2718"/>
      <c r="AZ14" s="2718"/>
      <c r="BA14" s="2718"/>
      <c r="BB14" s="2718"/>
      <c r="BC14" s="2718"/>
      <c r="BD14" s="2718"/>
      <c r="BE14" s="2718"/>
      <c r="BF14" s="2718"/>
      <c r="BG14" s="2718"/>
      <c r="BH14" s="2718"/>
      <c r="BI14" s="2718"/>
      <c r="BJ14" s="2718"/>
      <c r="BK14" s="2718"/>
      <c r="BL14" s="2718"/>
      <c r="BM14" s="2718"/>
      <c r="BN14" s="2718"/>
      <c r="BO14" s="2718"/>
      <c r="BP14" s="2718"/>
      <c r="BQ14" s="2718"/>
      <c r="BR14" s="2718"/>
      <c r="BS14" s="2737"/>
      <c r="BT14" s="2621"/>
      <c r="BU14" s="2497"/>
      <c r="BV14" s="2621"/>
      <c r="BW14" s="2497"/>
      <c r="BX14" s="2621"/>
      <c r="BY14" s="2497"/>
      <c r="BZ14" s="2621"/>
      <c r="CA14" s="2497"/>
      <c r="CB14" s="2621"/>
      <c r="CC14" s="2497"/>
      <c r="CD14" s="2621"/>
      <c r="CE14" s="2497"/>
      <c r="CF14" s="2621"/>
      <c r="CG14" s="2497"/>
      <c r="CH14" s="2620" t="s">
        <v>1112</v>
      </c>
      <c r="CI14" s="2672"/>
      <c r="CJ14" s="2620" t="s">
        <v>1113</v>
      </c>
      <c r="CK14" s="2672"/>
      <c r="CL14" s="2720"/>
      <c r="CM14" s="2718"/>
      <c r="CN14" s="2718"/>
      <c r="CO14" s="2718"/>
      <c r="CP14" s="2718"/>
      <c r="CQ14" s="2718"/>
      <c r="CR14" s="2718"/>
      <c r="CS14" s="2718"/>
      <c r="CT14" s="2718"/>
      <c r="CU14" s="2718"/>
      <c r="CV14" s="2718"/>
      <c r="CW14" s="2718"/>
      <c r="CX14" s="2737"/>
      <c r="CY14" s="2621"/>
      <c r="CZ14" s="2497"/>
      <c r="DA14" s="2621"/>
      <c r="DB14" s="2497"/>
      <c r="DC14" s="2621"/>
      <c r="DD14" s="2497"/>
      <c r="DE14" s="2621"/>
      <c r="DF14" s="2497"/>
      <c r="DG14" s="2620" t="s">
        <v>1114</v>
      </c>
      <c r="DH14" s="2672"/>
      <c r="DI14" s="2620" t="s">
        <v>1115</v>
      </c>
      <c r="DJ14" s="2672"/>
      <c r="DK14" s="2720"/>
      <c r="DL14" s="2718"/>
      <c r="DM14" s="2718"/>
      <c r="DN14" s="2718"/>
      <c r="DO14" s="2718"/>
      <c r="DP14" s="2718"/>
      <c r="DQ14" s="2718"/>
      <c r="DR14" s="2718"/>
      <c r="DS14" s="2718"/>
      <c r="DT14" s="2718"/>
      <c r="DU14" s="2718"/>
      <c r="DV14" s="2718"/>
      <c r="DW14" s="2718"/>
      <c r="DX14" s="2718"/>
      <c r="DY14" s="2718"/>
      <c r="DZ14" s="2718"/>
      <c r="EA14" s="2718"/>
      <c r="EB14" s="2718"/>
      <c r="EC14" s="2718"/>
      <c r="ED14" s="2718"/>
      <c r="EE14" s="2718"/>
      <c r="EF14" s="2718"/>
      <c r="EG14" s="2718"/>
      <c r="EH14" s="2718"/>
      <c r="EI14" s="2718"/>
      <c r="EJ14" s="2718"/>
      <c r="EK14" s="2718"/>
      <c r="EL14" s="2718"/>
      <c r="EM14" s="2718"/>
      <c r="EN14" s="2718"/>
      <c r="EO14" s="2718"/>
      <c r="EP14" s="2718"/>
      <c r="EQ14" s="2718"/>
      <c r="ER14" s="2718"/>
      <c r="ES14" s="2718"/>
      <c r="ET14" s="2718"/>
      <c r="EU14" s="2718"/>
      <c r="EV14" s="2718"/>
      <c r="EW14" s="2718"/>
      <c r="EX14" s="2718"/>
      <c r="EY14" s="2718"/>
      <c r="EZ14" s="2718"/>
      <c r="FA14" s="2718"/>
      <c r="FB14" s="2718"/>
      <c r="FC14" s="2718"/>
      <c r="FD14" s="2718"/>
      <c r="FE14" s="2718"/>
      <c r="FF14" s="2718"/>
      <c r="FG14" s="2718"/>
      <c r="FH14" s="2718"/>
      <c r="FI14" s="2718"/>
      <c r="FJ14" s="2718"/>
      <c r="FK14" s="2718"/>
      <c r="FL14" s="2718"/>
      <c r="FM14" s="2718"/>
      <c r="FN14" s="2718"/>
      <c r="FO14" s="2718"/>
      <c r="FP14" s="2718"/>
      <c r="FQ14" s="2718"/>
      <c r="FR14" s="2718"/>
      <c r="FS14" s="2718"/>
      <c r="FT14" s="2718"/>
      <c r="FU14" s="2718"/>
      <c r="FV14" s="2718"/>
      <c r="FW14" s="2732"/>
      <c r="FX14" s="1046"/>
      <c r="GC14" s="1210">
        <v>36</v>
      </c>
    </row>
    <row customHeight="1" ht="37.8">
      <c r="D15" s="1222"/>
      <c r="E15" s="1221"/>
      <c r="F15" s="2489"/>
      <c r="G15" s="2489"/>
      <c r="H15" s="2721"/>
      <c r="I15" s="2721"/>
      <c r="J15" s="2722"/>
      <c r="K15" s="2722"/>
      <c r="L15" s="2722"/>
      <c r="M15" s="2722"/>
      <c r="N15" s="2722"/>
      <c r="O15" s="2622"/>
      <c r="P15" s="2719"/>
      <c r="Q15" s="2622"/>
      <c r="R15" s="2719"/>
      <c r="S15" s="2622"/>
      <c r="T15" s="2719"/>
      <c r="U15" s="2622"/>
      <c r="V15" s="2719"/>
      <c r="W15" s="2622"/>
      <c r="X15" s="2719"/>
      <c r="Y15" s="2622"/>
      <c r="Z15" s="2719"/>
      <c r="AA15" s="2622"/>
      <c r="AB15" s="2719"/>
      <c r="AC15" s="2718"/>
      <c r="AD15" s="2718"/>
      <c r="AE15" s="2718"/>
      <c r="AF15" s="2718"/>
      <c r="AG15" s="2718"/>
      <c r="AH15" s="2718"/>
      <c r="AI15" s="2718"/>
      <c r="AJ15" s="2718"/>
      <c r="AK15" s="2718"/>
      <c r="AL15" s="2718"/>
      <c r="AM15" s="2718"/>
      <c r="AN15" s="2718"/>
      <c r="AO15" s="2718"/>
      <c r="AP15" s="2718"/>
      <c r="AQ15" s="2718"/>
      <c r="AR15" s="2718"/>
      <c r="AS15" s="2718"/>
      <c r="AT15" s="2718"/>
      <c r="AU15" s="2718"/>
      <c r="AV15" s="2718"/>
      <c r="AW15" s="2718"/>
      <c r="AX15" s="2718"/>
      <c r="AY15" s="2718"/>
      <c r="AZ15" s="2718"/>
      <c r="BA15" s="2718"/>
      <c r="BB15" s="2718"/>
      <c r="BC15" s="2718"/>
      <c r="BD15" s="2718"/>
      <c r="BE15" s="2718"/>
      <c r="BF15" s="2718"/>
      <c r="BG15" s="2718"/>
      <c r="BH15" s="2718"/>
      <c r="BI15" s="2718"/>
      <c r="BJ15" s="2718"/>
      <c r="BK15" s="2718"/>
      <c r="BL15" s="2718"/>
      <c r="BM15" s="2718"/>
      <c r="BN15" s="2718"/>
      <c r="BO15" s="2718"/>
      <c r="BP15" s="2718"/>
      <c r="BQ15" s="2718"/>
      <c r="BR15" s="2718"/>
      <c r="BS15" s="2737"/>
      <c r="BT15" s="2622"/>
      <c r="BU15" s="2719"/>
      <c r="BV15" s="2622"/>
      <c r="BW15" s="2719"/>
      <c r="BX15" s="2622"/>
      <c r="BY15" s="2719"/>
      <c r="BZ15" s="2622"/>
      <c r="CA15" s="2719"/>
      <c r="CB15" s="2622"/>
      <c r="CC15" s="2719"/>
      <c r="CD15" s="2622"/>
      <c r="CE15" s="2719"/>
      <c r="CF15" s="2622"/>
      <c r="CG15" s="2719"/>
      <c r="CH15" s="2622"/>
      <c r="CI15" s="2719"/>
      <c r="CJ15" s="2622"/>
      <c r="CK15" s="2719"/>
      <c r="CL15" s="2720"/>
      <c r="CM15" s="2718"/>
      <c r="CN15" s="2718"/>
      <c r="CO15" s="2718"/>
      <c r="CP15" s="2718"/>
      <c r="CQ15" s="2718"/>
      <c r="CR15" s="2718"/>
      <c r="CS15" s="2718"/>
      <c r="CT15" s="2718"/>
      <c r="CU15" s="2718"/>
      <c r="CV15" s="2718"/>
      <c r="CW15" s="2718"/>
      <c r="CX15" s="2737"/>
      <c r="CY15" s="2622"/>
      <c r="CZ15" s="2719"/>
      <c r="DA15" s="2622"/>
      <c r="DB15" s="2719"/>
      <c r="DC15" s="2622"/>
      <c r="DD15" s="2719"/>
      <c r="DE15" s="2622"/>
      <c r="DF15" s="2719"/>
      <c r="DG15" s="2622"/>
      <c r="DH15" s="2719"/>
      <c r="DI15" s="2622"/>
      <c r="DJ15" s="2719"/>
      <c r="DK15" s="2720"/>
      <c r="DL15" s="2718"/>
      <c r="DM15" s="2718"/>
      <c r="DN15" s="2718"/>
      <c r="DO15" s="2718"/>
      <c r="DP15" s="2718"/>
      <c r="DQ15" s="2718"/>
      <c r="DR15" s="2718"/>
      <c r="DS15" s="2718"/>
      <c r="DT15" s="2718"/>
      <c r="DU15" s="2718"/>
      <c r="DV15" s="2718"/>
      <c r="DW15" s="2718"/>
      <c r="DX15" s="2718"/>
      <c r="DY15" s="2718"/>
      <c r="DZ15" s="2718"/>
      <c r="EA15" s="2718"/>
      <c r="EB15" s="2718"/>
      <c r="EC15" s="2718"/>
      <c r="ED15" s="2718"/>
      <c r="EE15" s="2718"/>
      <c r="EF15" s="2718"/>
      <c r="EG15" s="2718"/>
      <c r="EH15" s="2718"/>
      <c r="EI15" s="2718"/>
      <c r="EJ15" s="2718"/>
      <c r="EK15" s="2718"/>
      <c r="EL15" s="2718"/>
      <c r="EM15" s="2718"/>
      <c r="EN15" s="2718"/>
      <c r="EO15" s="2718"/>
      <c r="EP15" s="2718"/>
      <c r="EQ15" s="2718"/>
      <c r="ER15" s="2718"/>
      <c r="ES15" s="2718"/>
      <c r="ET15" s="2718"/>
      <c r="EU15" s="2718"/>
      <c r="EV15" s="2718"/>
      <c r="EW15" s="2718"/>
      <c r="EX15" s="2718"/>
      <c r="EY15" s="2718"/>
      <c r="EZ15" s="2718"/>
      <c r="FA15" s="2718"/>
      <c r="FB15" s="2718"/>
      <c r="FC15" s="2718"/>
      <c r="FD15" s="2718"/>
      <c r="FE15" s="2718"/>
      <c r="FF15" s="2718"/>
      <c r="FG15" s="2718"/>
      <c r="FH15" s="2718"/>
      <c r="FI15" s="2718"/>
      <c r="FJ15" s="2718"/>
      <c r="FK15" s="2718"/>
      <c r="FL15" s="2718"/>
      <c r="FM15" s="2718"/>
      <c r="FN15" s="2718"/>
      <c r="FO15" s="2718"/>
      <c r="FP15" s="2718"/>
      <c r="FQ15" s="2718"/>
      <c r="FR15" s="2718"/>
      <c r="FS15" s="2718"/>
      <c r="FT15" s="2718"/>
      <c r="FU15" s="2718"/>
      <c r="FV15" s="2718"/>
      <c r="FW15" s="2732"/>
      <c r="FX15" s="1046"/>
      <c r="GC15" s="1210">
        <v>36</v>
      </c>
    </row>
    <row customHeight="1" ht="12.75">
      <c r="D16" s="1222"/>
      <c r="E16" s="1221"/>
      <c r="F16" s="2489"/>
      <c r="G16" s="2489"/>
      <c r="H16" s="2721"/>
      <c r="I16" s="2721"/>
      <c r="J16" s="2722"/>
      <c r="K16" s="2722"/>
      <c r="L16" s="2722"/>
      <c r="M16" s="2722"/>
      <c r="N16" s="2722"/>
      <c r="O16" s="2670" t="s">
        <v>833</v>
      </c>
      <c r="P16" s="2717"/>
      <c r="Q16" s="2670" t="s">
        <v>835</v>
      </c>
      <c r="R16" s="2717"/>
      <c r="S16" s="2670" t="s">
        <v>839</v>
      </c>
      <c r="T16" s="2717"/>
      <c r="U16" s="2670" t="s">
        <v>844</v>
      </c>
      <c r="V16" s="2717"/>
      <c r="W16" s="2670" t="s">
        <v>847</v>
      </c>
      <c r="X16" s="2717"/>
      <c r="Y16" s="2670" t="s">
        <v>851</v>
      </c>
      <c r="Z16" s="2717"/>
      <c r="AA16" s="2670" t="s">
        <v>854</v>
      </c>
      <c r="AB16" s="2717"/>
      <c r="AC16" s="2718"/>
      <c r="AD16" s="2718"/>
      <c r="AE16" s="2718"/>
      <c r="AF16" s="2718"/>
      <c r="AG16" s="2718"/>
      <c r="AH16" s="2718"/>
      <c r="AI16" s="2718"/>
      <c r="AJ16" s="2718"/>
      <c r="AK16" s="2718"/>
      <c r="AL16" s="2718"/>
      <c r="AM16" s="2718"/>
      <c r="AN16" s="2718"/>
      <c r="AO16" s="2718"/>
      <c r="AP16" s="2718"/>
      <c r="AQ16" s="2718"/>
      <c r="AR16" s="2718"/>
      <c r="AS16" s="2718"/>
      <c r="AT16" s="2718"/>
      <c r="AU16" s="2718"/>
      <c r="AV16" s="2718"/>
      <c r="AW16" s="2718"/>
      <c r="AX16" s="2718"/>
      <c r="AY16" s="2718"/>
      <c r="AZ16" s="2718"/>
      <c r="BA16" s="2718"/>
      <c r="BB16" s="2718"/>
      <c r="BC16" s="2718"/>
      <c r="BD16" s="2718"/>
      <c r="BE16" s="2718"/>
      <c r="BF16" s="2718"/>
      <c r="BG16" s="2718"/>
      <c r="BH16" s="2718"/>
      <c r="BI16" s="2718"/>
      <c r="BJ16" s="2718"/>
      <c r="BK16" s="2718"/>
      <c r="BL16" s="2718"/>
      <c r="BM16" s="2718"/>
      <c r="BN16" s="2718"/>
      <c r="BO16" s="2718"/>
      <c r="BP16" s="2718"/>
      <c r="BQ16" s="2718"/>
      <c r="BR16" s="2718"/>
      <c r="BS16" s="2737"/>
      <c r="BT16" s="2670" t="s">
        <v>566</v>
      </c>
      <c r="BU16" s="2717"/>
      <c r="BV16" s="2670" t="s">
        <v>566</v>
      </c>
      <c r="BW16" s="2717"/>
      <c r="BX16" s="2670" t="s">
        <v>566</v>
      </c>
      <c r="BY16" s="2717"/>
      <c r="BZ16" s="2670" t="s">
        <v>566</v>
      </c>
      <c r="CA16" s="2717"/>
      <c r="CB16" s="2670" t="s">
        <v>1116</v>
      </c>
      <c r="CC16" s="2717"/>
      <c r="CD16" s="2670" t="s">
        <v>566</v>
      </c>
      <c r="CE16" s="2717"/>
      <c r="CF16" s="2670" t="s">
        <v>1117</v>
      </c>
      <c r="CG16" s="2717"/>
      <c r="CH16" s="2670" t="s">
        <v>1118</v>
      </c>
      <c r="CI16" s="2717"/>
      <c r="CJ16" s="2670" t="s">
        <v>1118</v>
      </c>
      <c r="CK16" s="2717"/>
      <c r="CL16" s="2720"/>
      <c r="CM16" s="2718"/>
      <c r="CN16" s="2718"/>
      <c r="CO16" s="2718"/>
      <c r="CP16" s="2718"/>
      <c r="CQ16" s="2718"/>
      <c r="CR16" s="2718"/>
      <c r="CS16" s="2718"/>
      <c r="CT16" s="2718"/>
      <c r="CU16" s="2718"/>
      <c r="CV16" s="2718"/>
      <c r="CW16" s="2718"/>
      <c r="CX16" s="2737"/>
      <c r="CY16" s="2620" t="s">
        <v>566</v>
      </c>
      <c r="CZ16" s="2672"/>
      <c r="DA16" s="2620" t="s">
        <v>566</v>
      </c>
      <c r="DB16" s="2672"/>
      <c r="DC16" s="2620" t="s">
        <v>566</v>
      </c>
      <c r="DD16" s="2672"/>
      <c r="DE16" s="2670" t="s">
        <v>1116</v>
      </c>
      <c r="DF16" s="2717"/>
      <c r="DG16" s="2670" t="s">
        <v>1119</v>
      </c>
      <c r="DH16" s="2717"/>
      <c r="DI16" s="2670" t="s">
        <v>1119</v>
      </c>
      <c r="DJ16" s="2717"/>
      <c r="DK16" s="2720"/>
      <c r="DL16" s="2718"/>
      <c r="DM16" s="2718"/>
      <c r="DN16" s="2718"/>
      <c r="DO16" s="2718"/>
      <c r="DP16" s="2718"/>
      <c r="DQ16" s="2718"/>
      <c r="DR16" s="2718"/>
      <c r="DS16" s="2718"/>
      <c r="DT16" s="2718"/>
      <c r="DU16" s="2718"/>
      <c r="DV16" s="2718"/>
      <c r="DW16" s="2718"/>
      <c r="DX16" s="2718"/>
      <c r="DY16" s="2718"/>
      <c r="DZ16" s="2718"/>
      <c r="EA16" s="2718"/>
      <c r="EB16" s="2718"/>
      <c r="EC16" s="2718"/>
      <c r="ED16" s="2718"/>
      <c r="EE16" s="2718"/>
      <c r="EF16" s="2718"/>
      <c r="EG16" s="2718"/>
      <c r="EH16" s="2718"/>
      <c r="EI16" s="2718"/>
      <c r="EJ16" s="2718"/>
      <c r="EK16" s="2718"/>
      <c r="EL16" s="2718"/>
      <c r="EM16" s="2718"/>
      <c r="EN16" s="2718"/>
      <c r="EO16" s="2718"/>
      <c r="EP16" s="2718"/>
      <c r="EQ16" s="2718"/>
      <c r="ER16" s="2718"/>
      <c r="ES16" s="2718"/>
      <c r="ET16" s="2718"/>
      <c r="EU16" s="2718"/>
      <c r="EV16" s="2718"/>
      <c r="EW16" s="2718"/>
      <c r="EX16" s="2718"/>
      <c r="EY16" s="2718"/>
      <c r="EZ16" s="2718"/>
      <c r="FA16" s="2718"/>
      <c r="FB16" s="2718"/>
      <c r="FC16" s="2718"/>
      <c r="FD16" s="2718"/>
      <c r="FE16" s="2718"/>
      <c r="FF16" s="2718"/>
      <c r="FG16" s="2718"/>
      <c r="FH16" s="2718"/>
      <c r="FI16" s="2718"/>
      <c r="FJ16" s="2718"/>
      <c r="FK16" s="2718"/>
      <c r="FL16" s="2718"/>
      <c r="FM16" s="2718"/>
      <c r="FN16" s="2718"/>
      <c r="FO16" s="2718"/>
      <c r="FP16" s="2718"/>
      <c r="FQ16" s="2718"/>
      <c r="FR16" s="2718"/>
      <c r="FS16" s="2718"/>
      <c r="FT16" s="2718"/>
      <c r="FU16" s="2718"/>
      <c r="FV16" s="2718"/>
      <c r="FW16" s="2732"/>
      <c r="FX16" s="1046"/>
      <c r="GC16" s="1210">
        <v>12</v>
      </c>
    </row>
    <row customHeight="1" ht="15.75">
      <c r="E17" s="1221"/>
      <c r="F17" s="2489"/>
      <c r="G17" s="2489"/>
      <c r="H17" s="2721"/>
      <c r="I17" s="2721"/>
      <c r="J17" s="2722"/>
      <c r="K17" s="2722"/>
      <c r="L17" s="2722"/>
      <c r="M17" s="2722"/>
      <c r="N17" s="2722"/>
      <c r="O17" s="1475" t="s">
        <v>1120</v>
      </c>
      <c r="P17" s="1475" t="s">
        <v>1121</v>
      </c>
      <c r="Q17" s="1475" t="s">
        <v>1120</v>
      </c>
      <c r="R17" s="1475" t="s">
        <v>1121</v>
      </c>
      <c r="S17" s="1475" t="s">
        <v>1120</v>
      </c>
      <c r="T17" s="1475" t="s">
        <v>1121</v>
      </c>
      <c r="U17" s="1475" t="s">
        <v>1120</v>
      </c>
      <c r="V17" s="1475" t="s">
        <v>1121</v>
      </c>
      <c r="W17" s="1475" t="s">
        <v>1120</v>
      </c>
      <c r="X17" s="1475" t="s">
        <v>1121</v>
      </c>
      <c r="Y17" s="1475" t="s">
        <v>1120</v>
      </c>
      <c r="Z17" s="1475" t="s">
        <v>1121</v>
      </c>
      <c r="AA17" s="1475" t="s">
        <v>1120</v>
      </c>
      <c r="AB17" s="1475" t="s">
        <v>1121</v>
      </c>
      <c r="AC17" s="2718"/>
      <c r="AD17" s="2718"/>
      <c r="AE17" s="2718"/>
      <c r="AF17" s="2718"/>
      <c r="AG17" s="2718"/>
      <c r="AH17" s="2718"/>
      <c r="AI17" s="2718"/>
      <c r="AJ17" s="2718"/>
      <c r="AK17" s="2718"/>
      <c r="AL17" s="2718"/>
      <c r="AM17" s="2718"/>
      <c r="AN17" s="2718"/>
      <c r="AO17" s="2718"/>
      <c r="AP17" s="2718"/>
      <c r="AQ17" s="2718"/>
      <c r="AR17" s="2718"/>
      <c r="AS17" s="2718"/>
      <c r="AT17" s="2718"/>
      <c r="AU17" s="2718"/>
      <c r="AV17" s="2718"/>
      <c r="AW17" s="2718"/>
      <c r="AX17" s="2718"/>
      <c r="AY17" s="2718"/>
      <c r="AZ17" s="2718"/>
      <c r="BA17" s="2718"/>
      <c r="BB17" s="2718"/>
      <c r="BC17" s="2718"/>
      <c r="BD17" s="2718"/>
      <c r="BE17" s="2718"/>
      <c r="BF17" s="2718"/>
      <c r="BG17" s="2718"/>
      <c r="BH17" s="2718"/>
      <c r="BI17" s="2718"/>
      <c r="BJ17" s="2718"/>
      <c r="BK17" s="2718"/>
      <c r="BL17" s="2718"/>
      <c r="BM17" s="2718"/>
      <c r="BN17" s="2718"/>
      <c r="BO17" s="2718"/>
      <c r="BP17" s="2718"/>
      <c r="BQ17" s="2718"/>
      <c r="BR17" s="2718"/>
      <c r="BS17" s="2737"/>
      <c r="BT17" s="1475" t="s">
        <v>1120</v>
      </c>
      <c r="BU17" s="1475" t="s">
        <v>1121</v>
      </c>
      <c r="BV17" s="1475" t="s">
        <v>1120</v>
      </c>
      <c r="BW17" s="1475" t="s">
        <v>1121</v>
      </c>
      <c r="BX17" s="1475" t="s">
        <v>1120</v>
      </c>
      <c r="BY17" s="1475" t="s">
        <v>1121</v>
      </c>
      <c r="BZ17" s="1475" t="s">
        <v>1120</v>
      </c>
      <c r="CA17" s="1475" t="s">
        <v>1121</v>
      </c>
      <c r="CB17" s="1475" t="s">
        <v>1120</v>
      </c>
      <c r="CC17" s="1475" t="s">
        <v>1121</v>
      </c>
      <c r="CD17" s="1475" t="s">
        <v>1120</v>
      </c>
      <c r="CE17" s="1475" t="s">
        <v>1121</v>
      </c>
      <c r="CF17" s="1475" t="s">
        <v>1120</v>
      </c>
      <c r="CG17" s="1475" t="s">
        <v>1121</v>
      </c>
      <c r="CH17" s="1475" t="s">
        <v>1120</v>
      </c>
      <c r="CI17" s="1475" t="s">
        <v>1121</v>
      </c>
      <c r="CJ17" s="1475" t="s">
        <v>1120</v>
      </c>
      <c r="CK17" s="1475" t="s">
        <v>1121</v>
      </c>
      <c r="CL17" s="2720"/>
      <c r="CM17" s="2718"/>
      <c r="CN17" s="2718"/>
      <c r="CO17" s="2718"/>
      <c r="CP17" s="2718"/>
      <c r="CQ17" s="2718"/>
      <c r="CR17" s="2718"/>
      <c r="CS17" s="2718"/>
      <c r="CT17" s="2718"/>
      <c r="CU17" s="2718"/>
      <c r="CV17" s="2718"/>
      <c r="CW17" s="2718"/>
      <c r="CX17" s="2737"/>
      <c r="CY17" s="1475" t="s">
        <v>1120</v>
      </c>
      <c r="CZ17" s="1475" t="s">
        <v>1121</v>
      </c>
      <c r="DA17" s="1475" t="s">
        <v>1120</v>
      </c>
      <c r="DB17" s="1475" t="s">
        <v>1121</v>
      </c>
      <c r="DC17" s="1475" t="s">
        <v>1120</v>
      </c>
      <c r="DD17" s="1475" t="s">
        <v>1121</v>
      </c>
      <c r="DE17" s="1475" t="s">
        <v>1120</v>
      </c>
      <c r="DF17" s="1475" t="s">
        <v>1121</v>
      </c>
      <c r="DG17" s="1475" t="s">
        <v>1120</v>
      </c>
      <c r="DH17" s="1475" t="s">
        <v>1121</v>
      </c>
      <c r="DI17" s="1475" t="s">
        <v>1120</v>
      </c>
      <c r="DJ17" s="1475" t="s">
        <v>1121</v>
      </c>
      <c r="DK17" s="2720"/>
      <c r="DL17" s="2718"/>
      <c r="DM17" s="2718"/>
      <c r="DN17" s="2718"/>
      <c r="DO17" s="2718"/>
      <c r="DP17" s="2718"/>
      <c r="DQ17" s="2718"/>
      <c r="DR17" s="2718"/>
      <c r="DS17" s="2718"/>
      <c r="DT17" s="2718"/>
      <c r="DU17" s="2718"/>
      <c r="DV17" s="2718"/>
      <c r="DW17" s="2718"/>
      <c r="DX17" s="2718"/>
      <c r="DY17" s="2718"/>
      <c r="DZ17" s="2718"/>
      <c r="EA17" s="2718"/>
      <c r="EB17" s="2718"/>
      <c r="EC17" s="2718"/>
      <c r="ED17" s="2718"/>
      <c r="EE17" s="2718"/>
      <c r="EF17" s="2718"/>
      <c r="EG17" s="2718"/>
      <c r="EH17" s="2718"/>
      <c r="EI17" s="2718"/>
      <c r="EJ17" s="2718"/>
      <c r="EK17" s="2718"/>
      <c r="EL17" s="2718"/>
      <c r="EM17" s="2718"/>
      <c r="EN17" s="2718"/>
      <c r="EO17" s="2718"/>
      <c r="EP17" s="2718"/>
      <c r="EQ17" s="2718"/>
      <c r="ER17" s="2718"/>
      <c r="ES17" s="2718"/>
      <c r="ET17" s="2718"/>
      <c r="EU17" s="2718"/>
      <c r="EV17" s="2718"/>
      <c r="EW17" s="2718"/>
      <c r="EX17" s="2718"/>
      <c r="EY17" s="2718"/>
      <c r="EZ17" s="2718"/>
      <c r="FA17" s="2718"/>
      <c r="FB17" s="2718"/>
      <c r="FC17" s="2718"/>
      <c r="FD17" s="2718"/>
      <c r="FE17" s="2718"/>
      <c r="FF17" s="2718"/>
      <c r="FG17" s="2718"/>
      <c r="FH17" s="2718"/>
      <c r="FI17" s="2718"/>
      <c r="FJ17" s="2718"/>
      <c r="FK17" s="2718"/>
      <c r="FL17" s="2718"/>
      <c r="FM17" s="2718"/>
      <c r="FN17" s="2718"/>
      <c r="FO17" s="2718"/>
      <c r="FP17" s="2718"/>
      <c r="FQ17" s="2718"/>
      <c r="FR17" s="2718"/>
      <c r="FS17" s="2718"/>
      <c r="FT17" s="2718"/>
      <c r="FU17" s="2718"/>
      <c r="FV17" s="2718"/>
      <c r="FW17" s="2733"/>
      <c r="FX17" s="1046"/>
      <c r="GC17" s="1210">
        <v>15</v>
      </c>
    </row>
    <row s="15863" customFormat="1" customHeight="1" ht="12" hidden="1">
      <c r="B18" s="1207"/>
      <c r="E18" s="1223"/>
      <c r="F18" s="1476"/>
      <c r="G18" s="1476"/>
      <c r="H18" s="1476"/>
      <c r="I18" s="1476"/>
      <c r="J18" s="1477"/>
      <c r="K18" s="1477"/>
      <c r="L18" s="1477"/>
      <c r="M18" s="1477"/>
      <c r="N18" s="1477"/>
      <c r="O18" s="1476"/>
      <c r="P18" s="1476"/>
      <c r="Q18" s="1476"/>
      <c r="R18" s="1476"/>
      <c r="S18" s="1476"/>
      <c r="T18" s="1476"/>
      <c r="U18" s="1478"/>
      <c r="V18" s="1478"/>
      <c r="W18" s="1478"/>
      <c r="X18" s="1478"/>
      <c r="Y18" s="1478"/>
      <c r="Z18" s="1478"/>
      <c r="AA18" s="1478"/>
      <c r="AB18" s="1476"/>
      <c r="AC18" s="1477"/>
      <c r="AD18" s="1477"/>
      <c r="AE18" s="1477"/>
      <c r="AF18" s="1477"/>
      <c r="AG18" s="1477"/>
      <c r="AH18" s="1477"/>
      <c r="AI18" s="1477"/>
      <c r="AJ18" s="1477"/>
      <c r="AK18" s="1477"/>
      <c r="AL18" s="1477"/>
      <c r="AM18" s="1477"/>
      <c r="AN18" s="1477"/>
      <c r="AO18" s="1477"/>
      <c r="AP18" s="1477"/>
      <c r="AQ18" s="1477"/>
      <c r="AR18" s="1477"/>
      <c r="AS18" s="1477"/>
      <c r="AT18" s="1477"/>
      <c r="AU18" s="1477"/>
      <c r="AV18" s="1477"/>
      <c r="AW18" s="1477"/>
      <c r="AX18" s="1477"/>
      <c r="AY18" s="1477"/>
      <c r="AZ18" s="1477"/>
      <c r="BA18" s="1477"/>
      <c r="BB18" s="1477"/>
      <c r="BC18" s="1477"/>
      <c r="BD18" s="1477"/>
      <c r="BE18" s="1477"/>
      <c r="BF18" s="1477"/>
      <c r="BG18" s="1477"/>
      <c r="BH18" s="1477"/>
      <c r="BI18" s="1477"/>
      <c r="BJ18" s="1477"/>
      <c r="BK18" s="1477"/>
      <c r="BL18" s="1477"/>
      <c r="BM18" s="1477"/>
      <c r="BN18" s="1477"/>
      <c r="BO18" s="1477"/>
      <c r="BP18" s="1477"/>
      <c r="BQ18" s="1477"/>
      <c r="BR18" s="1477"/>
      <c r="BS18" s="1477"/>
      <c r="BT18" s="1479"/>
      <c r="BU18" s="1479"/>
      <c r="BV18" s="1479"/>
      <c r="BW18" s="1479"/>
      <c r="BX18" s="1479"/>
      <c r="BY18" s="1479"/>
      <c r="BZ18" s="1479"/>
      <c r="CA18" s="1479"/>
      <c r="CB18" s="1479"/>
      <c r="CC18" s="1479"/>
      <c r="CD18" s="1479"/>
      <c r="CE18" s="1479"/>
      <c r="CF18" s="1479"/>
      <c r="CG18" s="1479"/>
      <c r="CH18" s="1479"/>
      <c r="CI18" s="1479"/>
      <c r="CJ18" s="1479"/>
      <c r="CK18" s="1479"/>
      <c r="CL18" s="1477"/>
      <c r="CM18" s="1477"/>
      <c r="CN18" s="1477"/>
      <c r="CO18" s="1477"/>
      <c r="CP18" s="1477"/>
      <c r="CQ18" s="1477"/>
      <c r="CR18" s="1477"/>
      <c r="CS18" s="1477"/>
      <c r="CT18" s="1477"/>
      <c r="CU18" s="1477"/>
      <c r="CV18" s="1477"/>
      <c r="CW18" s="1477"/>
      <c r="CX18" s="1477"/>
      <c r="CY18" s="1479"/>
      <c r="CZ18" s="1479"/>
      <c r="DA18" s="1479"/>
      <c r="DB18" s="1479"/>
      <c r="DC18" s="1479"/>
      <c r="DD18" s="1479"/>
      <c r="DE18" s="1479"/>
      <c r="DF18" s="1479"/>
      <c r="DG18" s="1479"/>
      <c r="DH18" s="1479"/>
      <c r="DI18" s="1479"/>
      <c r="DJ18" s="1479"/>
      <c r="DK18" s="1477"/>
      <c r="DL18" s="1477"/>
      <c r="DM18" s="1477"/>
      <c r="DN18" s="1477"/>
      <c r="DO18" s="1477"/>
      <c r="DP18" s="1477"/>
      <c r="DQ18" s="1477"/>
      <c r="DR18" s="1477"/>
      <c r="DS18" s="1477"/>
      <c r="DT18" s="1477"/>
      <c r="DU18" s="1477"/>
      <c r="DV18" s="1477"/>
      <c r="DW18" s="1477"/>
      <c r="DX18" s="1477"/>
      <c r="DY18" s="1477"/>
      <c r="DZ18" s="1477"/>
      <c r="EA18" s="1477"/>
      <c r="EB18" s="1477"/>
      <c r="EC18" s="1477"/>
      <c r="ED18" s="1477"/>
      <c r="EE18" s="1477"/>
      <c r="EF18" s="1477"/>
      <c r="EG18" s="1477"/>
      <c r="EH18" s="1477"/>
      <c r="EI18" s="1477"/>
      <c r="EJ18" s="1477"/>
      <c r="EK18" s="1477"/>
      <c r="EL18" s="1477"/>
      <c r="EM18" s="1477"/>
      <c r="EN18" s="1477"/>
      <c r="EO18" s="1477"/>
      <c r="EP18" s="1477"/>
      <c r="EQ18" s="1477"/>
      <c r="ER18" s="1477"/>
      <c r="ES18" s="1477"/>
      <c r="ET18" s="1477"/>
      <c r="EU18" s="1477"/>
      <c r="EV18" s="1477"/>
      <c r="EW18" s="1477"/>
      <c r="EX18" s="1477"/>
      <c r="EY18" s="1477"/>
      <c r="EZ18" s="1477"/>
      <c r="FA18" s="1477"/>
      <c r="FB18" s="1477"/>
      <c r="FC18" s="1477"/>
      <c r="FD18" s="1477"/>
      <c r="FE18" s="1477"/>
      <c r="FF18" s="1477"/>
      <c r="FG18" s="1477"/>
      <c r="FH18" s="1477"/>
      <c r="FI18" s="1477"/>
      <c r="FJ18" s="1477"/>
      <c r="FK18" s="1477"/>
      <c r="FL18" s="1477"/>
      <c r="FM18" s="1477"/>
      <c r="FN18" s="1477"/>
      <c r="FO18" s="1477"/>
      <c r="FP18" s="1477"/>
      <c r="FQ18" s="1477"/>
      <c r="FR18" s="1477"/>
      <c r="FS18" s="1477"/>
      <c r="FT18" s="1477"/>
      <c r="FU18" s="1477"/>
      <c r="FV18" s="1477"/>
      <c r="FW18" s="1476"/>
      <c r="FX18" s="1480"/>
      <c r="GC18" s="1208">
        <v>0</v>
      </c>
    </row>
    <row s="15863" customFormat="1" customHeight="1" ht="11.25" hidden="1">
      <c r="B19" s="1207"/>
      <c r="E19" s="1223"/>
      <c r="F19" s="1476"/>
      <c r="G19" s="1476"/>
      <c r="H19" s="1476"/>
      <c r="I19" s="1476"/>
      <c r="J19" s="1476"/>
      <c r="K19" s="1476"/>
      <c r="L19" s="1476"/>
      <c r="M19" s="1476"/>
      <c r="N19" s="1476"/>
      <c r="O19" s="1476"/>
      <c r="P19" s="1476"/>
      <c r="Q19" s="1476"/>
      <c r="R19" s="1476"/>
      <c r="S19" s="1476"/>
      <c r="T19" s="1476"/>
      <c r="U19" s="1478"/>
      <c r="V19" s="1478"/>
      <c r="W19" s="1478"/>
      <c r="X19" s="1478"/>
      <c r="Y19" s="1478"/>
      <c r="Z19" s="1478"/>
      <c r="AA19" s="1478"/>
      <c r="AB19" s="1476"/>
      <c r="AC19" s="1476"/>
      <c r="AD19" s="1476"/>
      <c r="AE19" s="1476"/>
      <c r="AF19" s="1476"/>
      <c r="AG19" s="1476"/>
      <c r="AH19" s="1476"/>
      <c r="AI19" s="1476"/>
      <c r="AJ19" s="1476"/>
      <c r="AK19" s="1476"/>
      <c r="AL19" s="1476"/>
      <c r="AM19" s="1476"/>
      <c r="AN19" s="1476"/>
      <c r="AO19" s="1476"/>
      <c r="AP19" s="1476"/>
      <c r="AQ19" s="1476"/>
      <c r="AR19" s="1476"/>
      <c r="AS19" s="1476"/>
      <c r="AT19" s="1476"/>
      <c r="AU19" s="1476"/>
      <c r="AV19" s="1476"/>
      <c r="AW19" s="1476"/>
      <c r="AX19" s="1476"/>
      <c r="AY19" s="1476"/>
      <c r="AZ19" s="1476"/>
      <c r="BA19" s="1476"/>
      <c r="BB19" s="1476"/>
      <c r="BC19" s="1476"/>
      <c r="BD19" s="1476"/>
      <c r="BE19" s="1476"/>
      <c r="BF19" s="1476"/>
      <c r="BG19" s="1476"/>
      <c r="BH19" s="1476"/>
      <c r="BI19" s="1476"/>
      <c r="BJ19" s="1476"/>
      <c r="BK19" s="1476"/>
      <c r="BL19" s="1476"/>
      <c r="BM19" s="1476"/>
      <c r="BN19" s="1476"/>
      <c r="BO19" s="1476"/>
      <c r="BP19" s="1476"/>
      <c r="BQ19" s="1476"/>
      <c r="BR19" s="1476"/>
      <c r="BS19" s="1476"/>
      <c r="BT19" s="1476"/>
      <c r="BU19" s="1476"/>
      <c r="BV19" s="1476"/>
      <c r="BW19" s="1476"/>
      <c r="BX19" s="1476"/>
      <c r="BY19" s="1476"/>
      <c r="BZ19" s="1476"/>
      <c r="CA19" s="1476"/>
      <c r="CB19" s="1476"/>
      <c r="CC19" s="1476"/>
      <c r="CD19" s="1476"/>
      <c r="CE19" s="1476"/>
      <c r="CF19" s="1476"/>
      <c r="CG19" s="1476"/>
      <c r="CH19" s="1476"/>
      <c r="CI19" s="1476"/>
      <c r="CJ19" s="1476"/>
      <c r="CK19" s="1476"/>
      <c r="CL19" s="1476"/>
      <c r="CM19" s="1476"/>
      <c r="CN19" s="1476"/>
      <c r="CO19" s="1476"/>
      <c r="CP19" s="1476"/>
      <c r="CQ19" s="1476"/>
      <c r="CR19" s="1476"/>
      <c r="CS19" s="1476"/>
      <c r="CT19" s="1476"/>
      <c r="CU19" s="1476"/>
      <c r="CV19" s="1476"/>
      <c r="CW19" s="1476"/>
      <c r="CX19" s="1476"/>
      <c r="CY19" s="1476"/>
      <c r="CZ19" s="1476"/>
      <c r="DA19" s="1476"/>
      <c r="DB19" s="1476"/>
      <c r="DC19" s="1476"/>
      <c r="DD19" s="1476"/>
      <c r="DE19" s="1476"/>
      <c r="DF19" s="1476"/>
      <c r="DG19" s="1476"/>
      <c r="DH19" s="1476"/>
      <c r="DI19" s="1476"/>
      <c r="DJ19" s="1476"/>
      <c r="DK19" s="1476"/>
      <c r="DL19" s="1476"/>
      <c r="DM19" s="1476"/>
      <c r="DN19" s="1476"/>
      <c r="DO19" s="1476"/>
      <c r="DP19" s="1476"/>
      <c r="DQ19" s="1476"/>
      <c r="DR19" s="1476"/>
      <c r="DS19" s="1476"/>
      <c r="DT19" s="1476"/>
      <c r="DU19" s="1476"/>
      <c r="DV19" s="1476"/>
      <c r="DW19" s="1476"/>
      <c r="DX19" s="1476"/>
      <c r="DY19" s="1476"/>
      <c r="DZ19" s="1476"/>
      <c r="EA19" s="1476"/>
      <c r="EB19" s="1476"/>
      <c r="EC19" s="1476"/>
      <c r="ED19" s="1476"/>
      <c r="EE19" s="1476"/>
      <c r="EF19" s="1476"/>
      <c r="EG19" s="1476"/>
      <c r="EH19" s="1476"/>
      <c r="EI19" s="1476"/>
      <c r="EJ19" s="1476"/>
      <c r="EK19" s="1476"/>
      <c r="EL19" s="1476"/>
      <c r="EM19" s="1476"/>
      <c r="EN19" s="1476"/>
      <c r="EO19" s="1476"/>
      <c r="EP19" s="1476"/>
      <c r="EQ19" s="1476"/>
      <c r="ER19" s="1476"/>
      <c r="ES19" s="1476"/>
      <c r="ET19" s="1476"/>
      <c r="EU19" s="1476"/>
      <c r="EV19" s="1476"/>
      <c r="EW19" s="1476"/>
      <c r="EX19" s="1476"/>
      <c r="EY19" s="1476"/>
      <c r="EZ19" s="1476"/>
      <c r="FA19" s="1476"/>
      <c r="FB19" s="1476"/>
      <c r="FC19" s="1476"/>
      <c r="FD19" s="1476"/>
      <c r="FE19" s="1476"/>
      <c r="FF19" s="1476"/>
      <c r="FG19" s="1476"/>
      <c r="FH19" s="1476"/>
      <c r="FI19" s="1476"/>
      <c r="FJ19" s="1476"/>
      <c r="FK19" s="1476"/>
      <c r="FL19" s="1476"/>
      <c r="FM19" s="1476"/>
      <c r="FN19" s="1476"/>
      <c r="FO19" s="1476"/>
      <c r="FP19" s="1476"/>
      <c r="FQ19" s="1476"/>
      <c r="FR19" s="1476"/>
      <c r="FS19" s="1476"/>
      <c r="FT19" s="1476"/>
      <c r="FU19" s="1476"/>
      <c r="FV19" s="1476"/>
      <c r="FW19" s="1476"/>
      <c r="FX19" s="1480"/>
      <c r="GC19" s="1208">
        <v>0</v>
      </c>
    </row>
    <row s="15863" customFormat="1" customHeight="1" ht="11.25" hidden="1">
      <c r="B20" s="1224"/>
      <c r="D20" s="1208"/>
      <c r="E20" s="1223"/>
      <c r="F20" s="1481" t="s">
        <v>381</v>
      </c>
      <c r="G20" s="1482"/>
      <c r="H20" s="1483"/>
      <c r="I20" s="1483"/>
      <c r="J20" s="1483"/>
      <c r="K20" s="1483"/>
      <c r="L20" s="1483"/>
      <c r="M20" s="1483"/>
      <c r="N20" s="1483"/>
      <c r="O20" s="1482"/>
      <c r="P20" s="1482"/>
      <c r="Q20" s="1482"/>
      <c r="R20" s="1482"/>
      <c r="S20" s="1482"/>
      <c r="T20" s="1482"/>
      <c r="U20" s="1484"/>
      <c r="V20" s="1484"/>
      <c r="W20" s="1484"/>
      <c r="X20" s="1484"/>
      <c r="Y20" s="1484"/>
      <c r="Z20" s="1484"/>
      <c r="AA20" s="1484"/>
      <c r="AB20" s="1482"/>
      <c r="AC20" s="1483"/>
      <c r="AD20" s="1483"/>
      <c r="AE20" s="1483"/>
      <c r="AF20" s="1483"/>
      <c r="AG20" s="1483"/>
      <c r="AH20" s="1483"/>
      <c r="AI20" s="1483"/>
      <c r="AJ20" s="1483"/>
      <c r="AK20" s="1483"/>
      <c r="AL20" s="1483"/>
      <c r="AM20" s="1483"/>
      <c r="AN20" s="1483"/>
      <c r="AO20" s="1483"/>
      <c r="AP20" s="1483"/>
      <c r="AQ20" s="1483"/>
      <c r="AR20" s="1483"/>
      <c r="AS20" s="1483"/>
      <c r="AT20" s="1483"/>
      <c r="AU20" s="1483"/>
      <c r="AV20" s="1483"/>
      <c r="AW20" s="1483"/>
      <c r="AX20" s="1483"/>
      <c r="AY20" s="1483"/>
      <c r="AZ20" s="1483"/>
      <c r="BA20" s="1483"/>
      <c r="BB20" s="1483"/>
      <c r="BC20" s="1483"/>
      <c r="BD20" s="1483"/>
      <c r="BE20" s="1483"/>
      <c r="BF20" s="1483"/>
      <c r="BG20" s="1483"/>
      <c r="BH20" s="1483"/>
      <c r="BI20" s="1483"/>
      <c r="BJ20" s="1483"/>
      <c r="BK20" s="1483"/>
      <c r="BL20" s="1483"/>
      <c r="BM20" s="1483"/>
      <c r="BN20" s="1483"/>
      <c r="BO20" s="1483"/>
      <c r="BP20" s="1483"/>
      <c r="BQ20" s="1483"/>
      <c r="BR20" s="1483"/>
      <c r="BS20" s="1483"/>
      <c r="BT20" s="1483"/>
      <c r="BU20" s="1483"/>
      <c r="BV20" s="1483"/>
      <c r="BW20" s="1483"/>
      <c r="BX20" s="1483"/>
      <c r="BY20" s="1483"/>
      <c r="BZ20" s="1483"/>
      <c r="CA20" s="1483"/>
      <c r="CB20" s="1483"/>
      <c r="CC20" s="1483"/>
      <c r="CD20" s="1483"/>
      <c r="CE20" s="1483"/>
      <c r="CF20" s="1483"/>
      <c r="CG20" s="1483"/>
      <c r="CH20" s="1483"/>
      <c r="CI20" s="1483"/>
      <c r="CJ20" s="1483"/>
      <c r="CK20" s="1483"/>
      <c r="CL20" s="1485"/>
      <c r="CM20" s="1485"/>
      <c r="CN20" s="1485"/>
      <c r="CO20" s="1485"/>
      <c r="CP20" s="1485"/>
      <c r="CQ20" s="1485"/>
      <c r="CR20" s="1485"/>
      <c r="CS20" s="1485"/>
      <c r="CT20" s="1485"/>
      <c r="CU20" s="1485"/>
      <c r="CV20" s="1485"/>
      <c r="CW20" s="1485"/>
      <c r="CX20" s="1485"/>
      <c r="CY20" s="1485"/>
      <c r="CZ20" s="1485"/>
      <c r="DA20" s="1485"/>
      <c r="DB20" s="1485"/>
      <c r="DC20" s="1485"/>
      <c r="DD20" s="1485"/>
      <c r="DE20" s="1485"/>
      <c r="DF20" s="1485"/>
      <c r="DG20" s="1485"/>
      <c r="DH20" s="1485"/>
      <c r="DI20" s="1485"/>
      <c r="DJ20" s="1485"/>
      <c r="DK20" s="1485"/>
      <c r="DL20" s="1485"/>
      <c r="DM20" s="1485"/>
      <c r="DN20" s="1485"/>
      <c r="DO20" s="1485"/>
      <c r="DP20" s="1485"/>
      <c r="DQ20" s="1485"/>
      <c r="DR20" s="1485"/>
      <c r="DS20" s="1485"/>
      <c r="DT20" s="1485"/>
      <c r="DU20" s="1485"/>
      <c r="DV20" s="1485"/>
      <c r="DW20" s="1485"/>
      <c r="DX20" s="1485"/>
      <c r="DY20" s="1485"/>
      <c r="DZ20" s="1485"/>
      <c r="EA20" s="1485"/>
      <c r="EB20" s="1485"/>
      <c r="EC20" s="1485"/>
      <c r="ED20" s="1485"/>
      <c r="EE20" s="1485"/>
      <c r="EF20" s="1485"/>
      <c r="EG20" s="1485"/>
      <c r="EH20" s="1485"/>
      <c r="EI20" s="1485"/>
      <c r="EJ20" s="1485"/>
      <c r="EK20" s="1485"/>
      <c r="EL20" s="1485"/>
      <c r="EM20" s="1485"/>
      <c r="EN20" s="1485"/>
      <c r="EO20" s="1485"/>
      <c r="EP20" s="1485"/>
      <c r="EQ20" s="1485"/>
      <c r="ER20" s="1485"/>
      <c r="ES20" s="1485"/>
      <c r="ET20" s="1485"/>
      <c r="EU20" s="1485"/>
      <c r="EV20" s="1485"/>
      <c r="EW20" s="1485"/>
      <c r="EX20" s="1485"/>
      <c r="EY20" s="1485"/>
      <c r="EZ20" s="1485"/>
      <c r="FA20" s="1485"/>
      <c r="FB20" s="1485"/>
      <c r="FC20" s="1485"/>
      <c r="FD20" s="1485"/>
      <c r="FE20" s="1485"/>
      <c r="FF20" s="1485"/>
      <c r="FG20" s="1485"/>
      <c r="FH20" s="1485"/>
      <c r="FI20" s="1485"/>
      <c r="FJ20" s="1485"/>
      <c r="FK20" s="1485"/>
      <c r="FL20" s="1485"/>
      <c r="FM20" s="1485"/>
      <c r="FN20" s="1485"/>
      <c r="FO20" s="1485"/>
      <c r="FP20" s="1485"/>
      <c r="FQ20" s="1485"/>
      <c r="FR20" s="1485"/>
      <c r="FS20" s="1485"/>
      <c r="FT20" s="1485"/>
      <c r="FU20" s="1485"/>
      <c r="FV20" s="1485"/>
      <c r="FW20" s="1485"/>
      <c r="FX20" s="1486"/>
      <c r="GC20" s="1206">
        <v>0</v>
      </c>
    </row>
    <row s="15863" customFormat="1" customHeight="1" ht="12.75">
      <c r="A21" s="1225"/>
      <c r="B21" s="1225"/>
      <c r="C21" s="1225"/>
      <c r="D21" s="1225"/>
      <c r="E21" s="1225"/>
      <c r="F21" s="1223"/>
      <c r="G21" s="1223"/>
      <c r="H21" s="1223"/>
      <c r="I21" s="1223"/>
      <c r="J21" s="1223"/>
      <c r="K21" s="1223"/>
      <c r="L21" s="1223"/>
      <c r="M21" s="1223"/>
      <c r="N21" s="1223"/>
      <c r="O21" s="1223"/>
      <c r="P21" s="1223"/>
      <c r="Q21" s="1223"/>
      <c r="R21" s="1223"/>
      <c r="S21" s="1226"/>
      <c r="T21" s="1226"/>
      <c r="U21" s="1223"/>
      <c r="V21" s="1223"/>
      <c r="W21" s="1223"/>
      <c r="X21" s="1223"/>
      <c r="Y21" s="1223"/>
      <c r="Z21" s="1223"/>
      <c r="AA21" s="1223"/>
      <c r="AB21" s="1223"/>
      <c r="AC21" s="1223"/>
      <c r="AD21" s="1223"/>
      <c r="AE21" s="1223"/>
      <c r="AF21" s="1223"/>
      <c r="AG21" s="1223"/>
      <c r="AH21" s="1223"/>
      <c r="AI21" s="1223"/>
      <c r="AJ21" s="1223"/>
      <c r="AK21" s="1223"/>
      <c r="AL21" s="1223"/>
      <c r="AM21" s="1223"/>
      <c r="AN21" s="1223"/>
      <c r="AO21" s="1223"/>
      <c r="AP21" s="1223"/>
      <c r="AQ21" s="1223"/>
      <c r="AR21" s="1223"/>
      <c r="AS21" s="1223"/>
      <c r="AT21" s="1223"/>
      <c r="AU21" s="1223"/>
      <c r="AV21" s="1223"/>
      <c r="AW21" s="1223"/>
      <c r="AX21" s="1223"/>
      <c r="AY21" s="1223"/>
      <c r="AZ21" s="1223"/>
      <c r="BA21" s="1223"/>
      <c r="BB21" s="1223"/>
      <c r="BC21" s="1223"/>
      <c r="BD21" s="1223"/>
      <c r="BE21" s="1223"/>
      <c r="BF21" s="1223"/>
      <c r="BG21" s="1223"/>
      <c r="BH21" s="1223"/>
      <c r="BI21" s="1223"/>
      <c r="BJ21" s="1223"/>
      <c r="BK21" s="1223"/>
      <c r="BL21" s="1223"/>
      <c r="BM21" s="1223"/>
      <c r="BN21" s="1223"/>
      <c r="BO21" s="1223"/>
      <c r="BP21" s="1223"/>
      <c r="BQ21" s="1223"/>
      <c r="BR21" s="1223"/>
      <c r="BS21" s="1223"/>
      <c r="BT21" s="1223"/>
      <c r="BU21" s="1223"/>
      <c r="BV21" s="1223"/>
      <c r="BW21" s="1223"/>
      <c r="BX21" s="1223"/>
      <c r="BY21" s="1223"/>
      <c r="BZ21" s="1223"/>
      <c r="CA21" s="1223"/>
      <c r="CB21" s="1223"/>
      <c r="CC21" s="1223"/>
      <c r="CD21" s="1223"/>
      <c r="CE21" s="1223"/>
      <c r="CF21" s="1223"/>
      <c r="CG21" s="1223"/>
      <c r="CH21" s="1223"/>
      <c r="CI21" s="1223"/>
      <c r="CJ21" s="1223"/>
      <c r="CK21" s="1223"/>
      <c r="CL21" s="1223"/>
      <c r="CM21" s="1223"/>
      <c r="CN21" s="1223"/>
      <c r="CO21" s="1223"/>
      <c r="CP21" s="1223"/>
      <c r="CQ21" s="1223"/>
      <c r="CR21" s="1223"/>
      <c r="CS21" s="1223"/>
      <c r="CT21" s="1223"/>
      <c r="CU21" s="1223"/>
      <c r="CV21" s="1223"/>
      <c r="CW21" s="1223"/>
      <c r="CX21" s="1223"/>
      <c r="CY21" s="1223"/>
      <c r="CZ21" s="1223"/>
      <c r="DA21" s="1223"/>
      <c r="DB21" s="1223"/>
      <c r="DC21" s="1223"/>
      <c r="DD21" s="1223"/>
      <c r="DE21" s="1223"/>
      <c r="DF21" s="1223"/>
      <c r="DG21" s="1223"/>
      <c r="DH21" s="1223"/>
      <c r="DI21" s="1223"/>
      <c r="DJ21" s="1223"/>
      <c r="DK21" s="1223"/>
      <c r="DL21" s="1223"/>
      <c r="DM21" s="1223"/>
      <c r="DN21" s="1223"/>
      <c r="DO21" s="1223"/>
      <c r="DP21" s="1223"/>
      <c r="DQ21" s="1223"/>
      <c r="DR21" s="1223"/>
      <c r="DS21" s="1223"/>
      <c r="DT21" s="1223"/>
      <c r="DU21" s="1223"/>
      <c r="DV21" s="1223"/>
      <c r="DW21" s="1223"/>
      <c r="DX21" s="1223"/>
      <c r="DY21" s="1223"/>
      <c r="DZ21" s="1223"/>
      <c r="EA21" s="1223"/>
      <c r="EB21" s="1223"/>
      <c r="EC21" s="1223"/>
      <c r="ED21" s="1223"/>
      <c r="EE21" s="1223"/>
      <c r="EF21" s="1223"/>
      <c r="EG21" s="1223"/>
      <c r="EH21" s="1223"/>
      <c r="EI21" s="1223"/>
      <c r="EJ21" s="1223"/>
      <c r="EK21" s="1223"/>
      <c r="EL21" s="1223"/>
      <c r="EM21" s="1223"/>
      <c r="EN21" s="1223"/>
      <c r="EO21" s="1223"/>
      <c r="EP21" s="1223"/>
      <c r="EQ21" s="1223"/>
      <c r="ER21" s="1223"/>
      <c r="ES21" s="1223"/>
      <c r="ET21" s="1223"/>
      <c r="EU21" s="1223"/>
      <c r="EV21" s="1223"/>
      <c r="EW21" s="1223"/>
      <c r="EX21" s="1223"/>
      <c r="EY21" s="1223"/>
      <c r="EZ21" s="1223"/>
      <c r="FA21" s="1223"/>
      <c r="FB21" s="1223"/>
      <c r="FC21" s="1223"/>
      <c r="FD21" s="1223"/>
      <c r="FE21" s="1223"/>
      <c r="FF21" s="1223"/>
      <c r="FG21" s="1223"/>
      <c r="FH21" s="1223"/>
      <c r="FI21" s="1223"/>
      <c r="FJ21" s="1223"/>
      <c r="FK21" s="1223"/>
      <c r="FL21" s="1223"/>
      <c r="FM21" s="1223"/>
      <c r="FN21" s="1223"/>
      <c r="FO21" s="1223"/>
      <c r="FP21" s="1223"/>
      <c r="FQ21" s="1223"/>
      <c r="FR21" s="1223"/>
      <c r="FS21" s="1223"/>
      <c r="FT21" s="1223"/>
      <c r="FU21" s="1223"/>
      <c r="FV21" s="1223"/>
      <c r="FW21" s="1223"/>
      <c r="FX21" s="1225"/>
      <c r="FY21" s="1225"/>
      <c r="FZ21" s="1225"/>
      <c r="GA21" s="1225"/>
      <c r="GB21" s="1225"/>
      <c r="GC21" s="1206">
        <v>12</v>
      </c>
    </row>
    <row s="15863" customFormat="1" customHeight="1" ht="12.75">
      <c r="A22" s="1225"/>
      <c r="B22" s="1225"/>
      <c r="C22" s="1225"/>
      <c r="D22" s="1225"/>
      <c r="E22" s="1225"/>
      <c r="FX22" s="1225"/>
      <c r="FY22" s="1225"/>
      <c r="FZ22" s="1225"/>
      <c r="GA22" s="1225"/>
      <c r="GB22" s="1225"/>
      <c r="GC22" s="1206">
        <v>12</v>
      </c>
    </row>
    <row s="15933" customFormat="1" customHeight="1" ht="12.75">
      <c r="A23" s="1346"/>
      <c r="B23" s="1346"/>
      <c r="C23" s="1346"/>
      <c r="D23" s="1346"/>
      <c r="E23" s="1346"/>
      <c r="O23" s="1348"/>
      <c r="P23" s="1348"/>
      <c r="Q23" s="1348"/>
      <c r="R23" s="1348"/>
      <c r="S23" s="1348"/>
      <c r="T23" s="1348"/>
      <c r="U23" s="1348"/>
      <c r="V23" s="1348"/>
      <c r="W23" s="1348"/>
      <c r="X23" s="1348"/>
      <c r="Y23" s="1348"/>
      <c r="Z23" s="1348"/>
      <c r="AA23" s="1348"/>
      <c r="AB23" s="1348"/>
      <c r="AC23" s="1348"/>
      <c r="AD23" s="1348"/>
      <c r="AE23" s="1348"/>
      <c r="AF23" s="1348"/>
      <c r="AG23" s="1348"/>
      <c r="AH23" s="1348"/>
      <c r="AI23" s="1348"/>
      <c r="AJ23" s="1348"/>
      <c r="AK23" s="1348"/>
      <c r="AL23" s="1348"/>
      <c r="AM23" s="1348"/>
      <c r="AN23" s="1348"/>
      <c r="AO23" s="1348"/>
      <c r="AP23" s="1348"/>
      <c r="AQ23" s="1348"/>
      <c r="AR23" s="1348"/>
      <c r="AS23" s="1348"/>
      <c r="AT23" s="1348"/>
      <c r="AU23" s="1348"/>
      <c r="AV23" s="1348"/>
      <c r="AW23" s="1348"/>
      <c r="AX23" s="1348"/>
      <c r="AY23" s="1348"/>
      <c r="AZ23" s="1348"/>
      <c r="BA23" s="1348"/>
      <c r="BB23" s="1348"/>
      <c r="BC23" s="1348"/>
      <c r="BD23" s="1348"/>
      <c r="BE23" s="1348"/>
      <c r="BF23" s="1348"/>
      <c r="BG23" s="1348"/>
      <c r="BH23" s="1348"/>
      <c r="BI23" s="1348"/>
      <c r="BJ23" s="1348"/>
      <c r="BK23" s="1348"/>
      <c r="BL23" s="1348"/>
      <c r="BM23" s="1348"/>
      <c r="BN23" s="1348"/>
      <c r="BO23" s="1348"/>
      <c r="BP23" s="1348"/>
      <c r="BQ23" s="1348"/>
      <c r="BR23" s="1348"/>
      <c r="BS23" s="1348"/>
      <c r="BT23" s="1349"/>
      <c r="BU23" s="1349"/>
      <c r="BV23" s="1349"/>
      <c r="BW23" s="1349"/>
      <c r="BX23" s="1349"/>
      <c r="BY23" s="1349"/>
      <c r="BZ23" s="1349"/>
      <c r="CA23" s="1349"/>
      <c r="CB23" s="1349"/>
      <c r="CC23" s="1349"/>
      <c r="CD23" s="1349"/>
      <c r="CE23" s="1349"/>
      <c r="CF23" s="1349"/>
      <c r="CG23" s="1349"/>
      <c r="CH23" s="1349"/>
      <c r="CI23" s="1349"/>
      <c r="CJ23" s="1349"/>
      <c r="CK23" s="1349"/>
      <c r="CL23" s="1349"/>
      <c r="CM23" s="1349"/>
      <c r="CN23" s="1349"/>
      <c r="CO23" s="1349"/>
      <c r="CP23" s="1349"/>
      <c r="CQ23" s="1349"/>
      <c r="CR23" s="1349"/>
      <c r="CS23" s="1349"/>
      <c r="CT23" s="1349"/>
      <c r="CU23" s="1349"/>
      <c r="CV23" s="1349"/>
      <c r="CW23" s="1349"/>
      <c r="CX23" s="1349"/>
      <c r="CY23" s="1349"/>
      <c r="CZ23" s="1349"/>
      <c r="DA23" s="1349"/>
      <c r="DB23" s="1349"/>
      <c r="DC23" s="1349"/>
      <c r="DD23" s="1349"/>
      <c r="DE23" s="1349"/>
      <c r="DF23" s="1349"/>
      <c r="DG23" s="1349"/>
      <c r="DH23" s="1349"/>
      <c r="DI23" s="1349"/>
      <c r="DJ23" s="1349"/>
      <c r="DK23" s="1349"/>
      <c r="DL23" s="1349"/>
      <c r="DM23" s="1349"/>
      <c r="DN23" s="1349"/>
      <c r="DO23" s="1349"/>
      <c r="DP23" s="1349"/>
      <c r="DQ23" s="1349"/>
      <c r="DR23" s="1349"/>
      <c r="DS23" s="1349"/>
      <c r="DT23" s="1349"/>
      <c r="DU23" s="1349"/>
      <c r="DV23" s="1349"/>
      <c r="DW23" s="1349"/>
      <c r="DX23" s="1349"/>
      <c r="FX23" s="1346"/>
      <c r="FY23" s="1346"/>
      <c r="FZ23" s="1346"/>
      <c r="GA23" s="1346"/>
      <c r="GB23" s="1346"/>
      <c r="GC23" s="1347">
        <v>12</v>
      </c>
    </row>
    <row customHeight="1" ht="12.75">
      <c r="S24" s="1222"/>
      <c r="T24" s="1222"/>
      <c r="U24" s="1222"/>
      <c r="V24" s="1222"/>
      <c r="W24" s="1222"/>
      <c r="X24" s="1222"/>
      <c r="Y24" s="1222"/>
      <c r="Z24" s="1222"/>
      <c r="AA24" s="1222"/>
      <c r="AB24" s="1222"/>
      <c r="FX24" s="1222"/>
      <c r="FY24" s="1222"/>
      <c r="FZ24" s="1222"/>
      <c r="GA24" s="1222"/>
      <c r="GB24" s="1222"/>
      <c r="GC24" s="1210">
        <v>12</v>
      </c>
    </row>
    <row customHeight="1" ht="12" hidden="1">
      <c r="A25" s="1210" t="s">
        <v>83</v>
      </c>
      <c r="B25" s="1220">
        <v>0</v>
      </c>
      <c r="C25" s="1210">
        <v>0</v>
      </c>
      <c r="D25" s="1210">
        <v>0</v>
      </c>
      <c r="E25" s="1210">
        <v>3</v>
      </c>
      <c r="F25" s="1210">
        <v>6</v>
      </c>
      <c r="G25" s="1210">
        <v>18</v>
      </c>
      <c r="H25" s="1210">
        <v>27</v>
      </c>
      <c r="I25" s="1210">
        <v>18</v>
      </c>
      <c r="J25" s="1210">
        <v>0</v>
      </c>
      <c r="K25" s="1210">
        <v>0</v>
      </c>
      <c r="L25" s="1210">
        <v>0</v>
      </c>
      <c r="M25" s="1210">
        <v>0</v>
      </c>
      <c r="N25" s="1210">
        <v>0</v>
      </c>
      <c r="O25" s="1210">
        <v>0</v>
      </c>
      <c r="P25" s="1210">
        <v>0</v>
      </c>
      <c r="Q25" s="1210">
        <v>0</v>
      </c>
      <c r="R25" s="1210">
        <v>0</v>
      </c>
      <c r="S25" s="1210">
        <v>0</v>
      </c>
      <c r="T25" s="1210">
        <v>0</v>
      </c>
      <c r="U25" s="1210">
        <v>0</v>
      </c>
      <c r="V25" s="1210">
        <v>0</v>
      </c>
      <c r="W25" s="1210">
        <v>0</v>
      </c>
      <c r="X25" s="1210">
        <v>0</v>
      </c>
      <c r="Y25" s="1210">
        <v>0</v>
      </c>
      <c r="Z25" s="1210">
        <v>0</v>
      </c>
      <c r="AA25" s="1210">
        <v>0</v>
      </c>
      <c r="AB25" s="1210">
        <v>0</v>
      </c>
      <c r="AC25" s="1210">
        <v>0</v>
      </c>
      <c r="AD25" s="1210">
        <v>0</v>
      </c>
      <c r="AE25" s="1210">
        <v>0</v>
      </c>
      <c r="AF25" s="1210">
        <v>0</v>
      </c>
      <c r="AG25" s="1210">
        <v>0</v>
      </c>
      <c r="AH25" s="1210">
        <v>0</v>
      </c>
      <c r="AI25" s="1210">
        <v>0</v>
      </c>
      <c r="AJ25" s="1210">
        <v>0</v>
      </c>
      <c r="AK25" s="1210">
        <v>0</v>
      </c>
      <c r="AL25" s="1210">
        <v>0</v>
      </c>
      <c r="AM25" s="1210">
        <v>0</v>
      </c>
      <c r="AN25" s="1210">
        <v>0</v>
      </c>
      <c r="AO25" s="1210">
        <v>0</v>
      </c>
      <c r="AP25" s="1210">
        <v>0</v>
      </c>
      <c r="AQ25" s="1210">
        <v>0</v>
      </c>
      <c r="AR25" s="1210">
        <v>0</v>
      </c>
      <c r="AS25" s="1210">
        <v>0</v>
      </c>
      <c r="AT25" s="1210">
        <v>0</v>
      </c>
      <c r="AU25" s="1210">
        <v>0</v>
      </c>
      <c r="AV25" s="1210">
        <v>0</v>
      </c>
      <c r="AW25" s="1210">
        <v>0</v>
      </c>
      <c r="AX25" s="1210">
        <v>0</v>
      </c>
      <c r="AY25" s="1210">
        <v>0</v>
      </c>
      <c r="AZ25" s="1210">
        <v>0</v>
      </c>
      <c r="BA25" s="1210">
        <v>0</v>
      </c>
      <c r="BB25" s="1210">
        <v>0</v>
      </c>
      <c r="BC25" s="1210">
        <v>0</v>
      </c>
      <c r="BD25" s="1210">
        <v>0</v>
      </c>
      <c r="BE25" s="1210">
        <v>0</v>
      </c>
      <c r="BF25" s="1210">
        <v>0</v>
      </c>
      <c r="BG25" s="1210">
        <v>0</v>
      </c>
      <c r="BH25" s="1210">
        <v>0</v>
      </c>
      <c r="BI25" s="1210">
        <v>0</v>
      </c>
      <c r="BJ25" s="1210">
        <v>0</v>
      </c>
      <c r="BK25" s="1210">
        <v>0</v>
      </c>
      <c r="BL25" s="1210">
        <v>0</v>
      </c>
      <c r="BM25" s="1210">
        <v>0</v>
      </c>
      <c r="BN25" s="1210">
        <v>0</v>
      </c>
      <c r="BO25" s="1210">
        <v>0</v>
      </c>
      <c r="BP25" s="1210">
        <v>0</v>
      </c>
      <c r="BQ25" s="1210">
        <v>0</v>
      </c>
      <c r="BR25" s="1210">
        <v>0</v>
      </c>
      <c r="BS25" s="1210">
        <v>0</v>
      </c>
      <c r="BT25" s="1210">
        <v>0</v>
      </c>
      <c r="BU25" s="1210">
        <v>0</v>
      </c>
      <c r="BV25" s="1210">
        <v>0</v>
      </c>
      <c r="BW25" s="1210">
        <v>0</v>
      </c>
      <c r="BX25" s="1210">
        <v>0</v>
      </c>
      <c r="BY25" s="1210">
        <v>0</v>
      </c>
      <c r="BZ25" s="1210">
        <v>0</v>
      </c>
      <c r="CA25" s="1210">
        <v>0</v>
      </c>
      <c r="CB25" s="1210">
        <v>0</v>
      </c>
      <c r="CC25" s="1210">
        <v>0</v>
      </c>
      <c r="CD25" s="1210">
        <v>0</v>
      </c>
      <c r="CE25" s="1210">
        <v>0</v>
      </c>
      <c r="CF25" s="1210">
        <v>0</v>
      </c>
      <c r="CG25" s="1210">
        <v>0</v>
      </c>
      <c r="CH25" s="1210">
        <v>0</v>
      </c>
      <c r="CI25" s="1210">
        <v>0</v>
      </c>
      <c r="CJ25" s="1210">
        <v>0</v>
      </c>
      <c r="CK25" s="1210">
        <v>0</v>
      </c>
      <c r="CL25" s="1210">
        <v>0</v>
      </c>
      <c r="CM25" s="1210">
        <v>0</v>
      </c>
      <c r="CN25" s="1210">
        <v>0</v>
      </c>
      <c r="CO25" s="1210">
        <v>0</v>
      </c>
      <c r="CP25" s="1210">
        <v>0</v>
      </c>
      <c r="CQ25" s="1210">
        <v>0</v>
      </c>
      <c r="CR25" s="1210">
        <v>0</v>
      </c>
      <c r="CS25" s="1210">
        <v>0</v>
      </c>
      <c r="CT25" s="1210">
        <v>0</v>
      </c>
      <c r="CU25" s="1210">
        <v>0</v>
      </c>
      <c r="CV25" s="1210">
        <v>0</v>
      </c>
      <c r="CW25" s="1210">
        <v>0</v>
      </c>
      <c r="CX25" s="1210">
        <v>0</v>
      </c>
      <c r="CY25" s="1210">
        <v>0</v>
      </c>
      <c r="CZ25" s="1210">
        <v>0</v>
      </c>
      <c r="DA25" s="1210">
        <v>0</v>
      </c>
      <c r="DB25" s="1210">
        <v>0</v>
      </c>
      <c r="DC25" s="1210">
        <v>0</v>
      </c>
      <c r="DD25" s="1210">
        <v>0</v>
      </c>
      <c r="DE25" s="1210">
        <v>0</v>
      </c>
      <c r="DF25" s="1210">
        <v>0</v>
      </c>
      <c r="DG25" s="1210">
        <v>0</v>
      </c>
      <c r="DH25" s="1210">
        <v>0</v>
      </c>
      <c r="DI25" s="1210">
        <v>0</v>
      </c>
      <c r="DJ25" s="1210">
        <v>0</v>
      </c>
      <c r="DK25" s="1210">
        <v>0</v>
      </c>
      <c r="DL25" s="1210">
        <v>0</v>
      </c>
      <c r="DM25" s="1210">
        <v>0</v>
      </c>
      <c r="DN25" s="1210">
        <v>0</v>
      </c>
      <c r="DO25" s="1210">
        <v>0</v>
      </c>
      <c r="DP25" s="1210">
        <v>0</v>
      </c>
      <c r="DQ25" s="1210">
        <v>0</v>
      </c>
      <c r="DR25" s="1210">
        <v>0</v>
      </c>
      <c r="DS25" s="1210">
        <v>0</v>
      </c>
      <c r="DT25" s="1210">
        <v>0</v>
      </c>
      <c r="DU25" s="1210">
        <v>0</v>
      </c>
      <c r="DV25" s="1210">
        <v>0</v>
      </c>
      <c r="DW25" s="1210">
        <v>0</v>
      </c>
      <c r="DX25" s="1210">
        <v>0</v>
      </c>
      <c r="DY25" s="1210">
        <v>0</v>
      </c>
      <c r="DZ25" s="1210">
        <v>0</v>
      </c>
      <c r="EA25" s="1210">
        <v>0</v>
      </c>
      <c r="EB25" s="1210">
        <v>0</v>
      </c>
      <c r="EC25" s="1210">
        <v>0</v>
      </c>
      <c r="ED25" s="1210">
        <v>0</v>
      </c>
      <c r="EE25" s="1210">
        <v>0</v>
      </c>
      <c r="EF25" s="1210">
        <v>0</v>
      </c>
      <c r="EG25" s="1210">
        <v>0</v>
      </c>
      <c r="EH25" s="1210">
        <v>0</v>
      </c>
      <c r="EI25" s="1210">
        <v>0</v>
      </c>
      <c r="EJ25" s="1210">
        <v>0</v>
      </c>
      <c r="EK25" s="1210">
        <v>0</v>
      </c>
      <c r="EL25" s="1210">
        <v>0</v>
      </c>
      <c r="EM25" s="1210">
        <v>0</v>
      </c>
      <c r="EN25" s="1210">
        <v>0</v>
      </c>
      <c r="EO25" s="1210">
        <v>0</v>
      </c>
      <c r="EP25" s="1210">
        <v>0</v>
      </c>
      <c r="EQ25" s="1210">
        <v>0</v>
      </c>
      <c r="ER25" s="1210">
        <v>0</v>
      </c>
      <c r="ES25" s="1210">
        <v>0</v>
      </c>
      <c r="ET25" s="1210">
        <v>0</v>
      </c>
      <c r="EU25" s="1210">
        <v>0</v>
      </c>
      <c r="EV25" s="1210">
        <v>0</v>
      </c>
      <c r="EW25" s="1210">
        <v>0</v>
      </c>
      <c r="EX25" s="1210">
        <v>0</v>
      </c>
      <c r="EY25" s="1210">
        <v>0</v>
      </c>
      <c r="EZ25" s="1210">
        <v>0</v>
      </c>
      <c r="FA25" s="1210">
        <v>0</v>
      </c>
      <c r="FB25" s="1210">
        <v>0</v>
      </c>
      <c r="FC25" s="1210">
        <v>0</v>
      </c>
      <c r="FD25" s="1210">
        <v>0</v>
      </c>
      <c r="FE25" s="1210">
        <v>0</v>
      </c>
      <c r="FF25" s="1210">
        <v>0</v>
      </c>
      <c r="FG25" s="1210">
        <v>0</v>
      </c>
      <c r="FH25" s="1210">
        <v>0</v>
      </c>
      <c r="FI25" s="1210">
        <v>0</v>
      </c>
      <c r="FJ25" s="1210">
        <v>0</v>
      </c>
      <c r="FK25" s="1210">
        <v>0</v>
      </c>
      <c r="FL25" s="1210">
        <v>0</v>
      </c>
      <c r="FM25" s="1210">
        <v>0</v>
      </c>
      <c r="FN25" s="1210">
        <v>0</v>
      </c>
      <c r="FO25" s="1210">
        <v>0</v>
      </c>
      <c r="FP25" s="1210">
        <v>0</v>
      </c>
      <c r="FQ25" s="1210">
        <v>0</v>
      </c>
      <c r="FR25" s="1210">
        <v>0</v>
      </c>
      <c r="FS25" s="1210">
        <v>0</v>
      </c>
      <c r="FT25" s="1210">
        <v>0</v>
      </c>
      <c r="FU25" s="1210">
        <v>0</v>
      </c>
      <c r="FV25" s="1210">
        <v>0</v>
      </c>
      <c r="FW25" s="1210">
        <v>0</v>
      </c>
      <c r="FX25" s="1210">
        <v>8</v>
      </c>
      <c r="FY25" s="1210">
        <v>8</v>
      </c>
      <c r="FZ25" s="1210">
        <v>8</v>
      </c>
      <c r="GA25" s="1210">
        <v>8</v>
      </c>
      <c r="GB25" s="1210">
        <v>8</v>
      </c>
      <c r="GC25" s="1210">
        <v>12</v>
      </c>
    </row>
  </sheetData>
  <sheetProtection formatColumns="0" formatRows="0" autoFilter="0" sort="0" insertRows="0" insertColumns="1" deleteRows="0" deleteColumns="0"/>
  <mergeCells count="198">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X16:BY16"/>
    <mergeCell ref="BZ13:CA15"/>
    <mergeCell ref="BZ16:CA16"/>
    <mergeCell ref="CB12:CC12"/>
    <mergeCell ref="CB13:CC15"/>
    <mergeCell ref="CB16:CC16"/>
    <mergeCell ref="CD13:CE15"/>
    <mergeCell ref="CD16:CE16"/>
    <mergeCell ref="CF13:CG15"/>
    <mergeCell ref="CF16:CG16"/>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s>
  <dataValidations count="1">
    <dataValidation allowBlank="1" showInputMessage="1" showErrorMessage="1" sqref="AA14:AB16 U16:Z1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853C938-C168-5278-7108-E998A5515D4B}" mc:Ignorable="x14ac xr xr2 xr3">
  <sheetPr>
    <tabColor theme="2" tint="-0.1"/>
  </sheetPr>
  <dimension ref="A1:S23"/>
  <sheetViews>
    <sheetView topLeftCell="A1" showGridLines="0" zoomScale="90" workbookViewId="0">
      <selection activeCell="A1" sqref="A1"/>
    </sheetView>
  </sheetViews>
  <sheetFormatPr defaultColWidth="10.57421875" customHeight="1" defaultRowHeight="15"/>
  <cols>
    <col min="1" max="1" style="14041" width="9.140625" hidden="1" customWidth="1"/>
    <col min="2" max="2" style="14077" width="9.140625" hidden="1" customWidth="1"/>
    <col min="3" max="3" style="15757" width="4.00390625" customWidth="1"/>
    <col min="4" max="4" style="14077" width="6.00390625" customWidth="1"/>
    <col min="5" max="5" style="14077" width="36.00390625" customWidth="1"/>
    <col min="6" max="6" style="14077" width="9.00390625" customWidth="1"/>
    <col min="7" max="7" style="14077" width="42.421875" hidden="1" customWidth="1"/>
    <col min="8" max="8" style="14077" width="40.7109375" customWidth="1"/>
    <col min="9" max="9" style="14157" width="93.00390625" customWidth="1"/>
    <col min="10" max="17" style="14077" width="10.00390625" customWidth="1"/>
    <col min="18" max="18" style="15758" width="10.00390625" customWidth="1"/>
    <col min="19" max="19" style="14077" width="10.57421875" hidden="1"/>
  </cols>
  <sheetData>
    <row s="14157" customFormat="1" customHeight="1" ht="15" hidden="1">
      <c r="C1" s="956"/>
      <c r="H1" s="701">
        <v>4</v>
      </c>
      <c r="R1" s="704"/>
      <c r="S1" s="701" t="s">
        <v>14</v>
      </c>
    </row>
    <row customHeight="1" ht="22.5" hidden="1">
      <c r="C2" s="2212" t="s">
        <v>454</v>
      </c>
      <c r="D2" s="823"/>
      <c r="E2" s="947"/>
      <c r="F2" s="2045" t="str">
        <f>IF(TEMPLATE_SPHERE="HEAT","Гкал/час","тыс. куб. м/сутки")</f>
        <v>Гкал/час</v>
      </c>
      <c r="G2" s="964"/>
      <c r="H2" s="964"/>
      <c r="I2" s="573"/>
      <c r="S2" s="789">
        <v>0</v>
      </c>
    </row>
    <row s="14157" customFormat="1" customHeight="1" ht="15" hidden="1">
      <c r="C3" s="956"/>
      <c r="R3" s="704"/>
      <c r="S3" s="701">
        <v>0</v>
      </c>
    </row>
    <row customHeight="1" ht="15.75">
      <c r="C4" s="460"/>
      <c r="D4" s="793"/>
      <c r="E4" s="793"/>
      <c r="F4" s="793"/>
      <c r="G4" s="793"/>
      <c r="H4" s="793"/>
      <c r="S4" s="789">
        <v>15</v>
      </c>
    </row>
    <row customHeight="1" ht="39.75">
      <c r="C5" s="460"/>
      <c r="D5" s="2521" t="str">
        <f>TP_NAME_FORM</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E5" s="2521"/>
      <c r="F5" s="2521"/>
      <c r="G5" s="2521"/>
      <c r="H5" s="2521"/>
      <c r="I5" s="821"/>
      <c r="S5" s="789">
        <v>38</v>
      </c>
    </row>
    <row customHeight="1" ht="15.75">
      <c r="C6" s="460"/>
      <c r="D6" s="2460" t="str">
        <f>IF(org=0,"Не определено",org)</f>
        <v>МУП г. Азова "Теплоэнерго"</v>
      </c>
      <c r="E6" s="2460"/>
      <c r="F6" s="2460"/>
      <c r="G6" s="2460"/>
      <c r="H6" s="2460"/>
      <c r="I6" s="821"/>
      <c r="S6" s="789">
        <v>15</v>
      </c>
    </row>
    <row s="14077" customFormat="1" customHeight="1" ht="15.75">
      <c r="A7" s="1043"/>
      <c r="C7" s="460"/>
      <c r="D7" s="960"/>
      <c r="E7" s="960"/>
      <c r="F7" s="960"/>
      <c r="G7" s="960"/>
      <c r="H7" s="1036"/>
      <c r="I7" s="821"/>
      <c r="R7" s="959"/>
      <c r="S7" s="1042">
        <v>15</v>
      </c>
    </row>
    <row customHeight="1" ht="1.05">
      <c r="C8" s="460"/>
      <c r="D8" s="793"/>
      <c r="E8" s="793"/>
      <c r="F8" s="793"/>
      <c r="G8" s="793"/>
      <c r="H8" s="821" t="s">
        <v>118</v>
      </c>
      <c r="S8" s="789">
        <v>1</v>
      </c>
    </row>
    <row customHeight="1" ht="15.75">
      <c r="C9" s="460"/>
      <c r="D9" s="995"/>
      <c r="E9" s="2651" t="s">
        <v>106</v>
      </c>
      <c r="F9" s="2652"/>
      <c r="G9" s="1100" t="str">
        <f>IF(G8="","",INDEX(DIFFERENTIATION_UNMERGE_VD,MATCH(G8,DIFFERENTIATION_ID_DIFF,0)))</f>
        <v/>
      </c>
      <c r="H9" s="1100">
        <f>IF(H8="","",INDEX(DIFFERENTIATION_UNMERGE_VD,MATCH(H8,DIFFERENTIATION_ID_DIFF,0)))</f>
        <v>0</v>
      </c>
      <c r="I9" s="2411" t="s">
        <v>306</v>
      </c>
      <c r="S9" s="789">
        <v>15</v>
      </c>
    </row>
    <row s="14077" customFormat="1" customHeight="1" ht="15.75">
      <c r="A10" s="1043"/>
      <c r="C10" s="460"/>
      <c r="D10" s="995"/>
      <c r="E10" s="2651" t="s">
        <v>572</v>
      </c>
      <c r="F10" s="2652"/>
      <c r="G10" s="1100" t="str">
        <f>IF(G8="","",INDEX(DIFFERENTIATION_UNMERGE_AREA,MATCH(G8,DIFFERENTIATION_ID_DIFF,0)))</f>
        <v/>
      </c>
      <c r="H10" s="1100" t="str">
        <f>IF(H8="","",INDEX(DIFFERENTIATION_UNMERGE_AREA,MATCH(H8,DIFFERENTIATION_ID_DIFF,0)))</f>
        <v/>
      </c>
      <c r="I10" s="2411"/>
      <c r="R10" s="959"/>
      <c r="S10" s="1042">
        <v>15</v>
      </c>
    </row>
    <row s="14077" customFormat="1" customHeight="1" ht="15.75">
      <c r="A11" s="1043"/>
      <c r="C11" s="460"/>
      <c r="D11" s="995"/>
      <c r="E11" s="2651" t="s">
        <v>573</v>
      </c>
      <c r="F11" s="2652"/>
      <c r="G11" s="1100" t="str">
        <f>IF(G8="","",INDEX(DIFFERENTIATION_UNMERGE_SYSTEM,MATCH(G8,DIFFERENTIATION_ID_DIFF,0)))</f>
        <v/>
      </c>
      <c r="H11" s="1100" t="str">
        <f>IF(H8="","",INDEX(DIFFERENTIATION_UNMERGE_SYSTEM,MATCH(H8,DIFFERENTIATION_ID_DIFF,0)))</f>
        <v>без дифференциации</v>
      </c>
      <c r="I11" s="2411"/>
      <c r="R11" s="959"/>
      <c r="S11" s="1042">
        <v>15</v>
      </c>
    </row>
    <row s="14077" customFormat="1" customHeight="1" ht="15.75">
      <c r="A12" s="1043"/>
      <c r="C12" s="460"/>
      <c r="D12" s="2653" t="s">
        <v>305</v>
      </c>
      <c r="E12" s="2654"/>
      <c r="F12" s="2654"/>
      <c r="G12" s="1171"/>
      <c r="H12" s="1171"/>
      <c r="I12" s="2411"/>
      <c r="R12" s="959"/>
      <c r="S12" s="1042">
        <v>15</v>
      </c>
    </row>
    <row customHeight="1" ht="35.699999999999996">
      <c r="C13" s="460"/>
      <c r="D13" s="1045" t="s">
        <v>89</v>
      </c>
      <c r="E13" s="1044" t="s">
        <v>307</v>
      </c>
      <c r="F13" s="1044" t="s">
        <v>574</v>
      </c>
      <c r="G13" s="1092" t="s">
        <v>308</v>
      </c>
      <c r="H13" s="1038" t="s">
        <v>308</v>
      </c>
      <c r="I13" s="2411"/>
      <c r="S13" s="789">
        <v>34</v>
      </c>
    </row>
    <row customHeight="1" ht="15" hidden="1">
      <c r="C14" s="460"/>
      <c r="D14" s="877" t="s">
        <v>110</v>
      </c>
      <c r="E14" s="877" t="s">
        <v>111</v>
      </c>
      <c r="F14" s="877" t="s">
        <v>91</v>
      </c>
      <c r="G14" s="943" t="str">
        <f>G1&amp;".1"</f>
        <v>.1</v>
      </c>
      <c r="H14" s="943" t="str">
        <f>H1&amp;".1"</f>
        <v>4.1</v>
      </c>
      <c r="I14" s="573"/>
      <c r="S14" s="789">
        <v>0</v>
      </c>
    </row>
    <row customHeight="1" ht="15.75">
      <c r="A15" s="789"/>
      <c r="C15" s="810"/>
      <c r="D15" s="805">
        <v>1</v>
      </c>
      <c r="E15" s="2214" t="str">
        <f>TP_P_A</f>
        <v>Количество поданных заявок</v>
      </c>
      <c r="F15" s="805" t="s">
        <v>1122</v>
      </c>
      <c r="G15" s="969"/>
      <c r="H15" s="969"/>
      <c r="I15" s="492" t="str">
        <f>TP_P_NOTE_A</f>
        <v>Указывается количество поданных заявок на подключение (технологическое присоединение) к системе теплоснабжения в течение отчетного квартала.</v>
      </c>
      <c r="S15" s="789">
        <v>15</v>
      </c>
    </row>
    <row customHeight="1" ht="15.75">
      <c r="A16" s="789"/>
      <c r="C16" s="810"/>
      <c r="D16" s="805">
        <v>2</v>
      </c>
      <c r="E16" s="2214" t="str">
        <f>TP_P_B</f>
        <v>Количество рассмотренных заявок</v>
      </c>
      <c r="F16" s="805" t="s">
        <v>1122</v>
      </c>
      <c r="G16" s="969"/>
      <c r="H16" s="969"/>
      <c r="I16" s="492" t="str">
        <f>TP_P_NOTE_B</f>
        <v>Указывается количество исполненных заявок на подключение (технологическое присоединение) к системе теплоснабжения в течение отчетного квартала.</v>
      </c>
      <c r="S16" s="789">
        <v>15</v>
      </c>
    </row>
    <row customHeight="1" ht="77.7">
      <c r="A17" s="789"/>
      <c r="C17" s="810"/>
      <c r="D17" s="805">
        <v>3</v>
      </c>
      <c r="E17" s="2214" t="str">
        <f>TP_P_V</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F17" s="805" t="s">
        <v>1122</v>
      </c>
      <c r="G17" s="969"/>
      <c r="H17" s="969"/>
      <c r="I17" s="492" t="str">
        <f>TP_P_NOTE_V</f>
        <v>Указывается количество заявок с решением об отказе в течение отчетного квартала.</v>
      </c>
      <c r="S17" s="789">
        <v>74</v>
      </c>
    </row>
    <row customHeight="1" ht="54.75">
      <c r="A18" s="789"/>
      <c r="C18" s="810"/>
      <c r="D18" s="805">
        <v>4</v>
      </c>
      <c r="E18" s="2214" t="str">
        <f>TP_P_V_1</f>
        <v>Причины отказа в заключении договора о подключении (технологическом присоединении) к системе теплоснабжения</v>
      </c>
      <c r="F18" s="805" t="s">
        <v>311</v>
      </c>
      <c r="G18" s="970"/>
      <c r="H18" s="970"/>
      <c r="I18" s="1122" t="str">
        <f>TP_P_NOTE_V_1</f>
        <v>Указывается текстовое описание причин принятия решений.
Не заполняется в случае, если решения об отказе в течение отчетного периода не принимались.</v>
      </c>
      <c r="S18" s="789">
        <v>52</v>
      </c>
    </row>
    <row customHeight="1" ht="60">
      <c r="A19" s="789"/>
      <c r="C19" s="810"/>
      <c r="D19" s="805">
        <v>5</v>
      </c>
      <c r="E19" s="2214" t="str">
        <f>TP_P_G</f>
        <v>Резерв мощности источников тепловой энергии, входящих в систему теплоснабжения, в течение одного квартала, в том числе:</v>
      </c>
      <c r="F19" s="805" t="str">
        <f>IF(TEMPLATE_SPHERE="HEAT","Гкал/час","тыс. куб. м/сутки")</f>
        <v>Гкал/час</v>
      </c>
      <c r="G19" s="971">
        <f>SUM(G20:G22)</f>
        <v>0</v>
      </c>
      <c r="H19" s="971">
        <f>SUM(H20:H22)</f>
        <v>0</v>
      </c>
      <c r="I19" s="492" t="str">
        <f>TP_P_NOTE_G</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19" s="789">
        <v>57</v>
      </c>
    </row>
    <row customHeight="1" ht="15" hidden="1">
      <c r="D20" s="793" t="s">
        <v>1123</v>
      </c>
      <c r="E20" s="972"/>
      <c r="F20" s="793"/>
      <c r="G20" s="793"/>
      <c r="H20" s="793"/>
      <c r="I20" s="2047"/>
      <c r="S20" s="789">
        <v>0</v>
      </c>
    </row>
    <row customHeight="1" ht="29.25">
      <c r="C21" s="735"/>
      <c r="D21" s="823" t="s">
        <v>318</v>
      </c>
      <c r="E21" s="954"/>
      <c r="F21" s="2045" t="str">
        <f>IF(TEMPLATE_SPHERE="HEAT","Гкал/час","тыс. куб. м/сутки")</f>
        <v>Гкал/час</v>
      </c>
      <c r="G21" s="964"/>
      <c r="H21" s="964"/>
      <c r="I21" s="2453" t="str">
        <f>TP_P_NOTE_G_1</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21" s="789">
        <v>28</v>
      </c>
    </row>
    <row customHeight="1" ht="15.75">
      <c r="A22" s="789"/>
      <c r="C22" s="789"/>
      <c r="D22" s="631"/>
      <c r="E22" s="864" t="s">
        <v>1124</v>
      </c>
      <c r="F22" s="856"/>
      <c r="G22" s="856"/>
      <c r="H22" s="856"/>
      <c r="I22" s="2455"/>
      <c r="R22" s="789"/>
      <c r="S22" s="789">
        <v>15</v>
      </c>
    </row>
    <row customHeight="1" ht="22.5" hidden="1">
      <c r="A23" s="733" t="s">
        <v>83</v>
      </c>
      <c r="B23" s="789">
        <v>0</v>
      </c>
      <c r="C23" s="967">
        <v>4</v>
      </c>
      <c r="D23" s="789">
        <v>6</v>
      </c>
      <c r="E23" s="789">
        <v>36</v>
      </c>
      <c r="F23" s="789">
        <v>9</v>
      </c>
      <c r="G23" s="1042">
        <v>0</v>
      </c>
      <c r="H23" s="789">
        <v>40</v>
      </c>
      <c r="I23" s="701">
        <v>93</v>
      </c>
      <c r="J23" s="789">
        <v>10</v>
      </c>
      <c r="K23" s="789">
        <v>10</v>
      </c>
      <c r="L23" s="789">
        <v>10</v>
      </c>
      <c r="M23" s="789">
        <v>10</v>
      </c>
      <c r="N23" s="789">
        <v>10</v>
      </c>
      <c r="O23" s="789">
        <v>10</v>
      </c>
      <c r="P23" s="789">
        <v>10</v>
      </c>
      <c r="Q23" s="789">
        <v>10</v>
      </c>
      <c r="R23" s="959">
        <v>10</v>
      </c>
      <c r="S23" s="789">
        <v>23</v>
      </c>
    </row>
  </sheetData>
  <sheetProtection formatColumns="0" formatRows="0" autoFilter="0" sort="0" insertRows="0" insertColumns="1" deleteRows="0" deleteColumns="0"/>
  <mergeCells count="8">
    <mergeCell ref="I21:I22"/>
    <mergeCell ref="I9:I13"/>
    <mergeCell ref="D5:H5"/>
    <mergeCell ref="D6:H6"/>
    <mergeCell ref="E9:F9"/>
    <mergeCell ref="E10:F10"/>
    <mergeCell ref="E11:F11"/>
    <mergeCell ref="D12:F12"/>
  </mergeCells>
  <dataValidations count="4">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textLength" operator="lessThanOrEqual" allowBlank="1" showInputMessage="1" showErrorMessage="1" errorTitle="Ошибка" error="Допускается ввод не более 900 символов!" sqref="E21 E2 G18:H18">
      <formula1>900</formula1>
    </dataValidation>
    <dataValidation type="whole" allowBlank="1" showErrorMessage="1" errorTitle="Ошибка" error="Допускается ввод только неотрицательных целых чисел!" sqref="G15:H17">
      <formula1>0</formula1>
      <formula2>9.99999999999999E+23</formula2>
    </dataValidation>
    <dataValidation type="decimal" allowBlank="1" showErrorMessage="1" errorTitle="Ошибка" error="Допускается ввод только действительных чисел!" sqref="G2:H2 G21:H21">
      <formula1>-9.99999999999999E+23</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F4897B8-CD52-0358-A6AB-85C5A82611C4}" mc:Ignorable="x14ac xr xr2 xr3">
  <sheetPr>
    <tabColor theme="6" tint="0.4"/>
    <pageSetUpPr fitToPage="1"/>
  </sheetPr>
  <dimension ref="A1:Q32"/>
  <sheetViews>
    <sheetView topLeftCell="A1" showGridLines="0" zoomScale="90" workbookViewId="0">
      <selection activeCell="A1" sqref="A1"/>
    </sheetView>
  </sheetViews>
  <sheetFormatPr defaultColWidth="10.57421875" customHeight="1" defaultRowHeight="14.25"/>
  <cols>
    <col min="1" max="1" style="14976" width="9.140625" hidden="1" customWidth="1"/>
    <col min="2" max="2" style="14157" width="9.140625" hidden="1" customWidth="1"/>
    <col min="3" max="3" style="14977" width="3.00390625" customWidth="1"/>
    <col min="4" max="4" style="14077" width="6.00390625" customWidth="1"/>
    <col min="5" max="6" style="14077" width="64.00390625" customWidth="1"/>
    <col min="7" max="7" style="14077" width="140.00390625" customWidth="1"/>
    <col min="8" max="8" style="14077" width="10.00390625" customWidth="1"/>
    <col min="9" max="10" style="14247" width="10.00390625" customWidth="1"/>
    <col min="11" max="16" style="14077" width="10.00390625" customWidth="1"/>
    <col min="17" max="17" style="14077" width="10.57421875" hidden="1"/>
  </cols>
  <sheetData>
    <row customHeight="1" ht="22.5" hidden="1">
      <c r="M1" s="539"/>
      <c r="N1" s="539"/>
      <c r="P1" s="539"/>
      <c r="Q1" s="367" t="s">
        <v>14</v>
      </c>
    </row>
    <row customHeight="1" ht="14.25" hidden="1">
      <c r="Q2" s="367">
        <v>0</v>
      </c>
    </row>
    <row customHeight="1" ht="14.25" hidden="1">
      <c r="Q3" s="367">
        <v>0</v>
      </c>
    </row>
    <row customHeight="1" ht="3">
      <c r="C4" s="380"/>
      <c r="D4" s="368"/>
      <c r="E4" s="368"/>
      <c r="F4" s="369"/>
      <c r="G4" s="369"/>
      <c r="Q4" s="367">
        <v>3</v>
      </c>
    </row>
    <row customHeight="1" ht="29.25">
      <c r="C5" s="380"/>
      <c r="D5" s="2738" t="str">
        <f>TERMS_NAME_FORM</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E5" s="2739"/>
      <c r="F5" s="2739"/>
      <c r="G5" s="2740"/>
      <c r="Q5" s="367">
        <v>28</v>
      </c>
    </row>
    <row s="14077" customFormat="1" customHeight="1" ht="18.75">
      <c r="A6" s="1166"/>
      <c r="B6" s="701"/>
      <c r="C6" s="660"/>
      <c r="D6" s="2741" t="str">
        <f>IF(org=0,"Не определено",org)</f>
        <v>МУП г. Азова "Теплоэнерго"</v>
      </c>
      <c r="E6" s="2742"/>
      <c r="F6" s="2742"/>
      <c r="G6" s="2743"/>
      <c r="I6" s="784"/>
      <c r="J6" s="784"/>
      <c r="Q6" s="1042">
        <v>18</v>
      </c>
    </row>
    <row customHeight="1" ht="14.699999999999998">
      <c r="C7" s="380"/>
      <c r="D7" s="368"/>
      <c r="E7" s="379"/>
      <c r="F7" s="1036"/>
      <c r="G7" s="477"/>
      <c r="Q7" s="367">
        <v>14</v>
      </c>
    </row>
    <row s="14077" customFormat="1" customHeight="1" ht="1.05">
      <c r="A8" s="1953"/>
      <c r="B8" s="1444"/>
      <c r="C8" s="660"/>
      <c r="D8" s="647"/>
      <c r="E8" s="673"/>
      <c r="F8" s="1036"/>
      <c r="G8" s="477"/>
      <c r="I8" s="1908"/>
      <c r="J8" s="1908"/>
      <c r="Q8" s="1915">
        <v>1</v>
      </c>
    </row>
    <row customHeight="1" ht="14.699999999999998">
      <c r="C9" s="380"/>
      <c r="D9" s="2493" t="s">
        <v>305</v>
      </c>
      <c r="E9" s="2493"/>
      <c r="F9" s="2493"/>
      <c r="G9" s="2673" t="s">
        <v>306</v>
      </c>
      <c r="Q9" s="367">
        <v>14</v>
      </c>
    </row>
    <row customHeight="1" ht="24">
      <c r="C10" s="380"/>
      <c r="D10" s="389" t="s">
        <v>89</v>
      </c>
      <c r="E10" s="392" t="s">
        <v>307</v>
      </c>
      <c r="F10" s="392" t="s">
        <v>395</v>
      </c>
      <c r="G10" s="2673"/>
      <c r="Q10" s="367">
        <v>23</v>
      </c>
    </row>
    <row customHeight="1" ht="12" hidden="1">
      <c r="C11" s="380"/>
      <c r="D11" s="371"/>
      <c r="E11" s="371"/>
      <c r="F11" s="371"/>
      <c r="G11" s="371"/>
      <c r="Q11" s="367">
        <v>0</v>
      </c>
    </row>
    <row customHeight="1" ht="65.25">
      <c r="A12" s="476"/>
      <c r="C12" s="380"/>
      <c r="D12" s="431">
        <v>1</v>
      </c>
      <c r="E12" s="481" t="str">
        <f>TERMS_P_1</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F12" s="482" t="s">
        <v>311</v>
      </c>
      <c r="G12" s="435"/>
      <c r="Q12" s="367">
        <v>62</v>
      </c>
    </row>
    <row customHeight="1" ht="24">
      <c r="A13" s="476"/>
      <c r="C13" s="380"/>
      <c r="D13" s="431" t="s">
        <v>1029</v>
      </c>
      <c r="E13" s="478"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482" t="s">
        <v>311</v>
      </c>
      <c r="G13" s="435"/>
      <c r="Q13" s="367">
        <v>23</v>
      </c>
    </row>
    <row customHeight="1" ht="14.699999999999998">
      <c r="A14" s="476"/>
      <c r="C14" s="380"/>
      <c r="D14" s="431" t="s">
        <v>1065</v>
      </c>
      <c r="E14" s="479"/>
      <c r="F14" s="497"/>
      <c r="G14" s="2453"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367">
        <v>14</v>
      </c>
    </row>
    <row customHeight="1" ht="15.75">
      <c r="A15" s="476"/>
      <c r="C15" s="380"/>
      <c r="D15" s="393"/>
      <c r="E15" s="633" t="s">
        <v>1125</v>
      </c>
      <c r="F15" s="485"/>
      <c r="G15" s="2455"/>
      <c r="Q15" s="367">
        <v>15</v>
      </c>
    </row>
    <row customHeight="1" ht="14.699999999999998">
      <c r="A16" s="476"/>
      <c r="C16" s="380"/>
      <c r="D16" s="431" t="s">
        <v>1031</v>
      </c>
      <c r="E16" s="478"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системе теплоснабжения</v>
      </c>
      <c r="F16" s="482" t="s">
        <v>311</v>
      </c>
      <c r="G16" s="621"/>
      <c r="Q16" s="367">
        <v>14</v>
      </c>
    </row>
    <row customHeight="1" ht="14.699999999999998">
      <c r="A17" s="476"/>
      <c r="C17" s="380"/>
      <c r="D17" s="431" t="s">
        <v>1073</v>
      </c>
      <c r="E17" s="479"/>
      <c r="F17" s="669"/>
      <c r="G17" s="2453"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организация осуществляет услуги по подключению (технологическому присоединению) к системе теплоснабжения.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системе теплоснабжения информация по каждому из них указывается в отдельной строке.</v>
      </c>
      <c r="Q17" s="367">
        <v>14</v>
      </c>
    </row>
    <row s="14077" customFormat="1" customHeight="1" ht="22.049999999999997">
      <c r="A18" s="627"/>
      <c r="B18" s="430"/>
      <c r="C18" s="591"/>
      <c r="D18" s="631"/>
      <c r="E18" s="633" t="s">
        <v>1126</v>
      </c>
      <c r="F18" s="622"/>
      <c r="G18" s="2455"/>
      <c r="I18" s="634"/>
      <c r="J18" s="634"/>
      <c r="Q18" s="626">
        <v>21</v>
      </c>
    </row>
    <row s="14077" customFormat="1" customHeight="1" ht="256.5" hidden="1">
      <c r="A19" s="627"/>
      <c r="B19" s="701"/>
      <c r="C19" s="660"/>
      <c r="D19" s="1168" t="s">
        <v>1033</v>
      </c>
      <c r="E19" s="1167" t="s">
        <v>1127</v>
      </c>
      <c r="F19" s="669"/>
      <c r="G19" s="621" t="s">
        <v>1128</v>
      </c>
      <c r="I19" s="784"/>
      <c r="J19" s="784"/>
      <c r="Q19" s="1042">
        <v>0</v>
      </c>
    </row>
    <row s="14077" customFormat="1" customHeight="1" ht="14.699999999999998">
      <c r="A20" s="627"/>
      <c r="B20" s="430"/>
      <c r="C20" s="591"/>
      <c r="D20" s="1169">
        <v>2</v>
      </c>
      <c r="E20" s="614" t="s">
        <v>1129</v>
      </c>
      <c r="F20" s="482" t="s">
        <v>311</v>
      </c>
      <c r="G20" s="621"/>
      <c r="I20" s="634"/>
      <c r="J20" s="634"/>
      <c r="Q20" s="626">
        <v>14</v>
      </c>
    </row>
    <row s="14077" customFormat="1" customHeight="1" ht="18.75" hidden="1">
      <c r="A21" s="627"/>
      <c r="B21" s="430"/>
      <c r="C21" s="591"/>
      <c r="D21" s="617" t="s">
        <v>644</v>
      </c>
      <c r="E21" s="616"/>
      <c r="F21" s="615"/>
      <c r="G21" s="625"/>
      <c r="H21" s="618"/>
      <c r="I21" s="634"/>
      <c r="J21" s="634"/>
      <c r="Q21" s="626">
        <v>0</v>
      </c>
    </row>
    <row customHeight="1" ht="15.75">
      <c r="A22" s="476"/>
      <c r="C22" s="380"/>
      <c r="D22" s="393"/>
      <c r="E22" s="487" t="s">
        <v>327</v>
      </c>
      <c r="F22" s="622"/>
      <c r="G22" s="623"/>
      <c r="Q22" s="367">
        <v>15</v>
      </c>
    </row>
    <row s="14077" customFormat="1" customHeight="1" ht="22.5" hidden="1">
      <c r="A23" s="627"/>
      <c r="B23" s="1444"/>
      <c r="C23" s="660"/>
      <c r="D23" s="1957" t="s">
        <v>111</v>
      </c>
      <c r="E23" s="481" t="s">
        <v>1130</v>
      </c>
      <c r="F23" s="1954" t="s">
        <v>311</v>
      </c>
      <c r="G23" s="629"/>
      <c r="I23" s="1908"/>
      <c r="J23" s="1908"/>
      <c r="Q23" s="1915">
        <v>0</v>
      </c>
    </row>
    <row s="14077" customFormat="1" customHeight="1" ht="14.25" hidden="1">
      <c r="A24" s="627"/>
      <c r="B24" s="1444"/>
      <c r="C24" s="660"/>
      <c r="D24" s="1957" t="s">
        <v>716</v>
      </c>
      <c r="E24" s="1956" t="s">
        <v>1131</v>
      </c>
      <c r="F24" s="1954" t="s">
        <v>311</v>
      </c>
      <c r="G24" s="621"/>
      <c r="I24" s="1908"/>
      <c r="J24" s="1908"/>
      <c r="Q24" s="1915">
        <v>0</v>
      </c>
    </row>
    <row s="14077" customFormat="1" customHeight="1" ht="14.25" hidden="1">
      <c r="A25" s="627"/>
      <c r="B25" s="1444"/>
      <c r="C25" s="660"/>
      <c r="D25" s="1957" t="s">
        <v>719</v>
      </c>
      <c r="E25" s="479"/>
      <c r="F25" s="669"/>
      <c r="G25" s="2453" t="s">
        <v>1132</v>
      </c>
      <c r="I25" s="1908"/>
      <c r="J25" s="1908"/>
      <c r="Q25" s="1915">
        <v>0</v>
      </c>
    </row>
    <row s="14077" customFormat="1" customHeight="1" ht="22.5" hidden="1">
      <c r="A26" s="627"/>
      <c r="B26" s="1444"/>
      <c r="C26" s="660"/>
      <c r="D26" s="631"/>
      <c r="E26" s="633" t="s">
        <v>1133</v>
      </c>
      <c r="F26" s="622"/>
      <c r="G26" s="2455"/>
      <c r="I26" s="1908"/>
      <c r="J26" s="1908"/>
      <c r="Q26" s="1915">
        <v>0</v>
      </c>
    </row>
    <row customHeight="1" ht="3">
      <c r="Q27" s="367">
        <v>3</v>
      </c>
    </row>
    <row customHeight="1" ht="14.699999999999998">
      <c r="D28" s="620"/>
      <c r="E28" s="619"/>
      <c r="F28" s="599"/>
      <c r="G28" s="599"/>
      <c r="H28" s="599"/>
      <c r="I28" s="599"/>
      <c r="J28" s="599"/>
      <c r="K28" s="599"/>
      <c r="L28" s="599"/>
      <c r="M28" s="599"/>
      <c r="N28" s="599"/>
      <c r="O28" s="599"/>
      <c r="P28" s="599"/>
      <c r="Q28" s="367">
        <v>14</v>
      </c>
    </row>
    <row customHeight="1" ht="14.699999999999998">
      <c r="D29" s="620"/>
      <c r="E29" s="866"/>
      <c r="Q29" s="367">
        <v>14</v>
      </c>
    </row>
    <row customHeight="1" ht="14.699999999999998">
      <c r="Q30" s="367">
        <v>14</v>
      </c>
    </row>
    <row customHeight="1" ht="14.699999999999998">
      <c r="E31" s="1042"/>
      <c r="Q31" s="367">
        <v>14</v>
      </c>
    </row>
    <row customHeight="1" ht="22.5" hidden="1">
      <c r="A32" s="385" t="s">
        <v>83</v>
      </c>
      <c r="B32" s="430">
        <v>0</v>
      </c>
      <c r="C32" s="381">
        <v>3</v>
      </c>
      <c r="D32" s="367">
        <v>6</v>
      </c>
      <c r="E32" s="367">
        <v>64</v>
      </c>
      <c r="F32" s="367">
        <v>64</v>
      </c>
      <c r="G32" s="367">
        <v>140</v>
      </c>
      <c r="H32" s="367">
        <v>10</v>
      </c>
      <c r="I32" s="439">
        <v>10</v>
      </c>
      <c r="J32" s="439">
        <v>10</v>
      </c>
      <c r="K32" s="367">
        <v>10</v>
      </c>
      <c r="L32" s="367">
        <v>10</v>
      </c>
      <c r="M32" s="367">
        <v>10</v>
      </c>
      <c r="N32" s="367">
        <v>10</v>
      </c>
      <c r="O32" s="367">
        <v>10</v>
      </c>
      <c r="P32" s="367">
        <v>10</v>
      </c>
      <c r="Q32" s="367">
        <v>23</v>
      </c>
    </row>
  </sheetData>
  <sheetProtection formatColumns="0" formatRows="0" autoFilter="0" sort="0" insertRows="0" insertColumns="1" deleteRows="0" deleteColumns="0"/>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formula1>900</formula1>
    </dataValidation>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s>
  <printOptions horizontalCentered="1" verticalCentered="1"/>
  <pageMargins left="0.00" right="0.00" top="0.00" bottom="0.00" header="0.00" footer="0.79"/>
  <pageSetup paperSize="9" scale="41" fitToHeight="0" pageOrder="downThenOver"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B43C988-D6F8-7038-A7AB-1A10B14E1036}" mc:Ignorable="x14ac xr xr2 xr3">
  <sheetPr>
    <tabColor theme="6" tint="0.4"/>
  </sheetPr>
  <dimension ref="A1:M43"/>
  <sheetViews>
    <sheetView topLeftCell="A1" showGridLines="0" zoomScale="90" workbookViewId="0">
      <selection activeCell="A1" sqref="A1"/>
    </sheetView>
  </sheetViews>
  <sheetFormatPr defaultColWidth="10.57421875" customHeight="1" defaultRowHeight="14.25"/>
  <cols>
    <col min="1" max="1" style="14975" width="9.140625" hidden="1" customWidth="1"/>
    <col min="2" max="2" style="14157" width="9.140625" hidden="1" customWidth="1"/>
    <col min="3" max="3" style="14977" width="3.00390625" customWidth="1"/>
    <col min="4" max="4" style="14077" width="6.00390625" customWidth="1"/>
    <col min="5" max="5" style="14077" width="63.00390625" customWidth="1"/>
    <col min="6" max="6" style="14077" width="1.7109375" hidden="1" customWidth="1"/>
    <col min="7" max="8" style="14077" width="35.00390625" customWidth="1"/>
    <col min="9" max="9" style="14077" width="91.00390625" customWidth="1"/>
    <col min="10" max="10" style="14077" width="68.00390625" customWidth="1"/>
    <col min="11" max="12" style="14247" width="10.00390625" customWidth="1"/>
    <col min="13" max="13" style="14077" width="10.57421875" hidden="1"/>
  </cols>
  <sheetData>
    <row customHeight="1" ht="22.5" hidden="1">
      <c r="M1" s="367" t="s">
        <v>14</v>
      </c>
    </row>
    <row s="14077" customFormat="1" customHeight="1" ht="18.75" hidden="1">
      <c r="A2" s="1967"/>
      <c r="B2" s="1444"/>
      <c r="C2" s="2014" t="s">
        <v>454</v>
      </c>
      <c r="D2" s="1957"/>
      <c r="E2" s="483"/>
      <c r="F2" s="1954"/>
      <c r="G2" s="1954" t="s">
        <v>311</v>
      </c>
      <c r="H2" s="1445"/>
      <c r="K2" s="1908"/>
      <c r="L2" s="1908"/>
      <c r="M2" s="1915">
        <v>0</v>
      </c>
    </row>
    <row s="14077" customFormat="1" customHeight="1" ht="14.25" hidden="1">
      <c r="A3" s="1646"/>
      <c r="B3" s="1444"/>
      <c r="C3" s="628"/>
      <c r="K3" s="1908"/>
      <c r="L3" s="1908"/>
      <c r="M3" s="1915">
        <v>0</v>
      </c>
    </row>
    <row s="14077" customFormat="1" customHeight="1" ht="18.75" hidden="1">
      <c r="A4" s="1967"/>
      <c r="B4" s="1444"/>
      <c r="C4" s="2014" t="s">
        <v>454</v>
      </c>
      <c r="D4" s="1957"/>
      <c r="E4" s="489" t="s">
        <v>1134</v>
      </c>
      <c r="F4" s="1954"/>
      <c r="G4" s="541"/>
      <c r="H4" s="1954" t="s">
        <v>311</v>
      </c>
      <c r="K4" s="1908"/>
      <c r="L4" s="1908"/>
      <c r="M4" s="1915">
        <v>0</v>
      </c>
    </row>
    <row s="14077" customFormat="1" customHeight="1" ht="14.25" hidden="1">
      <c r="A5" s="1646"/>
      <c r="B5" s="1444"/>
      <c r="C5" s="628"/>
      <c r="K5" s="1908"/>
      <c r="L5" s="1908"/>
      <c r="M5" s="1915">
        <v>0</v>
      </c>
    </row>
    <row s="14077" customFormat="1" customHeight="1" ht="18.75" hidden="1">
      <c r="A6" s="1967"/>
      <c r="B6" s="1444"/>
      <c r="C6" s="2014" t="s">
        <v>454</v>
      </c>
      <c r="D6" s="1957"/>
      <c r="E6" s="490" t="s">
        <v>1135</v>
      </c>
      <c r="F6" s="1954"/>
      <c r="G6" s="541"/>
      <c r="H6" s="1954" t="s">
        <v>311</v>
      </c>
      <c r="K6" s="1908"/>
      <c r="L6" s="1908"/>
      <c r="M6" s="1915">
        <v>0</v>
      </c>
    </row>
    <row s="14077" customFormat="1" customHeight="1" ht="14.25" hidden="1">
      <c r="A7" s="1646"/>
      <c r="B7" s="1444"/>
      <c r="C7" s="628"/>
      <c r="K7" s="1908"/>
      <c r="L7" s="1908"/>
      <c r="M7" s="1915">
        <v>0</v>
      </c>
    </row>
    <row s="14077" customFormat="1" customHeight="1" ht="18.75" hidden="1">
      <c r="A8" s="1967"/>
      <c r="B8" s="1444"/>
      <c r="C8" s="2014" t="s">
        <v>454</v>
      </c>
      <c r="D8" s="1957"/>
      <c r="E8" s="490" t="s">
        <v>1136</v>
      </c>
      <c r="F8" s="1954"/>
      <c r="G8" s="541"/>
      <c r="H8" s="1954" t="s">
        <v>311</v>
      </c>
      <c r="K8" s="1908"/>
      <c r="L8" s="1908"/>
      <c r="M8" s="1915">
        <v>0</v>
      </c>
    </row>
    <row s="14077" customFormat="1" customHeight="1" ht="14.25" hidden="1">
      <c r="A9" s="1646"/>
      <c r="B9" s="1444"/>
      <c r="C9" s="628"/>
      <c r="K9" s="1908"/>
      <c r="L9" s="1908"/>
      <c r="M9" s="1915">
        <v>0</v>
      </c>
    </row>
    <row s="14077" customFormat="1" customHeight="1" ht="18.75" hidden="1">
      <c r="A10" s="1967"/>
      <c r="B10" s="1444"/>
      <c r="C10" s="2014" t="s">
        <v>454</v>
      </c>
      <c r="D10" s="1957"/>
      <c r="E10" s="490" t="s">
        <v>1137</v>
      </c>
      <c r="F10" s="1954"/>
      <c r="G10" s="1958"/>
      <c r="H10" s="1954" t="s">
        <v>311</v>
      </c>
      <c r="K10" s="1908"/>
      <c r="L10" s="1908" t="s">
        <v>1138</v>
      </c>
      <c r="M10" s="1915">
        <v>0</v>
      </c>
    </row>
    <row customHeight="1" ht="14.25" hidden="1">
      <c r="M11" s="367">
        <v>0</v>
      </c>
    </row>
    <row customHeight="1" ht="14.25" hidden="1">
      <c r="M12" s="367">
        <v>0</v>
      </c>
    </row>
    <row customHeight="1" ht="14.699999999999998">
      <c r="C13" s="380"/>
      <c r="D13" s="368"/>
      <c r="E13" s="368"/>
      <c r="F13" s="368"/>
      <c r="G13" s="368"/>
      <c r="H13" s="369"/>
      <c r="I13" s="369"/>
      <c r="M13" s="367">
        <v>14</v>
      </c>
    </row>
    <row customHeight="1" ht="29.25">
      <c r="C14" s="380"/>
      <c r="D14" s="2738" t="str">
        <f>PROCEDURE_TC_NAME_FORM</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E14" s="2739"/>
      <c r="F14" s="2739"/>
      <c r="G14" s="2739"/>
      <c r="H14" s="2740"/>
      <c r="J14" s="1915"/>
      <c r="M14" s="367">
        <v>28</v>
      </c>
    </row>
    <row s="14077" customFormat="1" customHeight="1" ht="14.699999999999998">
      <c r="A15" s="1646"/>
      <c r="B15" s="1444"/>
      <c r="C15" s="660"/>
      <c r="D15" s="2741" t="str">
        <f>IF(org=0,"Не определено",org)</f>
        <v>МУП г. Азова "Теплоэнерго"</v>
      </c>
      <c r="E15" s="2742"/>
      <c r="F15" s="2742"/>
      <c r="G15" s="2742"/>
      <c r="H15" s="2743"/>
      <c r="J15" s="1136"/>
      <c r="K15" s="1908"/>
      <c r="L15" s="1908"/>
      <c r="M15" s="1915">
        <v>14</v>
      </c>
    </row>
    <row customHeight="1" ht="14.699999999999998">
      <c r="C16" s="380"/>
      <c r="D16" s="368"/>
      <c r="E16" s="379"/>
      <c r="F16" s="379"/>
      <c r="G16" s="379"/>
      <c r="H16" s="1036"/>
      <c r="I16" s="477"/>
      <c r="M16" s="367">
        <v>14</v>
      </c>
    </row>
    <row s="14077" customFormat="1" customHeight="1" ht="14.25" hidden="1">
      <c r="A17" s="1646"/>
      <c r="B17" s="1444"/>
      <c r="C17" s="660"/>
      <c r="D17" s="647"/>
      <c r="E17" s="673"/>
      <c r="F17" s="673"/>
      <c r="G17" s="673"/>
      <c r="H17" s="1036"/>
      <c r="I17" s="477"/>
      <c r="K17" s="1908"/>
      <c r="L17" s="1908"/>
      <c r="M17" s="1915">
        <v>0</v>
      </c>
    </row>
    <row customHeight="1" ht="22.049999999999997">
      <c r="C18" s="380"/>
      <c r="D18" s="2493" t="s">
        <v>305</v>
      </c>
      <c r="E18" s="2493"/>
      <c r="F18" s="2493"/>
      <c r="G18" s="2493"/>
      <c r="H18" s="2493"/>
      <c r="I18" s="2673" t="s">
        <v>306</v>
      </c>
      <c r="M18" s="367">
        <v>21</v>
      </c>
    </row>
    <row customHeight="1" ht="22.049999999999997">
      <c r="C19" s="380"/>
      <c r="D19" s="389" t="s">
        <v>89</v>
      </c>
      <c r="E19" s="392" t="s">
        <v>307</v>
      </c>
      <c r="F19" s="392"/>
      <c r="G19" s="392" t="s">
        <v>308</v>
      </c>
      <c r="H19" s="392" t="s">
        <v>395</v>
      </c>
      <c r="I19" s="2673"/>
      <c r="M19" s="367">
        <v>21</v>
      </c>
    </row>
    <row customHeight="1" ht="12" hidden="1">
      <c r="C20" s="380"/>
      <c r="D20" s="371"/>
      <c r="E20" s="371"/>
      <c r="F20" s="371"/>
      <c r="G20" s="371"/>
      <c r="H20" s="371"/>
      <c r="I20" s="371"/>
      <c r="M20" s="367">
        <v>0</v>
      </c>
    </row>
    <row customHeight="1" ht="14.699999999999998">
      <c r="A21" s="1967"/>
      <c r="C21" s="380"/>
      <c r="D21" s="431">
        <v>1</v>
      </c>
      <c r="E21" s="2745" t="s">
        <v>1139</v>
      </c>
      <c r="F21" s="2745"/>
      <c r="G21" s="2745"/>
      <c r="H21" s="2745"/>
      <c r="I21" s="492"/>
      <c r="M21" s="367">
        <v>14</v>
      </c>
    </row>
    <row customHeight="1" ht="21">
      <c r="A22" s="1967"/>
      <c r="C22" s="380"/>
      <c r="D22" s="431" t="s">
        <v>1029</v>
      </c>
      <c r="E22" s="478" t="s">
        <v>1140</v>
      </c>
      <c r="F22" s="482"/>
      <c r="G22" s="2021"/>
      <c r="H22" s="482" t="s">
        <v>311</v>
      </c>
      <c r="I22" s="435" t="s">
        <v>1141</v>
      </c>
      <c r="M22" s="367">
        <v>20</v>
      </c>
    </row>
    <row customHeight="1" ht="60">
      <c r="A23" s="1967"/>
      <c r="C23" s="380"/>
      <c r="D23" s="431" t="s">
        <v>1031</v>
      </c>
      <c r="E23" s="478" t="s">
        <v>1142</v>
      </c>
      <c r="F23" s="482"/>
      <c r="G23" s="541"/>
      <c r="H23" s="497"/>
      <c r="I23" s="542" t="s">
        <v>1143</v>
      </c>
      <c r="M23" s="367">
        <v>57</v>
      </c>
    </row>
    <row customHeight="1" ht="14.699999999999998">
      <c r="A24" s="1967"/>
      <c r="B24" s="430">
        <v>3</v>
      </c>
      <c r="C24" s="380"/>
      <c r="D24" s="431">
        <v>2</v>
      </c>
      <c r="E24" s="506"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теплоснабжения</v>
      </c>
      <c r="F24" s="482"/>
      <c r="G24" s="482" t="s">
        <v>311</v>
      </c>
      <c r="H24" s="497"/>
      <c r="I24" s="543" t="s">
        <v>639</v>
      </c>
      <c r="M24" s="367">
        <v>14</v>
      </c>
    </row>
    <row customHeight="1" ht="48.29999999999999">
      <c r="A25" s="1967"/>
      <c r="C25" s="380"/>
      <c r="D25" s="431">
        <v>3</v>
      </c>
      <c r="E25" s="2744"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заявкой на заключение договора о подключении (технологическом присоединении) к системе теплоснабжения</v>
      </c>
      <c r="F25" s="2744"/>
      <c r="G25" s="2744"/>
      <c r="H25" s="2744"/>
      <c r="I25" s="540"/>
      <c r="M25" s="367">
        <v>46</v>
      </c>
    </row>
    <row customHeight="1" ht="14.699999999999998">
      <c r="A26" s="1967"/>
      <c r="C26" s="380"/>
      <c r="D26" s="431" t="s">
        <v>329</v>
      </c>
      <c r="E26" s="483"/>
      <c r="F26" s="482"/>
      <c r="G26" s="482" t="s">
        <v>311</v>
      </c>
      <c r="H26" s="497"/>
      <c r="I26" s="2453" t="s">
        <v>1144</v>
      </c>
      <c r="M26" s="367">
        <v>14</v>
      </c>
    </row>
    <row customHeight="1" ht="15.75">
      <c r="A27" s="1967" t="s">
        <v>110</v>
      </c>
      <c r="C27" s="380"/>
      <c r="D27" s="393"/>
      <c r="E27" s="487" t="s">
        <v>327</v>
      </c>
      <c r="F27" s="488"/>
      <c r="G27" s="488"/>
      <c r="H27" s="485"/>
      <c r="I27" s="2455"/>
      <c r="M27" s="367">
        <v>15</v>
      </c>
    </row>
    <row customHeight="1" ht="39.75">
      <c r="A28" s="1967"/>
      <c r="B28" s="430">
        <v>3</v>
      </c>
      <c r="C28" s="380"/>
      <c r="D28" s="431">
        <v>4</v>
      </c>
      <c r="E28" s="2744"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регулируемой организации при подаче, приеме, обработке заявки на заключение договора о подключении (технологическом присоединении) к системе теплоснабжения</v>
      </c>
      <c r="F28" s="2744"/>
      <c r="G28" s="2744"/>
      <c r="H28" s="2744"/>
      <c r="I28" s="540"/>
      <c r="M28" s="367">
        <v>38</v>
      </c>
    </row>
    <row customHeight="1" ht="21">
      <c r="A29" s="1967"/>
      <c r="C29" s="380"/>
      <c r="D29" s="431" t="s">
        <v>761</v>
      </c>
      <c r="E29" s="489" t="s">
        <v>1134</v>
      </c>
      <c r="F29" s="482"/>
      <c r="G29" s="541"/>
      <c r="H29" s="482" t="s">
        <v>311</v>
      </c>
      <c r="I29" s="2453" t="s">
        <v>1145</v>
      </c>
      <c r="M29" s="367">
        <v>20</v>
      </c>
    </row>
    <row customHeight="1" ht="15.75">
      <c r="A30" s="1967" t="s">
        <v>111</v>
      </c>
      <c r="C30" s="380"/>
      <c r="D30" s="393"/>
      <c r="E30" s="487" t="s">
        <v>327</v>
      </c>
      <c r="F30" s="488"/>
      <c r="G30" s="488"/>
      <c r="H30" s="485"/>
      <c r="I30" s="2455"/>
      <c r="M30" s="367">
        <v>15</v>
      </c>
    </row>
    <row customHeight="1" ht="31.5">
      <c r="A31" s="1967"/>
      <c r="B31" s="430">
        <v>3</v>
      </c>
      <c r="C31" s="380"/>
      <c r="D31" s="431">
        <v>5</v>
      </c>
      <c r="E31" s="2744"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1" s="2744"/>
      <c r="G31" s="2744"/>
      <c r="H31" s="2744"/>
      <c r="I31" s="540"/>
      <c r="M31" s="367">
        <v>30</v>
      </c>
    </row>
    <row customHeight="1" ht="27.299999999999997">
      <c r="A32" s="1967"/>
      <c r="C32" s="380"/>
      <c r="D32" s="431" t="s">
        <v>318</v>
      </c>
      <c r="E32" s="2687"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теплоснабжения</v>
      </c>
      <c r="F32" s="2687"/>
      <c r="G32" s="2687"/>
      <c r="H32" s="2687"/>
      <c r="I32" s="540"/>
      <c r="M32" s="367">
        <v>26</v>
      </c>
    </row>
    <row customHeight="1" ht="14.699999999999998">
      <c r="A33" s="1967"/>
      <c r="C33" s="380"/>
      <c r="D33" s="431" t="s">
        <v>1146</v>
      </c>
      <c r="E33" s="490" t="s">
        <v>1135</v>
      </c>
      <c r="F33" s="482"/>
      <c r="G33" s="541"/>
      <c r="H33" s="482" t="s">
        <v>311</v>
      </c>
      <c r="I33" s="2453" t="s">
        <v>1147</v>
      </c>
      <c r="M33" s="367">
        <v>14</v>
      </c>
    </row>
    <row customHeight="1" ht="15.75">
      <c r="A34" s="1967" t="s">
        <v>91</v>
      </c>
      <c r="C34" s="380"/>
      <c r="D34" s="393"/>
      <c r="E34" s="488" t="s">
        <v>327</v>
      </c>
      <c r="F34" s="484"/>
      <c r="G34" s="484"/>
      <c r="H34" s="485"/>
      <c r="I34" s="2455"/>
      <c r="M34" s="367">
        <v>15</v>
      </c>
    </row>
    <row customHeight="1" ht="25.2">
      <c r="A35" s="1967"/>
      <c r="C35" s="380"/>
      <c r="D35" s="431" t="s">
        <v>889</v>
      </c>
      <c r="E35" s="2687"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теплоснабжения</v>
      </c>
      <c r="F35" s="2687"/>
      <c r="G35" s="2687"/>
      <c r="H35" s="2687"/>
      <c r="I35" s="540"/>
      <c r="M35" s="367">
        <v>24</v>
      </c>
    </row>
    <row customHeight="1" ht="14.699999999999998">
      <c r="A36" s="1967"/>
      <c r="C36" s="380"/>
      <c r="D36" s="431" t="s">
        <v>1148</v>
      </c>
      <c r="E36" s="490" t="s">
        <v>1136</v>
      </c>
      <c r="F36" s="482"/>
      <c r="G36" s="541"/>
      <c r="H36" s="482" t="s">
        <v>311</v>
      </c>
      <c r="I36" s="2427" t="s">
        <v>1149</v>
      </c>
      <c r="M36" s="367">
        <v>14</v>
      </c>
    </row>
    <row customHeight="1" ht="15.75">
      <c r="A37" s="1967" t="s">
        <v>92</v>
      </c>
      <c r="C37" s="380"/>
      <c r="D37" s="393"/>
      <c r="E37" s="488" t="s">
        <v>327</v>
      </c>
      <c r="F37" s="484"/>
      <c r="G37" s="484"/>
      <c r="H37" s="485"/>
      <c r="I37" s="2427"/>
      <c r="M37" s="367">
        <v>15</v>
      </c>
    </row>
    <row customHeight="1" ht="27.299999999999997">
      <c r="A38" s="1967"/>
      <c r="C38" s="380"/>
      <c r="D38" s="431" t="s">
        <v>890</v>
      </c>
      <c r="E38" s="2687"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8" s="2687"/>
      <c r="G38" s="2687"/>
      <c r="H38" s="2687"/>
      <c r="I38" s="540"/>
      <c r="M38" s="367">
        <v>26</v>
      </c>
    </row>
    <row customHeight="1" ht="14.699999999999998">
      <c r="A39" s="1967"/>
      <c r="C39" s="380"/>
      <c r="D39" s="431" t="s">
        <v>891</v>
      </c>
      <c r="E39" s="490" t="s">
        <v>1137</v>
      </c>
      <c r="F39" s="482"/>
      <c r="G39" s="491"/>
      <c r="H39" s="482" t="s">
        <v>311</v>
      </c>
      <c r="I39" s="2453" t="s">
        <v>1150</v>
      </c>
      <c r="L39" s="439" t="s">
        <v>1138</v>
      </c>
      <c r="M39" s="367">
        <v>14</v>
      </c>
    </row>
    <row customHeight="1" ht="15.75">
      <c r="A40" s="1967" t="s">
        <v>112</v>
      </c>
      <c r="C40" s="380"/>
      <c r="D40" s="393"/>
      <c r="E40" s="488" t="s">
        <v>327</v>
      </c>
      <c r="F40" s="484"/>
      <c r="G40" s="484"/>
      <c r="H40" s="485"/>
      <c r="I40" s="2455"/>
      <c r="M40" s="367">
        <v>15</v>
      </c>
    </row>
    <row s="16016" customFormat="1" customHeight="1" ht="3">
      <c r="A41" s="1967"/>
      <c r="K41" s="480"/>
      <c r="L41" s="480"/>
      <c r="M41" s="424">
        <v>3</v>
      </c>
    </row>
    <row customHeight="1" ht="26.25">
      <c r="D42" s="1965" t="s">
        <v>811</v>
      </c>
      <c r="E42" s="2569"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теплоснабжения.</v>
      </c>
      <c r="F42" s="2569"/>
      <c r="G42" s="2569"/>
      <c r="H42" s="2569"/>
      <c r="I42" s="2569"/>
      <c r="M42" s="367">
        <v>25</v>
      </c>
    </row>
    <row customHeight="1" ht="22.5" hidden="1">
      <c r="A43" s="1646" t="s">
        <v>83</v>
      </c>
      <c r="B43" s="430">
        <v>0</v>
      </c>
      <c r="C43" s="381">
        <v>3</v>
      </c>
      <c r="D43" s="367">
        <v>6</v>
      </c>
      <c r="E43" s="367">
        <v>63</v>
      </c>
      <c r="F43" s="367">
        <v>0</v>
      </c>
      <c r="G43" s="367">
        <v>35</v>
      </c>
      <c r="H43" s="367">
        <v>35</v>
      </c>
      <c r="I43" s="367">
        <v>91</v>
      </c>
      <c r="J43" s="367">
        <v>68</v>
      </c>
      <c r="K43" s="439">
        <v>10</v>
      </c>
      <c r="L43" s="439">
        <v>10</v>
      </c>
      <c r="M43" s="367">
        <v>23</v>
      </c>
    </row>
  </sheetData>
  <sheetProtection formatColumns="0" formatRows="0" autoFilter="0" sort="0" insertRows="0" insertColumns="1" deleteRows="0" deleteColumns="0"/>
  <mergeCells count="17">
    <mergeCell ref="I29:I30"/>
    <mergeCell ref="E31:H31"/>
    <mergeCell ref="D14:H14"/>
    <mergeCell ref="D18:H18"/>
    <mergeCell ref="I18:I19"/>
    <mergeCell ref="E21:H21"/>
    <mergeCell ref="E25:H25"/>
    <mergeCell ref="I26:I27"/>
    <mergeCell ref="E28:H28"/>
    <mergeCell ref="D15:H15"/>
    <mergeCell ref="E42:I42"/>
    <mergeCell ref="E32:H32"/>
    <mergeCell ref="E35:H35"/>
    <mergeCell ref="E38:H38"/>
    <mergeCell ref="I33:I34"/>
    <mergeCell ref="I36:I37"/>
    <mergeCell ref="I39:I40"/>
  </mergeCells>
  <dataValidations count="4">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formula1>"a"</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3569C8F-2409-5348-2E6A-47AD9C5030E8}" mc:Ignorable="x14ac xr xr2 xr3">
  <sheetPr>
    <tabColor theme="6" tint="0.4"/>
  </sheetPr>
  <dimension ref="A1:AH332"/>
  <sheetViews>
    <sheetView topLeftCell="A1" showGridLines="0" zoomScale="90" workbookViewId="0">
      <selection activeCell="K213" sqref="K213"/>
    </sheetView>
  </sheetViews>
  <sheetFormatPr defaultColWidth="10.57421875" customHeight="1" defaultRowHeight="14.25"/>
  <cols>
    <col min="1" max="2" style="16058" width="25.140625" hidden="1" customWidth="1"/>
    <col min="3" max="3" style="16059" width="9.140625" hidden="1" customWidth="1"/>
    <col min="4" max="4" style="14977" width="3.00390625" customWidth="1"/>
    <col min="5" max="5" style="14077" width="6.00390625" customWidth="1"/>
    <col min="6" max="6" style="14077" width="46.7109375" customWidth="1"/>
    <col min="7" max="7" style="14077" width="35.00390625" customWidth="1"/>
    <col min="8" max="8" style="14077" width="3.00390625" customWidth="1"/>
    <col min="9" max="10" style="14077" width="11.00390625" customWidth="1"/>
    <col min="11" max="12" style="14077" width="35.00390625" customWidth="1"/>
    <col min="13" max="13" style="14077" width="84.00390625" customWidth="1"/>
    <col min="14" max="14" style="14077" width="10.00390625" customWidth="1"/>
    <col min="15" max="16" style="14247" width="10.00390625" customWidth="1"/>
    <col min="17" max="33" style="14077" width="10.00390625" customWidth="1"/>
    <col min="34" max="34" style="14077" width="10.57421875" hidden="1"/>
  </cols>
  <sheetData>
    <row s="14077" customFormat="1" customHeight="1" ht="22.5" hidden="1">
      <c r="A1" s="2063"/>
      <c r="B1" s="2063"/>
      <c r="C1" s="653"/>
      <c r="D1" s="628"/>
      <c r="N1" s="1920">
        <f>_xlfn.IFERROR(MATCH("метод экономически обоснованных расходов (затрат)",OFFER_METHOD,0),0)</f>
        <v>0</v>
      </c>
      <c r="O1" s="1908"/>
      <c r="P1" s="1908"/>
      <c r="T1" s="1115"/>
      <c r="AG1" s="539"/>
      <c r="AH1" s="1915" t="s">
        <v>14</v>
      </c>
    </row>
    <row s="14077" customFormat="1" customHeight="1" ht="18.75" hidden="1">
      <c r="A2" s="2064" t="s">
        <v>156</v>
      </c>
      <c r="B2" s="2064" t="s">
        <v>157</v>
      </c>
      <c r="C2" s="653"/>
      <c r="D2" s="628"/>
      <c r="E2" s="1315"/>
      <c r="F2" s="1315"/>
      <c r="G2" s="2711" t="str">
        <f>INDEX(PT_DIFFERENTIATION_NTAR,MATCH(B2,PT_DIFFERENTIATION_NTAR_ID,0))</f>
        <v/>
      </c>
      <c r="H2" s="2148"/>
      <c r="I2" s="2023"/>
      <c r="J2" s="2057"/>
      <c r="K2" s="2149"/>
      <c r="L2" s="2148" t="s">
        <v>311</v>
      </c>
      <c r="M2" s="2159"/>
      <c r="N2" s="618"/>
      <c r="O2" s="1908"/>
      <c r="P2" s="1908"/>
      <c r="AH2" s="1915">
        <v>0</v>
      </c>
    </row>
    <row s="14077" customFormat="1" customHeight="1" ht="18.75" hidden="1">
      <c r="A3" s="2064"/>
      <c r="B3" s="2064"/>
      <c r="C3" s="653" t="s">
        <v>1151</v>
      </c>
      <c r="D3" s="628"/>
      <c r="E3" s="1315"/>
      <c r="F3" s="1315"/>
      <c r="G3" s="2711"/>
      <c r="H3" s="1784"/>
      <c r="I3" s="935" t="s">
        <v>1152</v>
      </c>
      <c r="J3" s="855"/>
      <c r="K3" s="1784"/>
      <c r="L3" s="498"/>
      <c r="M3" s="2159"/>
      <c r="N3" s="618"/>
      <c r="O3" s="1908"/>
      <c r="P3" s="1908"/>
      <c r="AH3" s="1915">
        <v>0</v>
      </c>
    </row>
    <row s="14077" customFormat="1" customHeight="1" ht="14.25" hidden="1">
      <c r="A4" s="2063"/>
      <c r="B4" s="2063"/>
      <c r="C4" s="653"/>
      <c r="D4" s="628"/>
      <c r="N4" s="1920">
        <f>_xlfn.IFERROR(MATCH("метод экономически обоснованных расходов (затрат)",OFFER_METHOD,0),0)</f>
        <v>0</v>
      </c>
      <c r="O4" s="1908"/>
      <c r="P4" s="1908"/>
      <c r="T4" s="1115"/>
      <c r="AG4" s="539"/>
      <c r="AH4" s="1915">
        <v>0</v>
      </c>
    </row>
    <row s="14077" customFormat="1" customHeight="1" ht="18.75" hidden="1">
      <c r="A5" s="2064" t="s">
        <v>156</v>
      </c>
      <c r="B5" s="2064" t="s">
        <v>157</v>
      </c>
      <c r="C5" s="653"/>
      <c r="D5" s="628"/>
      <c r="E5" s="1315"/>
      <c r="F5" s="1315"/>
      <c r="G5" s="2711" t="str">
        <f>INDEX(PT_DIFFERENTIATION_NTAR,MATCH(B5,PT_DIFFERENTIATION_NTAR_ID,0))</f>
        <v/>
      </c>
      <c r="H5" s="2148"/>
      <c r="I5" s="2023"/>
      <c r="J5" s="2057"/>
      <c r="K5" s="2062"/>
      <c r="L5" s="2148" t="s">
        <v>311</v>
      </c>
      <c r="M5" s="2159"/>
      <c r="N5" s="618"/>
      <c r="O5" s="1908"/>
      <c r="P5" s="1908"/>
      <c r="AH5" s="1915">
        <v>0</v>
      </c>
    </row>
    <row s="14077" customFormat="1" customHeight="1" ht="18.75" hidden="1">
      <c r="A6" s="2064"/>
      <c r="B6" s="2064"/>
      <c r="C6" s="653" t="s">
        <v>1153</v>
      </c>
      <c r="D6" s="628"/>
      <c r="E6" s="1315"/>
      <c r="F6" s="1315"/>
      <c r="G6" s="2711"/>
      <c r="H6" s="1784"/>
      <c r="I6" s="935" t="s">
        <v>1152</v>
      </c>
      <c r="J6" s="855"/>
      <c r="K6" s="1784"/>
      <c r="L6" s="498"/>
      <c r="M6" s="2159"/>
      <c r="N6" s="618"/>
      <c r="O6" s="1908"/>
      <c r="P6" s="1908"/>
      <c r="AH6" s="1915">
        <v>0</v>
      </c>
    </row>
    <row s="14077" customFormat="1" customHeight="1" ht="14.25" hidden="1">
      <c r="A7" s="2063"/>
      <c r="B7" s="2063"/>
      <c r="C7" s="653"/>
      <c r="D7" s="628"/>
      <c r="N7" s="1920">
        <f>_xlfn.IFERROR(MATCH("метод экономически обоснованных расходов (затрат)",OFFER_METHOD,0),0)</f>
        <v>0</v>
      </c>
      <c r="O7" s="1908"/>
      <c r="P7" s="1908"/>
      <c r="T7" s="1115"/>
      <c r="AG7" s="539"/>
      <c r="AH7" s="1915">
        <v>0</v>
      </c>
    </row>
    <row s="14077" customFormat="1" customHeight="1" ht="56.25" hidden="1">
      <c r="A8" s="2064"/>
      <c r="B8" s="2064"/>
      <c r="C8" s="653"/>
      <c r="D8" s="628"/>
      <c r="E8" s="1315"/>
      <c r="F8" s="1315"/>
      <c r="G8" s="1315"/>
      <c r="H8" s="2055"/>
      <c r="I8" s="2023"/>
      <c r="J8" s="2057"/>
      <c r="K8" s="2149"/>
      <c r="L8" s="2055" t="s">
        <v>311</v>
      </c>
      <c r="M8" s="2159"/>
      <c r="N8" s="618"/>
      <c r="O8" s="1908"/>
      <c r="P8" s="1908"/>
      <c r="AH8" s="1915">
        <v>0</v>
      </c>
    </row>
    <row customHeight="1" ht="14.25" hidden="1">
      <c r="T9" s="681"/>
      <c r="AG9" s="539"/>
      <c r="AH9" s="658">
        <v>0</v>
      </c>
    </row>
    <row s="14077" customFormat="1" customHeight="1" ht="56.25" hidden="1">
      <c r="A10" s="2064"/>
      <c r="B10" s="2064"/>
      <c r="C10" s="653"/>
      <c r="D10" s="628"/>
      <c r="E10" s="1315"/>
      <c r="F10" s="1315"/>
      <c r="G10" s="1315"/>
      <c r="H10" s="2054"/>
      <c r="I10" s="2023"/>
      <c r="J10" s="2057"/>
      <c r="K10" s="2062"/>
      <c r="L10" s="2055" t="s">
        <v>311</v>
      </c>
      <c r="M10" s="2159"/>
      <c r="N10" s="618"/>
      <c r="O10" s="1908"/>
      <c r="P10" s="1908"/>
      <c r="AH10" s="1915">
        <v>0</v>
      </c>
    </row>
    <row customHeight="1" ht="14.25" hidden="1">
      <c r="AH11" s="658">
        <v>0</v>
      </c>
    </row>
    <row customHeight="1" ht="14.25" hidden="1">
      <c r="AH12" s="658">
        <v>0</v>
      </c>
    </row>
    <row customHeight="1" ht="6.3">
      <c r="D13" s="660"/>
      <c r="E13" s="647"/>
      <c r="F13" s="647"/>
      <c r="G13" s="647"/>
      <c r="H13" s="647"/>
      <c r="I13" s="647"/>
      <c r="J13" s="647"/>
      <c r="K13" s="647"/>
      <c r="L13" s="369"/>
      <c r="M13" s="369"/>
      <c r="AH13" s="658">
        <v>6</v>
      </c>
    </row>
    <row customHeight="1" ht="14.699999999999998">
      <c r="D14" s="660"/>
      <c r="E14" s="2749"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18. Информация о предложении регулируемой организации об установлении цен (тарифов) в сфере теплоснабжения на очередной расчетный период регулирования</v>
      </c>
      <c r="F14" s="2749"/>
      <c r="G14" s="2749"/>
      <c r="H14" s="2749"/>
      <c r="I14" s="2749"/>
      <c r="J14" s="2749"/>
      <c r="K14" s="2749"/>
      <c r="L14" s="2749"/>
      <c r="M14" s="504"/>
      <c r="AH14" s="658">
        <v>14</v>
      </c>
    </row>
    <row customHeight="1" ht="6.3">
      <c r="D15" s="660"/>
      <c r="E15" s="647"/>
      <c r="F15" s="673"/>
      <c r="G15" s="673"/>
      <c r="H15" s="673"/>
      <c r="I15" s="673"/>
      <c r="J15" s="673"/>
      <c r="K15" s="673"/>
      <c r="L15" s="606"/>
      <c r="M15" s="477"/>
      <c r="AH15" s="658">
        <v>6</v>
      </c>
    </row>
    <row customHeight="1" ht="24">
      <c r="D16" s="660"/>
      <c r="E16" s="647"/>
      <c r="F16" s="589" t="str">
        <f>"Дата подачи заявления об "&amp;IF(TITLE_DATE_PR_CHANGE="","утверждении","изменении")&amp;" тарифов"</f>
        <v>Дата подачи заявления об изменении тарифов</v>
      </c>
      <c r="G16" s="2548" t="str">
        <f>IF(TITLE_DATE_PR_CHANGE="",IF(TITLE_DATE_PR="","",TITLE_DATE_PR),TITLE_DATE_PR_CHANGE)</f>
        <v>45471</v>
      </c>
      <c r="H16" s="2548"/>
      <c r="I16" s="2548"/>
      <c r="J16" s="2548"/>
      <c r="K16" s="2548"/>
      <c r="L16" s="2548"/>
      <c r="M16" s="682"/>
      <c r="N16" s="610"/>
      <c r="AH16" s="658">
        <v>23</v>
      </c>
    </row>
    <row customHeight="1" ht="24">
      <c r="D17" s="660"/>
      <c r="E17" s="647"/>
      <c r="F17" s="589" t="str">
        <f>"Номер подачи заявления об "&amp;IF(TITLE_DATE_PR_CHANGE="","утверждении","изменении")&amp;" тарифов"</f>
        <v>Номер подачи заявления об изменении тарифов</v>
      </c>
      <c r="G17" s="2535" t="str">
        <f>IF(TITLE_NUMBER_PR_CHANGE="",IF(TITLE_NUMBER_PR="","",TITLE_NUMBER_PR),TITLE_NUMBER_PR_CHANGE)</f>
        <v>50/18-01/261</v>
      </c>
      <c r="H17" s="2535"/>
      <c r="I17" s="2535"/>
      <c r="J17" s="2535"/>
      <c r="K17" s="2535"/>
      <c r="L17" s="2535"/>
      <c r="M17" s="682"/>
      <c r="N17" s="610"/>
      <c r="AH17" s="658">
        <v>23</v>
      </c>
    </row>
    <row customHeight="1" ht="14.699999999999998">
      <c r="D18" s="660"/>
      <c r="E18" s="647"/>
      <c r="F18" s="673"/>
      <c r="G18" s="673"/>
      <c r="H18" s="673"/>
      <c r="I18" s="673"/>
      <c r="J18" s="673"/>
      <c r="K18" s="673"/>
      <c r="L18" s="1036"/>
      <c r="M18" s="477"/>
      <c r="AH18" s="658">
        <v>14</v>
      </c>
    </row>
    <row customHeight="1" ht="22.049999999999997">
      <c r="D19" s="660"/>
      <c r="E19" s="2493" t="s">
        <v>305</v>
      </c>
      <c r="F19" s="2493"/>
      <c r="G19" s="2493"/>
      <c r="H19" s="2493"/>
      <c r="I19" s="2493"/>
      <c r="J19" s="2493"/>
      <c r="K19" s="2493"/>
      <c r="L19" s="2493"/>
      <c r="M19" s="2673" t="s">
        <v>306</v>
      </c>
      <c r="AH19" s="658">
        <v>21</v>
      </c>
    </row>
    <row customHeight="1" ht="22.049999999999997">
      <c r="D20" s="660"/>
      <c r="E20" s="2561" t="s">
        <v>89</v>
      </c>
      <c r="F20" s="2508" t="s">
        <v>123</v>
      </c>
      <c r="G20" s="2508" t="s">
        <v>124</v>
      </c>
      <c r="H20" s="2670" t="s">
        <v>1154</v>
      </c>
      <c r="I20" s="2671"/>
      <c r="J20" s="2717"/>
      <c r="K20" s="2508" t="s">
        <v>308</v>
      </c>
      <c r="L20" s="2508" t="s">
        <v>395</v>
      </c>
      <c r="M20" s="2673"/>
      <c r="AH20" s="658">
        <v>21</v>
      </c>
    </row>
    <row customHeight="1" ht="22.049999999999997">
      <c r="D21" s="660"/>
      <c r="E21" s="2563"/>
      <c r="F21" s="2509"/>
      <c r="G21" s="2509"/>
      <c r="H21" s="2502" t="s">
        <v>1155</v>
      </c>
      <c r="I21" s="2504"/>
      <c r="J21" s="392" t="s">
        <v>1156</v>
      </c>
      <c r="K21" s="2509"/>
      <c r="L21" s="2509"/>
      <c r="M21" s="2673"/>
      <c r="AH21" s="658">
        <v>21</v>
      </c>
    </row>
    <row customHeight="1" ht="12.75">
      <c r="D22" s="660"/>
      <c r="E22" s="565"/>
      <c r="F22" s="565"/>
      <c r="G22" s="565"/>
      <c r="H22" s="2751"/>
      <c r="I22" s="2751"/>
      <c r="J22" s="565"/>
      <c r="K22" s="565"/>
      <c r="L22" s="565"/>
      <c r="M22" s="565"/>
      <c r="AH22" s="658">
        <v>12</v>
      </c>
    </row>
    <row customHeight="1" ht="19.95">
      <c r="A23" s="2064"/>
      <c r="B23" s="2064"/>
      <c r="D23" s="660"/>
      <c r="E23" s="2150" t="s">
        <v>110</v>
      </c>
      <c r="F23" s="2752" t="str">
        <f>"Предлагаемый метод регулирования"&amp;IF(TEMPLATE_SPHERE="HEAT"," в сфере "&amp;TEMPLATE_SPHERE_RUS,"")</f>
        <v>Предлагаемый метод регулирования в сфере теплоснабжения</v>
      </c>
      <c r="G23" s="2753"/>
      <c r="H23" s="2745"/>
      <c r="I23" s="2745"/>
      <c r="J23" s="2745"/>
      <c r="K23" s="2753" t="s">
        <v>311</v>
      </c>
      <c r="L23" s="2745"/>
      <c r="M23" s="2053"/>
      <c r="N23" s="618"/>
      <c r="AH23" s="658">
        <v>19</v>
      </c>
    </row>
    <row customHeight="1" ht="60.75" hidden="1">
      <c r="A24" s="2064" t="s">
        <v>156</v>
      </c>
      <c r="B24" s="2064" t="s">
        <v>157</v>
      </c>
      <c r="D24" s="2750"/>
      <c r="E24" s="2488"/>
      <c r="F24" s="2754"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711" t="str">
        <f>INDEX(PT_DIFFERENTIATION_NTAR,MATCH(B24,PT_DIFFERENTIATION_NTAR_ID,0))</f>
        <v/>
      </c>
      <c r="H24" s="2146"/>
      <c r="I24" s="2023"/>
      <c r="J24" s="2057"/>
      <c r="K24" s="2149"/>
      <c r="L24" s="2052" t="s">
        <v>311</v>
      </c>
      <c r="M24" s="2453"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теплоснабжения, предусмотренных законодательством в сфере теплоснабжения.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618"/>
      <c r="AH24" s="658">
        <v>0</v>
      </c>
    </row>
    <row s="14077" customFormat="1" customHeight="1" ht="18.75" hidden="1">
      <c r="A25" s="2064"/>
      <c r="B25" s="2064"/>
      <c r="C25" s="653" t="s">
        <v>1151</v>
      </c>
      <c r="D25" s="2750"/>
      <c r="E25" s="2488"/>
      <c r="F25" s="2754"/>
      <c r="G25" s="2711"/>
      <c r="H25" s="1784"/>
      <c r="I25" s="935" t="s">
        <v>1152</v>
      </c>
      <c r="J25" s="855"/>
      <c r="K25" s="1784"/>
      <c r="L25" s="498"/>
      <c r="M25" s="2454"/>
      <c r="N25" s="618"/>
      <c r="O25" s="1908"/>
      <c r="P25" s="1908"/>
      <c r="AH25" s="1915">
        <v>0</v>
      </c>
    </row>
    <row customHeight="1" ht="0.75" hidden="1">
      <c r="A26" s="2064"/>
      <c r="B26" s="2064"/>
      <c r="C26" s="653" t="s">
        <v>1157</v>
      </c>
      <c r="D26" s="2750"/>
      <c r="E26" s="2488"/>
      <c r="F26" s="2667"/>
      <c r="G26" s="684"/>
      <c r="H26" s="1784"/>
      <c r="I26" s="679"/>
      <c r="J26" s="633"/>
      <c r="K26" s="1784"/>
      <c r="L26" s="485"/>
      <c r="M26" s="2454"/>
      <c r="N26" s="618"/>
      <c r="AH26" s="658">
        <v>0</v>
      </c>
    </row>
    <row s="14077" customFormat="1" customHeight="1" ht="45">
      <c r="A27" s="2064" t="s">
        <v>164</v>
      </c>
      <c r="B27" s="2064" t="s">
        <v>165</v>
      </c>
      <c r="C27" s="653"/>
      <c r="D27" s="2746"/>
      <c r="E27" s="2747"/>
      <c r="F27" s="2748" t="str">
        <f>INDEX(PT_DIFFERENTIATION_VTAR,MATCH(A27,PT_DIFFERENTIATION_VTAR_ID,0))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7" s="2711" t="str">
        <f>INDEX(PT_DIFFERENTIATION_NTAR,MATCH(B27,PT_DIFFERENTIATION_NTAR_ID,0))</f>
        <v>Тариф на тепловую энергию</v>
      </c>
      <c r="H27" s="2146"/>
      <c r="I27" s="4922">
        <v>45658</v>
      </c>
      <c r="J27" s="4923">
        <v>46022</v>
      </c>
      <c r="K27" s="2149" t="s">
        <v>1158</v>
      </c>
      <c r="L27" s="2146" t="s">
        <v>311</v>
      </c>
      <c r="M27" s="2454"/>
      <c r="N27" s="618"/>
      <c r="O27" s="1908"/>
      <c r="P27" s="1908"/>
      <c r="AH27" s="1915">
        <v>0</v>
      </c>
    </row>
    <row s="14077" customFormat="1" customHeight="1" ht="18.75">
      <c r="A28" s="2064"/>
      <c r="B28" s="2064"/>
      <c r="C28" s="653" t="s">
        <v>1151</v>
      </c>
      <c r="D28" s="2746"/>
      <c r="E28" s="2747"/>
      <c r="F28" s="2748"/>
      <c r="G28" s="2711"/>
      <c r="H28" s="1784"/>
      <c r="I28" s="935" t="s">
        <v>1152</v>
      </c>
      <c r="J28" s="855"/>
      <c r="K28" s="1784"/>
      <c r="L28" s="498"/>
      <c r="M28" s="2454"/>
      <c r="N28" s="618"/>
      <c r="O28" s="1908"/>
      <c r="P28" s="1908"/>
      <c r="AH28" s="1915">
        <v>0</v>
      </c>
    </row>
    <row s="14077" customFormat="1" customHeight="1" ht="0.75">
      <c r="A29" s="2064"/>
      <c r="B29" s="2064"/>
      <c r="C29" s="653" t="s">
        <v>1157</v>
      </c>
      <c r="D29" s="2746"/>
      <c r="E29" s="2488"/>
      <c r="F29" s="2667"/>
      <c r="G29" s="684"/>
      <c r="H29" s="1784"/>
      <c r="I29" s="935"/>
      <c r="J29" s="855"/>
      <c r="K29" s="1784"/>
      <c r="L29" s="498"/>
      <c r="M29" s="2454"/>
      <c r="N29" s="618"/>
      <c r="O29" s="1908"/>
      <c r="P29" s="1908"/>
      <c r="AH29" s="1915">
        <v>0</v>
      </c>
    </row>
    <row s="14077" customFormat="1" customHeight="1" ht="45" hidden="1">
      <c r="A30" s="2064" t="s">
        <v>174</v>
      </c>
      <c r="B30" s="2064" t="s">
        <v>175</v>
      </c>
      <c r="C30" s="653"/>
      <c r="D30" s="2746"/>
      <c r="E30" s="2488"/>
      <c r="F30" s="2667"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711" t="str">
        <f>INDEX(PT_DIFFERENTIATION_NTAR,MATCH(B30,PT_DIFFERENTIATION_NTAR_ID,0))</f>
        <v/>
      </c>
      <c r="H30" s="2146"/>
      <c r="I30" s="2023"/>
      <c r="J30" s="2057"/>
      <c r="K30" s="2149"/>
      <c r="L30" s="2146" t="s">
        <v>311</v>
      </c>
      <c r="M30" s="2454"/>
      <c r="N30" s="618"/>
      <c r="O30" s="1908"/>
      <c r="P30" s="1908"/>
      <c r="AH30" s="1915">
        <v>0</v>
      </c>
    </row>
    <row s="14077" customFormat="1" customHeight="1" ht="18.75" hidden="1">
      <c r="A31" s="2064"/>
      <c r="B31" s="2064"/>
      <c r="C31" s="653" t="s">
        <v>1151</v>
      </c>
      <c r="D31" s="2746"/>
      <c r="E31" s="2488"/>
      <c r="F31" s="2667"/>
      <c r="G31" s="2711"/>
      <c r="H31" s="1784"/>
      <c r="I31" s="935" t="s">
        <v>1152</v>
      </c>
      <c r="J31" s="855"/>
      <c r="K31" s="1784"/>
      <c r="L31" s="498"/>
      <c r="M31" s="2454"/>
      <c r="N31" s="618"/>
      <c r="O31" s="1908"/>
      <c r="P31" s="1908"/>
      <c r="AH31" s="1915">
        <v>0</v>
      </c>
    </row>
    <row s="14077" customFormat="1" customHeight="1" ht="0.75" hidden="1">
      <c r="A32" s="2064"/>
      <c r="B32" s="2064"/>
      <c r="C32" s="653" t="s">
        <v>1157</v>
      </c>
      <c r="D32" s="2746"/>
      <c r="E32" s="2488"/>
      <c r="F32" s="2667"/>
      <c r="G32" s="684"/>
      <c r="H32" s="1784"/>
      <c r="I32" s="935"/>
      <c r="J32" s="855"/>
      <c r="K32" s="1784"/>
      <c r="L32" s="498"/>
      <c r="M32" s="2454"/>
      <c r="N32" s="618"/>
      <c r="O32" s="1908"/>
      <c r="P32" s="1908"/>
      <c r="AH32" s="1915">
        <v>0</v>
      </c>
    </row>
    <row s="14077" customFormat="1" customHeight="1" ht="45" hidden="1">
      <c r="A33" s="2064" t="s">
        <v>180</v>
      </c>
      <c r="B33" s="2064" t="s">
        <v>181</v>
      </c>
      <c r="C33" s="653"/>
      <c r="D33" s="2746"/>
      <c r="E33" s="2488"/>
      <c r="F33" s="2667"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711" t="str">
        <f>INDEX(PT_DIFFERENTIATION_NTAR,MATCH(B33,PT_DIFFERENTIATION_NTAR_ID,0))</f>
        <v/>
      </c>
      <c r="H33" s="2146"/>
      <c r="I33" s="2023"/>
      <c r="J33" s="2057"/>
      <c r="K33" s="2149"/>
      <c r="L33" s="2146" t="s">
        <v>311</v>
      </c>
      <c r="M33" s="2454"/>
      <c r="N33" s="618"/>
      <c r="O33" s="1908"/>
      <c r="P33" s="1908"/>
      <c r="AH33" s="1915">
        <v>0</v>
      </c>
    </row>
    <row s="14077" customFormat="1" customHeight="1" ht="18.75" hidden="1">
      <c r="A34" s="2064"/>
      <c r="B34" s="2064"/>
      <c r="C34" s="653" t="s">
        <v>1151</v>
      </c>
      <c r="D34" s="2746"/>
      <c r="E34" s="2488"/>
      <c r="F34" s="2667"/>
      <c r="G34" s="2711"/>
      <c r="H34" s="1784"/>
      <c r="I34" s="935" t="s">
        <v>1152</v>
      </c>
      <c r="J34" s="855"/>
      <c r="K34" s="1784"/>
      <c r="L34" s="498"/>
      <c r="M34" s="2454"/>
      <c r="N34" s="618"/>
      <c r="O34" s="1908"/>
      <c r="P34" s="1908"/>
      <c r="AH34" s="1915">
        <v>0</v>
      </c>
    </row>
    <row s="14077" customFormat="1" customHeight="1" ht="0.75" hidden="1">
      <c r="A35" s="2064"/>
      <c r="B35" s="2064"/>
      <c r="C35" s="653" t="s">
        <v>1157</v>
      </c>
      <c r="D35" s="2746"/>
      <c r="E35" s="2488"/>
      <c r="F35" s="2667"/>
      <c r="G35" s="684"/>
      <c r="H35" s="1784"/>
      <c r="I35" s="935"/>
      <c r="J35" s="855"/>
      <c r="K35" s="1784"/>
      <c r="L35" s="498"/>
      <c r="M35" s="2454"/>
      <c r="N35" s="618"/>
      <c r="O35" s="1908"/>
      <c r="P35" s="1908"/>
      <c r="AH35" s="1915">
        <v>0</v>
      </c>
    </row>
    <row s="14077" customFormat="1" customHeight="1" ht="18.75" hidden="1">
      <c r="A36" s="2064" t="s">
        <v>186</v>
      </c>
      <c r="B36" s="2064" t="s">
        <v>187</v>
      </c>
      <c r="C36" s="653"/>
      <c r="D36" s="2746"/>
      <c r="E36" s="2488"/>
      <c r="F36" s="2667" t="str">
        <f>INDEX(PT_DIFFERENTIATION_VTAR,MATCH(A36,PT_DIFFERENTIATION_VTAR_ID,0))</f>
        <v>Тарифы на услуги по передаче тепловой энергии</v>
      </c>
      <c r="G36" s="2711" t="str">
        <f>INDEX(PT_DIFFERENTIATION_NTAR,MATCH(B36,PT_DIFFERENTIATION_NTAR_ID,0))</f>
        <v/>
      </c>
      <c r="H36" s="2146"/>
      <c r="I36" s="2023"/>
      <c r="J36" s="2057"/>
      <c r="K36" s="2149"/>
      <c r="L36" s="2146" t="s">
        <v>311</v>
      </c>
      <c r="M36" s="2454"/>
      <c r="N36" s="618"/>
      <c r="O36" s="1908"/>
      <c r="P36" s="1908"/>
      <c r="AH36" s="1915">
        <v>0</v>
      </c>
    </row>
    <row s="14077" customFormat="1" customHeight="1" ht="18.75" hidden="1">
      <c r="A37" s="2064"/>
      <c r="B37" s="2064"/>
      <c r="C37" s="653" t="s">
        <v>1151</v>
      </c>
      <c r="D37" s="2746"/>
      <c r="E37" s="2488"/>
      <c r="F37" s="2667"/>
      <c r="G37" s="2711"/>
      <c r="H37" s="1784"/>
      <c r="I37" s="935" t="s">
        <v>1152</v>
      </c>
      <c r="J37" s="855"/>
      <c r="K37" s="1784"/>
      <c r="L37" s="498"/>
      <c r="M37" s="2454"/>
      <c r="N37" s="618"/>
      <c r="O37" s="1908"/>
      <c r="P37" s="1908"/>
      <c r="AH37" s="1915">
        <v>0</v>
      </c>
    </row>
    <row s="14077" customFormat="1" customHeight="1" ht="0.75" hidden="1">
      <c r="A38" s="2064"/>
      <c r="B38" s="2064"/>
      <c r="C38" s="653" t="s">
        <v>1157</v>
      </c>
      <c r="D38" s="2746"/>
      <c r="E38" s="2488"/>
      <c r="F38" s="2667"/>
      <c r="G38" s="684"/>
      <c r="H38" s="1784"/>
      <c r="I38" s="935"/>
      <c r="J38" s="855"/>
      <c r="K38" s="1784"/>
      <c r="L38" s="498"/>
      <c r="M38" s="2454"/>
      <c r="N38" s="618"/>
      <c r="O38" s="1908"/>
      <c r="P38" s="1908"/>
      <c r="AH38" s="1915">
        <v>0</v>
      </c>
    </row>
    <row s="14077" customFormat="1" customHeight="1" ht="18.75" hidden="1">
      <c r="A39" s="2064" t="s">
        <v>192</v>
      </c>
      <c r="B39" s="2064" t="s">
        <v>193</v>
      </c>
      <c r="C39" s="653"/>
      <c r="D39" s="2746"/>
      <c r="E39" s="2488"/>
      <c r="F39" s="2667" t="str">
        <f>INDEX(PT_DIFFERENTIATION_VTAR,MATCH(A39,PT_DIFFERENTIATION_VTAR_ID,0))</f>
        <v>Тарифы на услуги по передаче теплоносителя</v>
      </c>
      <c r="G39" s="2711" t="str">
        <f>INDEX(PT_DIFFERENTIATION_NTAR,MATCH(B39,PT_DIFFERENTIATION_NTAR_ID,0))</f>
        <v/>
      </c>
      <c r="H39" s="2146"/>
      <c r="I39" s="2023"/>
      <c r="J39" s="2057"/>
      <c r="K39" s="2149"/>
      <c r="L39" s="2146" t="s">
        <v>311</v>
      </c>
      <c r="M39" s="2454"/>
      <c r="N39" s="618"/>
      <c r="O39" s="1908"/>
      <c r="P39" s="1908"/>
      <c r="AH39" s="1915">
        <v>0</v>
      </c>
    </row>
    <row s="14077" customFormat="1" customHeight="1" ht="18.75" hidden="1">
      <c r="A40" s="2064"/>
      <c r="B40" s="2064"/>
      <c r="C40" s="653" t="s">
        <v>1151</v>
      </c>
      <c r="D40" s="2746"/>
      <c r="E40" s="2488"/>
      <c r="F40" s="2667"/>
      <c r="G40" s="2711"/>
      <c r="H40" s="1784"/>
      <c r="I40" s="935" t="s">
        <v>1152</v>
      </c>
      <c r="J40" s="855"/>
      <c r="K40" s="1784"/>
      <c r="L40" s="498"/>
      <c r="M40" s="2454"/>
      <c r="N40" s="618"/>
      <c r="O40" s="1908"/>
      <c r="P40" s="1908"/>
      <c r="AH40" s="1915">
        <v>0</v>
      </c>
    </row>
    <row s="14077" customFormat="1" customHeight="1" ht="0.75" hidden="1">
      <c r="A41" s="2064"/>
      <c r="B41" s="2064"/>
      <c r="C41" s="653" t="s">
        <v>1157</v>
      </c>
      <c r="D41" s="2746"/>
      <c r="E41" s="2488"/>
      <c r="F41" s="2667"/>
      <c r="G41" s="684"/>
      <c r="H41" s="1784"/>
      <c r="I41" s="935"/>
      <c r="J41" s="855"/>
      <c r="K41" s="1784"/>
      <c r="L41" s="498"/>
      <c r="M41" s="2454"/>
      <c r="N41" s="618"/>
      <c r="O41" s="1908"/>
      <c r="P41" s="1908"/>
      <c r="AH41" s="1915">
        <v>0</v>
      </c>
    </row>
    <row s="14077" customFormat="1" customHeight="1" ht="18.75" hidden="1">
      <c r="A42" s="2064" t="s">
        <v>198</v>
      </c>
      <c r="B42" s="2064" t="s">
        <v>199</v>
      </c>
      <c r="C42" s="653"/>
      <c r="D42" s="2746"/>
      <c r="E42" s="2488"/>
      <c r="F42" s="2667" t="str">
        <f>INDEX(PT_DIFFERENTIATION_VTAR,MATCH(A42,PT_DIFFERENTIATION_VTAR_ID,0))</f>
        <v>Плата за услуги по поддержанию резервной тепловой мощности при отсутствии потребления тепловой энергии</v>
      </c>
      <c r="G42" s="2711" t="str">
        <f>INDEX(PT_DIFFERENTIATION_NTAR,MATCH(B42,PT_DIFFERENTIATION_NTAR_ID,0))</f>
        <v/>
      </c>
      <c r="H42" s="2146"/>
      <c r="I42" s="2023"/>
      <c r="J42" s="2057"/>
      <c r="K42" s="2149"/>
      <c r="L42" s="2146" t="s">
        <v>311</v>
      </c>
      <c r="M42" s="2454"/>
      <c r="N42" s="618"/>
      <c r="O42" s="1908"/>
      <c r="P42" s="1908"/>
      <c r="AH42" s="1915">
        <v>0</v>
      </c>
    </row>
    <row s="14077" customFormat="1" customHeight="1" ht="18.75" hidden="1">
      <c r="A43" s="2064"/>
      <c r="B43" s="2064"/>
      <c r="C43" s="653" t="s">
        <v>1151</v>
      </c>
      <c r="D43" s="2746"/>
      <c r="E43" s="2488"/>
      <c r="F43" s="2667"/>
      <c r="G43" s="2711"/>
      <c r="H43" s="1784"/>
      <c r="I43" s="935" t="s">
        <v>1152</v>
      </c>
      <c r="J43" s="855"/>
      <c r="K43" s="1784"/>
      <c r="L43" s="498"/>
      <c r="M43" s="2454"/>
      <c r="N43" s="618"/>
      <c r="O43" s="1908"/>
      <c r="P43" s="1908"/>
      <c r="AH43" s="1915">
        <v>0</v>
      </c>
    </row>
    <row s="14077" customFormat="1" customHeight="1" ht="0.75" hidden="1">
      <c r="A44" s="2064"/>
      <c r="B44" s="2064"/>
      <c r="C44" s="653" t="s">
        <v>1157</v>
      </c>
      <c r="D44" s="2746"/>
      <c r="E44" s="2488"/>
      <c r="F44" s="2667"/>
      <c r="G44" s="684"/>
      <c r="H44" s="1784"/>
      <c r="I44" s="935"/>
      <c r="J44" s="855"/>
      <c r="K44" s="1784"/>
      <c r="L44" s="498"/>
      <c r="M44" s="2454"/>
      <c r="N44" s="618"/>
      <c r="O44" s="1908"/>
      <c r="P44" s="1908"/>
      <c r="AH44" s="1915">
        <v>0</v>
      </c>
    </row>
    <row s="14077" customFormat="1" customHeight="1" ht="18.75" hidden="1">
      <c r="A45" s="2064" t="s">
        <v>204</v>
      </c>
      <c r="B45" s="2064" t="s">
        <v>205</v>
      </c>
      <c r="C45" s="653"/>
      <c r="D45" s="2746"/>
      <c r="E45" s="2488"/>
      <c r="F45" s="2667" t="str">
        <f>INDEX(PT_DIFFERENTIATION_VTAR,MATCH(A45,PT_DIFFERENTIATION_VTAR_ID,0))</f>
        <v>Плата за подключение (технологическое присоединение) к системе теплоснабжения</v>
      </c>
      <c r="G45" s="2711" t="str">
        <f>INDEX(PT_DIFFERENTIATION_NTAR,MATCH(B45,PT_DIFFERENTIATION_NTAR_ID,0))</f>
        <v/>
      </c>
      <c r="H45" s="2146"/>
      <c r="I45" s="2023"/>
      <c r="J45" s="2057"/>
      <c r="K45" s="2149"/>
      <c r="L45" s="2146" t="s">
        <v>311</v>
      </c>
      <c r="M45" s="2454"/>
      <c r="N45" s="618"/>
      <c r="O45" s="1908"/>
      <c r="P45" s="1908"/>
      <c r="AH45" s="1915">
        <v>0</v>
      </c>
    </row>
    <row s="14077" customFormat="1" customHeight="1" ht="18.75" hidden="1">
      <c r="A46" s="2064"/>
      <c r="B46" s="2064"/>
      <c r="C46" s="653" t="s">
        <v>1151</v>
      </c>
      <c r="D46" s="2746"/>
      <c r="E46" s="2488"/>
      <c r="F46" s="2667"/>
      <c r="G46" s="2711"/>
      <c r="H46" s="1784"/>
      <c r="I46" s="935" t="s">
        <v>1152</v>
      </c>
      <c r="J46" s="855"/>
      <c r="K46" s="1784"/>
      <c r="L46" s="498"/>
      <c r="M46" s="2454"/>
      <c r="N46" s="618"/>
      <c r="O46" s="1908"/>
      <c r="P46" s="1908"/>
      <c r="AH46" s="1915">
        <v>0</v>
      </c>
    </row>
    <row s="14077" customFormat="1" customHeight="1" ht="0.75" hidden="1">
      <c r="A47" s="2064"/>
      <c r="B47" s="2064"/>
      <c r="C47" s="653" t="s">
        <v>1157</v>
      </c>
      <c r="D47" s="2746"/>
      <c r="E47" s="2488"/>
      <c r="F47" s="2667"/>
      <c r="G47" s="684"/>
      <c r="H47" s="1784"/>
      <c r="I47" s="935"/>
      <c r="J47" s="855"/>
      <c r="K47" s="1784"/>
      <c r="L47" s="498"/>
      <c r="M47" s="2454"/>
      <c r="N47" s="618"/>
      <c r="O47" s="1908"/>
      <c r="P47" s="1908"/>
      <c r="AH47" s="1915">
        <v>0</v>
      </c>
    </row>
    <row s="14077" customFormat="1" customHeight="1" ht="18.75" hidden="1">
      <c r="A48" s="2064" t="s">
        <v>210</v>
      </c>
      <c r="B48" s="2064" t="s">
        <v>211</v>
      </c>
      <c r="C48" s="653"/>
      <c r="D48" s="2746"/>
      <c r="E48" s="2488"/>
      <c r="F48" s="2667" t="str">
        <f>INDEX(PT_DIFFERENTIATION_VTAR,MATCH(A48,PT_DIFFERENTIATION_VTAR_ID,0))</f>
        <v>Плата за подключение (технологическое присоединение) к системе теплоснабжения (индивидуальная)</v>
      </c>
      <c r="G48" s="2711" t="str">
        <f>INDEX(PT_DIFFERENTIATION_NTAR,MATCH(B48,PT_DIFFERENTIATION_NTAR_ID,0))</f>
        <v/>
      </c>
      <c r="H48" s="2273"/>
      <c r="I48" s="2023"/>
      <c r="J48" s="2057"/>
      <c r="K48" s="2149"/>
      <c r="L48" s="2273" t="s">
        <v>311</v>
      </c>
      <c r="M48" s="2454"/>
      <c r="N48" s="618"/>
      <c r="O48" s="1908"/>
      <c r="P48" s="1908"/>
      <c r="AH48" s="1915">
        <v>0</v>
      </c>
    </row>
    <row s="14077" customFormat="1" customHeight="1" ht="18.75" hidden="1">
      <c r="A49" s="2064"/>
      <c r="B49" s="2064"/>
      <c r="C49" s="653" t="s">
        <v>1151</v>
      </c>
      <c r="D49" s="2746"/>
      <c r="E49" s="2488"/>
      <c r="F49" s="2667"/>
      <c r="G49" s="2711"/>
      <c r="H49" s="1784"/>
      <c r="I49" s="935" t="s">
        <v>1152</v>
      </c>
      <c r="J49" s="855"/>
      <c r="K49" s="1784"/>
      <c r="L49" s="498"/>
      <c r="M49" s="2454"/>
      <c r="N49" s="618"/>
      <c r="O49" s="1908"/>
      <c r="P49" s="1908"/>
      <c r="AH49" s="1915">
        <v>0</v>
      </c>
    </row>
    <row s="14077" customFormat="1" customHeight="1" ht="0.75" hidden="1">
      <c r="A50" s="2064"/>
      <c r="B50" s="2064"/>
      <c r="C50" s="653" t="s">
        <v>1157</v>
      </c>
      <c r="D50" s="2746"/>
      <c r="E50" s="2488"/>
      <c r="F50" s="2667"/>
      <c r="G50" s="684"/>
      <c r="H50" s="1784"/>
      <c r="I50" s="935"/>
      <c r="J50" s="855"/>
      <c r="K50" s="1784"/>
      <c r="L50" s="498"/>
      <c r="M50" s="2454"/>
      <c r="N50" s="618"/>
      <c r="O50" s="1908"/>
      <c r="P50" s="1908"/>
      <c r="AH50" s="1915">
        <v>0</v>
      </c>
    </row>
    <row s="14077" customFormat="1" customHeight="1" ht="18.75" hidden="1">
      <c r="A51" s="2064" t="s">
        <v>230</v>
      </c>
      <c r="B51" s="2064" t="s">
        <v>231</v>
      </c>
      <c r="C51" s="653"/>
      <c r="D51" s="2746"/>
      <c r="E51" s="2488"/>
      <c r="F51" s="2667" t="str">
        <f>INDEX(PT_DIFFERENTIATION_VTAR,MATCH(A51,PT_DIFFERENTIATION_VTAR_ID,0))</f>
        <v>Тариф на питьевую воду (питьевое водоснабжение)</v>
      </c>
      <c r="G51" s="2711" t="str">
        <f>INDEX(PT_DIFFERENTIATION_NTAR,MATCH(B51,PT_DIFFERENTIATION_NTAR_ID,0))</f>
        <v/>
      </c>
      <c r="H51" s="2146"/>
      <c r="I51" s="2023"/>
      <c r="J51" s="2057"/>
      <c r="K51" s="2149"/>
      <c r="L51" s="2146" t="s">
        <v>311</v>
      </c>
      <c r="M51" s="2454"/>
      <c r="N51" s="618"/>
      <c r="O51" s="1908"/>
      <c r="P51" s="1908"/>
      <c r="AH51" s="1915">
        <v>0</v>
      </c>
    </row>
    <row s="14077" customFormat="1" customHeight="1" ht="18.75" hidden="1">
      <c r="A52" s="2064"/>
      <c r="B52" s="2064"/>
      <c r="C52" s="653" t="s">
        <v>1151</v>
      </c>
      <c r="D52" s="2746"/>
      <c r="E52" s="2488"/>
      <c r="F52" s="2667"/>
      <c r="G52" s="2711"/>
      <c r="H52" s="1784"/>
      <c r="I52" s="935" t="s">
        <v>1152</v>
      </c>
      <c r="J52" s="855"/>
      <c r="K52" s="1784"/>
      <c r="L52" s="498"/>
      <c r="M52" s="2454"/>
      <c r="N52" s="618"/>
      <c r="O52" s="1908"/>
      <c r="P52" s="1908"/>
      <c r="AH52" s="1915">
        <v>0</v>
      </c>
    </row>
    <row s="14077" customFormat="1" customHeight="1" ht="0.75" hidden="1">
      <c r="A53" s="2064"/>
      <c r="B53" s="2064"/>
      <c r="C53" s="653" t="s">
        <v>1157</v>
      </c>
      <c r="D53" s="2746"/>
      <c r="E53" s="2488"/>
      <c r="F53" s="2667"/>
      <c r="G53" s="684"/>
      <c r="H53" s="1784"/>
      <c r="I53" s="935"/>
      <c r="J53" s="855"/>
      <c r="K53" s="1784"/>
      <c r="L53" s="498"/>
      <c r="M53" s="2454"/>
      <c r="N53" s="618"/>
      <c r="O53" s="1908"/>
      <c r="P53" s="1908"/>
      <c r="AH53" s="1915">
        <v>0</v>
      </c>
    </row>
    <row s="14077" customFormat="1" customHeight="1" ht="18.75" hidden="1">
      <c r="A54" s="2064" t="s">
        <v>235</v>
      </c>
      <c r="B54" s="2064" t="s">
        <v>236</v>
      </c>
      <c r="C54" s="653"/>
      <c r="D54" s="2746"/>
      <c r="E54" s="2488"/>
      <c r="F54" s="2667" t="str">
        <f>INDEX(PT_DIFFERENTIATION_VTAR,MATCH(A54,PT_DIFFERENTIATION_VTAR_ID,0))</f>
        <v>Тариф на техническую воду</v>
      </c>
      <c r="G54" s="2711" t="str">
        <f>INDEX(PT_DIFFERENTIATION_NTAR,MATCH(B54,PT_DIFFERENTIATION_NTAR_ID,0))</f>
        <v/>
      </c>
      <c r="H54" s="2146"/>
      <c r="I54" s="2023"/>
      <c r="J54" s="2057"/>
      <c r="K54" s="2149"/>
      <c r="L54" s="2146" t="s">
        <v>311</v>
      </c>
      <c r="M54" s="2454"/>
      <c r="N54" s="618"/>
      <c r="O54" s="1908"/>
      <c r="P54" s="1908"/>
      <c r="AH54" s="1915">
        <v>0</v>
      </c>
    </row>
    <row s="14077" customFormat="1" customHeight="1" ht="18.75" hidden="1">
      <c r="A55" s="2064"/>
      <c r="B55" s="2064"/>
      <c r="C55" s="653" t="s">
        <v>1151</v>
      </c>
      <c r="D55" s="2746"/>
      <c r="E55" s="2488"/>
      <c r="F55" s="2667"/>
      <c r="G55" s="2711"/>
      <c r="H55" s="1784"/>
      <c r="I55" s="935" t="s">
        <v>1152</v>
      </c>
      <c r="J55" s="855"/>
      <c r="K55" s="1784"/>
      <c r="L55" s="498"/>
      <c r="M55" s="2454"/>
      <c r="N55" s="618"/>
      <c r="O55" s="1908"/>
      <c r="P55" s="1908"/>
      <c r="AH55" s="1915">
        <v>0</v>
      </c>
    </row>
    <row s="14077" customFormat="1" customHeight="1" ht="0.75" hidden="1">
      <c r="A56" s="2064"/>
      <c r="B56" s="2064"/>
      <c r="C56" s="653" t="s">
        <v>1157</v>
      </c>
      <c r="D56" s="2746"/>
      <c r="E56" s="2488"/>
      <c r="F56" s="2667"/>
      <c r="G56" s="684"/>
      <c r="H56" s="1784"/>
      <c r="I56" s="935"/>
      <c r="J56" s="855"/>
      <c r="K56" s="1784"/>
      <c r="L56" s="498"/>
      <c r="M56" s="2454"/>
      <c r="N56" s="618"/>
      <c r="O56" s="1908"/>
      <c r="P56" s="1908"/>
      <c r="AH56" s="1915">
        <v>0</v>
      </c>
    </row>
    <row s="14077" customFormat="1" customHeight="1" ht="18.75" hidden="1">
      <c r="A57" s="2064" t="s">
        <v>240</v>
      </c>
      <c r="B57" s="2064" t="s">
        <v>241</v>
      </c>
      <c r="C57" s="653"/>
      <c r="D57" s="2746"/>
      <c r="E57" s="2488"/>
      <c r="F57" s="2667" t="str">
        <f>INDEX(PT_DIFFERENTIATION_VTAR,MATCH(A57,PT_DIFFERENTIATION_VTAR_ID,0))</f>
        <v>Тариф на транспортировку воды</v>
      </c>
      <c r="G57" s="2711" t="str">
        <f>INDEX(PT_DIFFERENTIATION_NTAR,MATCH(B57,PT_DIFFERENTIATION_NTAR_ID,0))</f>
        <v/>
      </c>
      <c r="H57" s="2146"/>
      <c r="I57" s="2023"/>
      <c r="J57" s="2057"/>
      <c r="K57" s="2149"/>
      <c r="L57" s="2146" t="s">
        <v>311</v>
      </c>
      <c r="M57" s="2454"/>
      <c r="N57" s="618"/>
      <c r="O57" s="1908"/>
      <c r="P57" s="1908"/>
      <c r="AH57" s="1915">
        <v>0</v>
      </c>
    </row>
    <row s="14077" customFormat="1" customHeight="1" ht="18.75" hidden="1">
      <c r="A58" s="2064"/>
      <c r="B58" s="2064"/>
      <c r="C58" s="653" t="s">
        <v>1151</v>
      </c>
      <c r="D58" s="2746"/>
      <c r="E58" s="2488"/>
      <c r="F58" s="2667"/>
      <c r="G58" s="2711"/>
      <c r="H58" s="1784"/>
      <c r="I58" s="935" t="s">
        <v>1152</v>
      </c>
      <c r="J58" s="855"/>
      <c r="K58" s="1784"/>
      <c r="L58" s="498"/>
      <c r="M58" s="2454"/>
      <c r="N58" s="618"/>
      <c r="O58" s="1908"/>
      <c r="P58" s="1908"/>
      <c r="AH58" s="1915">
        <v>0</v>
      </c>
    </row>
    <row s="14077" customFormat="1" customHeight="1" ht="0.75" hidden="1">
      <c r="A59" s="2064"/>
      <c r="B59" s="2064"/>
      <c r="C59" s="653" t="s">
        <v>1157</v>
      </c>
      <c r="D59" s="2746"/>
      <c r="E59" s="2488"/>
      <c r="F59" s="2667"/>
      <c r="G59" s="684"/>
      <c r="H59" s="1784"/>
      <c r="I59" s="935"/>
      <c r="J59" s="855"/>
      <c r="K59" s="1784"/>
      <c r="L59" s="498"/>
      <c r="M59" s="2454"/>
      <c r="N59" s="618"/>
      <c r="O59" s="1908"/>
      <c r="P59" s="1908"/>
      <c r="AH59" s="1915">
        <v>0</v>
      </c>
    </row>
    <row s="14077" customFormat="1" customHeight="1" ht="18.75" hidden="1">
      <c r="A60" s="2064" t="s">
        <v>245</v>
      </c>
      <c r="B60" s="2064" t="s">
        <v>246</v>
      </c>
      <c r="C60" s="653"/>
      <c r="D60" s="2746"/>
      <c r="E60" s="2488"/>
      <c r="F60" s="2667" t="str">
        <f>INDEX(PT_DIFFERENTIATION_VTAR,MATCH(A60,PT_DIFFERENTIATION_VTAR_ID,0))</f>
        <v>Тариф на подвоз воды</v>
      </c>
      <c r="G60" s="2711" t="str">
        <f>INDEX(PT_DIFFERENTIATION_NTAR,MATCH(B60,PT_DIFFERENTIATION_NTAR_ID,0))</f>
        <v/>
      </c>
      <c r="H60" s="2146"/>
      <c r="I60" s="2023"/>
      <c r="J60" s="2057"/>
      <c r="K60" s="2149"/>
      <c r="L60" s="2146" t="s">
        <v>311</v>
      </c>
      <c r="M60" s="2454"/>
      <c r="N60" s="618"/>
      <c r="O60" s="1908"/>
      <c r="P60" s="1908"/>
      <c r="AH60" s="1915">
        <v>0</v>
      </c>
    </row>
    <row s="14077" customFormat="1" customHeight="1" ht="18.75" hidden="1">
      <c r="A61" s="2064"/>
      <c r="B61" s="2064"/>
      <c r="C61" s="653" t="s">
        <v>1151</v>
      </c>
      <c r="D61" s="2746"/>
      <c r="E61" s="2488"/>
      <c r="F61" s="2667"/>
      <c r="G61" s="2711"/>
      <c r="H61" s="1784"/>
      <c r="I61" s="935" t="s">
        <v>1152</v>
      </c>
      <c r="J61" s="855"/>
      <c r="K61" s="1784"/>
      <c r="L61" s="498"/>
      <c r="M61" s="2454"/>
      <c r="N61" s="618"/>
      <c r="O61" s="1908"/>
      <c r="P61" s="1908"/>
      <c r="AH61" s="1915">
        <v>0</v>
      </c>
    </row>
    <row s="14077" customFormat="1" customHeight="1" ht="0.75" hidden="1">
      <c r="A62" s="2064"/>
      <c r="B62" s="2064"/>
      <c r="C62" s="653" t="s">
        <v>1157</v>
      </c>
      <c r="D62" s="2746"/>
      <c r="E62" s="2488"/>
      <c r="F62" s="2667"/>
      <c r="G62" s="684"/>
      <c r="H62" s="1784"/>
      <c r="I62" s="935"/>
      <c r="J62" s="855"/>
      <c r="K62" s="1784"/>
      <c r="L62" s="498"/>
      <c r="M62" s="2454"/>
      <c r="N62" s="618"/>
      <c r="O62" s="1908"/>
      <c r="P62" s="1908"/>
      <c r="AH62" s="1915">
        <v>0</v>
      </c>
    </row>
    <row s="14077" customFormat="1" customHeight="1" ht="18.75" hidden="1">
      <c r="A63" s="2064" t="s">
        <v>250</v>
      </c>
      <c r="B63" s="2064" t="s">
        <v>251</v>
      </c>
      <c r="C63" s="653"/>
      <c r="D63" s="2746"/>
      <c r="E63" s="2488"/>
      <c r="F63" s="2667" t="str">
        <f>INDEX(PT_DIFFERENTIATION_VTAR,MATCH(A63,PT_DIFFERENTIATION_VTAR_ID,0))</f>
        <v>Тариф на подключение (технологическое присоединение) к централизованной системе холодного водоснабжения</v>
      </c>
      <c r="G63" s="2711" t="str">
        <f>INDEX(PT_DIFFERENTIATION_NTAR,MATCH(B63,PT_DIFFERENTIATION_NTAR_ID,0))</f>
        <v/>
      </c>
      <c r="H63" s="2146"/>
      <c r="I63" s="2023"/>
      <c r="J63" s="2057"/>
      <c r="K63" s="2149"/>
      <c r="L63" s="2146" t="s">
        <v>311</v>
      </c>
      <c r="M63" s="2454"/>
      <c r="N63" s="618"/>
      <c r="O63" s="1908"/>
      <c r="P63" s="1908"/>
      <c r="AH63" s="1915">
        <v>0</v>
      </c>
    </row>
    <row s="14077" customFormat="1" customHeight="1" ht="18.75" hidden="1">
      <c r="A64" s="2064"/>
      <c r="B64" s="2064"/>
      <c r="C64" s="653" t="s">
        <v>1151</v>
      </c>
      <c r="D64" s="2746"/>
      <c r="E64" s="2488"/>
      <c r="F64" s="2667"/>
      <c r="G64" s="2711"/>
      <c r="H64" s="1784"/>
      <c r="I64" s="935" t="s">
        <v>1152</v>
      </c>
      <c r="J64" s="855"/>
      <c r="K64" s="1784"/>
      <c r="L64" s="498"/>
      <c r="M64" s="2454"/>
      <c r="N64" s="618"/>
      <c r="O64" s="1908"/>
      <c r="P64" s="1908"/>
      <c r="AH64" s="1915">
        <v>0</v>
      </c>
    </row>
    <row s="14077" customFormat="1" customHeight="1" ht="0.75" hidden="1">
      <c r="A65" s="2064"/>
      <c r="B65" s="2064"/>
      <c r="C65" s="653" t="s">
        <v>1157</v>
      </c>
      <c r="D65" s="2746"/>
      <c r="E65" s="2488"/>
      <c r="F65" s="2667"/>
      <c r="G65" s="684"/>
      <c r="H65" s="1784"/>
      <c r="I65" s="935"/>
      <c r="J65" s="855"/>
      <c r="K65" s="1784"/>
      <c r="L65" s="498"/>
      <c r="M65" s="2454"/>
      <c r="N65" s="618"/>
      <c r="O65" s="1908"/>
      <c r="P65" s="1908"/>
      <c r="AH65" s="1915">
        <v>0</v>
      </c>
    </row>
    <row s="14077" customFormat="1" customHeight="1" ht="18.75" hidden="1">
      <c r="A66" s="2064" t="s">
        <v>255</v>
      </c>
      <c r="B66" s="2064" t="s">
        <v>256</v>
      </c>
      <c r="C66" s="653"/>
      <c r="D66" s="2746"/>
      <c r="E66" s="2488"/>
      <c r="F66" s="2667" t="str">
        <f>INDEX(PT_DIFFERENTIATION_VTAR,MATCH(A66,PT_DIFFERENTIATION_VTAR_ID,0))</f>
        <v>Тариф на горячую воду (горячее водоснабжение)</v>
      </c>
      <c r="G66" s="2711" t="str">
        <f>INDEX(PT_DIFFERENTIATION_NTAR,MATCH(B66,PT_DIFFERENTIATION_NTAR_ID,0))</f>
        <v/>
      </c>
      <c r="H66" s="2146"/>
      <c r="I66" s="2023"/>
      <c r="J66" s="2057"/>
      <c r="K66" s="2149"/>
      <c r="L66" s="2146" t="s">
        <v>311</v>
      </c>
      <c r="M66" s="2454"/>
      <c r="N66" s="618"/>
      <c r="O66" s="1908"/>
      <c r="P66" s="1908"/>
      <c r="AH66" s="1915">
        <v>0</v>
      </c>
    </row>
    <row s="14077" customFormat="1" customHeight="1" ht="18.75" hidden="1">
      <c r="A67" s="2064"/>
      <c r="B67" s="2064"/>
      <c r="C67" s="653" t="s">
        <v>1151</v>
      </c>
      <c r="D67" s="2746"/>
      <c r="E67" s="2488"/>
      <c r="F67" s="2667"/>
      <c r="G67" s="2711"/>
      <c r="H67" s="1784"/>
      <c r="I67" s="935" t="s">
        <v>1152</v>
      </c>
      <c r="J67" s="855"/>
      <c r="K67" s="1784"/>
      <c r="L67" s="498"/>
      <c r="M67" s="2454"/>
      <c r="N67" s="618"/>
      <c r="O67" s="1908"/>
      <c r="P67" s="1908"/>
      <c r="AH67" s="1915">
        <v>0</v>
      </c>
    </row>
    <row s="14077" customFormat="1" customHeight="1" ht="0.75" hidden="1">
      <c r="A68" s="2064"/>
      <c r="B68" s="2064"/>
      <c r="C68" s="653" t="s">
        <v>1157</v>
      </c>
      <c r="D68" s="2746"/>
      <c r="E68" s="2488"/>
      <c r="F68" s="2667"/>
      <c r="G68" s="684"/>
      <c r="H68" s="1784"/>
      <c r="I68" s="935"/>
      <c r="J68" s="855"/>
      <c r="K68" s="1784"/>
      <c r="L68" s="498"/>
      <c r="M68" s="2454"/>
      <c r="N68" s="618"/>
      <c r="O68" s="1908"/>
      <c r="P68" s="1908"/>
      <c r="AH68" s="1915">
        <v>0</v>
      </c>
    </row>
    <row s="14077" customFormat="1" customHeight="1" ht="18.75" hidden="1">
      <c r="A69" s="2064" t="s">
        <v>260</v>
      </c>
      <c r="B69" s="2064" t="s">
        <v>261</v>
      </c>
      <c r="C69" s="653"/>
      <c r="D69" s="2746"/>
      <c r="E69" s="2488"/>
      <c r="F69" s="2667" t="str">
        <f>INDEX(PT_DIFFERENTIATION_VTAR,MATCH(A69,PT_DIFFERENTIATION_VTAR_ID,0))</f>
        <v>Тариф на транспортировку горячей воды</v>
      </c>
      <c r="G69" s="2711" t="str">
        <f>INDEX(PT_DIFFERENTIATION_NTAR,MATCH(B69,PT_DIFFERENTIATION_NTAR_ID,0))</f>
        <v/>
      </c>
      <c r="H69" s="2146"/>
      <c r="I69" s="2023"/>
      <c r="J69" s="2057"/>
      <c r="K69" s="2149"/>
      <c r="L69" s="2146" t="s">
        <v>311</v>
      </c>
      <c r="M69" s="2454"/>
      <c r="N69" s="618"/>
      <c r="O69" s="1908"/>
      <c r="P69" s="1908"/>
      <c r="AH69" s="1915">
        <v>0</v>
      </c>
    </row>
    <row s="14077" customFormat="1" customHeight="1" ht="18.75" hidden="1">
      <c r="A70" s="2064"/>
      <c r="B70" s="2064"/>
      <c r="C70" s="653" t="s">
        <v>1151</v>
      </c>
      <c r="D70" s="2746"/>
      <c r="E70" s="2488"/>
      <c r="F70" s="2667"/>
      <c r="G70" s="2711"/>
      <c r="H70" s="1784"/>
      <c r="I70" s="935" t="s">
        <v>1152</v>
      </c>
      <c r="J70" s="855"/>
      <c r="K70" s="1784"/>
      <c r="L70" s="498"/>
      <c r="M70" s="2454"/>
      <c r="N70" s="618"/>
      <c r="O70" s="1908"/>
      <c r="P70" s="1908"/>
      <c r="AH70" s="1915">
        <v>0</v>
      </c>
    </row>
    <row s="14077" customFormat="1" customHeight="1" ht="0.75" hidden="1">
      <c r="A71" s="2064"/>
      <c r="B71" s="2064"/>
      <c r="C71" s="653" t="s">
        <v>1157</v>
      </c>
      <c r="D71" s="2746"/>
      <c r="E71" s="2488"/>
      <c r="F71" s="2667"/>
      <c r="G71" s="684"/>
      <c r="H71" s="1784"/>
      <c r="I71" s="935"/>
      <c r="J71" s="855"/>
      <c r="K71" s="1784"/>
      <c r="L71" s="498"/>
      <c r="M71" s="2454"/>
      <c r="N71" s="618"/>
      <c r="O71" s="1908"/>
      <c r="P71" s="1908"/>
      <c r="AH71" s="1915">
        <v>0</v>
      </c>
    </row>
    <row s="14077" customFormat="1" customHeight="1" ht="18.75" hidden="1">
      <c r="A72" s="2064" t="s">
        <v>265</v>
      </c>
      <c r="B72" s="2064" t="s">
        <v>266</v>
      </c>
      <c r="C72" s="653"/>
      <c r="D72" s="2746"/>
      <c r="E72" s="2488"/>
      <c r="F72" s="2667" t="str">
        <f>INDEX(PT_DIFFERENTIATION_VTAR,MATCH(A72,PT_DIFFERENTIATION_VTAR_ID,0))</f>
        <v>Тариф на подключение (технологическое присоединение) к централизованной системе горячего водоснабжения</v>
      </c>
      <c r="G72" s="2711" t="str">
        <f>INDEX(PT_DIFFERENTIATION_NTAR,MATCH(B72,PT_DIFFERENTIATION_NTAR_ID,0))</f>
        <v/>
      </c>
      <c r="H72" s="2146"/>
      <c r="I72" s="2023"/>
      <c r="J72" s="2057"/>
      <c r="K72" s="2149"/>
      <c r="L72" s="2146" t="s">
        <v>311</v>
      </c>
      <c r="M72" s="2454"/>
      <c r="N72" s="618"/>
      <c r="O72" s="1908"/>
      <c r="P72" s="1908"/>
      <c r="AH72" s="1915">
        <v>0</v>
      </c>
    </row>
    <row s="14077" customFormat="1" customHeight="1" ht="18.75" hidden="1">
      <c r="A73" s="2064"/>
      <c r="B73" s="2064"/>
      <c r="C73" s="653" t="s">
        <v>1151</v>
      </c>
      <c r="D73" s="2746"/>
      <c r="E73" s="2488"/>
      <c r="F73" s="2667"/>
      <c r="G73" s="2711"/>
      <c r="H73" s="1784"/>
      <c r="I73" s="935" t="s">
        <v>1152</v>
      </c>
      <c r="J73" s="855"/>
      <c r="K73" s="1784"/>
      <c r="L73" s="498"/>
      <c r="M73" s="2454"/>
      <c r="N73" s="618"/>
      <c r="O73" s="1908"/>
      <c r="P73" s="1908"/>
      <c r="AH73" s="1915">
        <v>0</v>
      </c>
    </row>
    <row s="14077" customFormat="1" customHeight="1" ht="0.75" hidden="1">
      <c r="A74" s="2064"/>
      <c r="B74" s="2064"/>
      <c r="C74" s="653" t="s">
        <v>1157</v>
      </c>
      <c r="D74" s="2746"/>
      <c r="E74" s="2488"/>
      <c r="F74" s="2667"/>
      <c r="G74" s="684"/>
      <c r="H74" s="1784"/>
      <c r="I74" s="935"/>
      <c r="J74" s="855"/>
      <c r="K74" s="1784"/>
      <c r="L74" s="498"/>
      <c r="M74" s="2454"/>
      <c r="N74" s="618"/>
      <c r="O74" s="1908"/>
      <c r="P74" s="1908"/>
      <c r="AH74" s="1915">
        <v>0</v>
      </c>
    </row>
    <row s="14077" customFormat="1" customHeight="1" ht="18.75" hidden="1">
      <c r="A75" s="2064" t="s">
        <v>270</v>
      </c>
      <c r="B75" s="2064" t="s">
        <v>271</v>
      </c>
      <c r="C75" s="653"/>
      <c r="D75" s="2746"/>
      <c r="E75" s="2488"/>
      <c r="F75" s="2667" t="str">
        <f>INDEX(PT_DIFFERENTIATION_VTAR,MATCH(A75,PT_DIFFERENTIATION_VTAR_ID,0))</f>
        <v>Тариф на водоотведение</v>
      </c>
      <c r="G75" s="2711" t="str">
        <f>INDEX(PT_DIFFERENTIATION_NTAR,MATCH(B75,PT_DIFFERENTIATION_NTAR_ID,0))</f>
        <v/>
      </c>
      <c r="H75" s="2146"/>
      <c r="I75" s="2023"/>
      <c r="J75" s="2057"/>
      <c r="K75" s="2149"/>
      <c r="L75" s="2146" t="s">
        <v>311</v>
      </c>
      <c r="M75" s="2454"/>
      <c r="N75" s="618"/>
      <c r="O75" s="1908"/>
      <c r="P75" s="1908"/>
      <c r="AH75" s="1915">
        <v>0</v>
      </c>
    </row>
    <row s="14077" customFormat="1" customHeight="1" ht="18.75" hidden="1">
      <c r="A76" s="2064"/>
      <c r="B76" s="2064"/>
      <c r="C76" s="653" t="s">
        <v>1151</v>
      </c>
      <c r="D76" s="2746"/>
      <c r="E76" s="2488"/>
      <c r="F76" s="2667"/>
      <c r="G76" s="2711"/>
      <c r="H76" s="1784"/>
      <c r="I76" s="935" t="s">
        <v>1152</v>
      </c>
      <c r="J76" s="855"/>
      <c r="K76" s="1784"/>
      <c r="L76" s="498"/>
      <c r="M76" s="2454"/>
      <c r="N76" s="618"/>
      <c r="O76" s="1908"/>
      <c r="P76" s="1908"/>
      <c r="AH76" s="1915">
        <v>0</v>
      </c>
    </row>
    <row s="14077" customFormat="1" customHeight="1" ht="0.75" hidden="1">
      <c r="A77" s="2064"/>
      <c r="B77" s="2064"/>
      <c r="C77" s="653" t="s">
        <v>1157</v>
      </c>
      <c r="D77" s="2746"/>
      <c r="E77" s="2488"/>
      <c r="F77" s="2667"/>
      <c r="G77" s="684"/>
      <c r="H77" s="1784"/>
      <c r="I77" s="935"/>
      <c r="J77" s="855"/>
      <c r="K77" s="1784"/>
      <c r="L77" s="498"/>
      <c r="M77" s="2454"/>
      <c r="N77" s="618"/>
      <c r="O77" s="1908"/>
      <c r="P77" s="1908"/>
      <c r="AH77" s="1915">
        <v>0</v>
      </c>
    </row>
    <row s="14077" customFormat="1" customHeight="1" ht="18.75" hidden="1">
      <c r="A78" s="2064" t="s">
        <v>275</v>
      </c>
      <c r="B78" s="2064" t="s">
        <v>276</v>
      </c>
      <c r="C78" s="653"/>
      <c r="D78" s="2746"/>
      <c r="E78" s="2488"/>
      <c r="F78" s="2667" t="str">
        <f>INDEX(PT_DIFFERENTIATION_VTAR,MATCH(A78,PT_DIFFERENTIATION_VTAR_ID,0))</f>
        <v>Тариф на транспортировку сточных вод</v>
      </c>
      <c r="G78" s="2711" t="str">
        <f>INDEX(PT_DIFFERENTIATION_NTAR,MATCH(B78,PT_DIFFERENTIATION_NTAR_ID,0))</f>
        <v/>
      </c>
      <c r="H78" s="2146"/>
      <c r="I78" s="2023"/>
      <c r="J78" s="2057"/>
      <c r="K78" s="2149"/>
      <c r="L78" s="2146" t="s">
        <v>311</v>
      </c>
      <c r="M78" s="2454"/>
      <c r="N78" s="618"/>
      <c r="O78" s="1908"/>
      <c r="P78" s="1908"/>
      <c r="AH78" s="1915">
        <v>0</v>
      </c>
    </row>
    <row s="14077" customFormat="1" customHeight="1" ht="18.75" hidden="1">
      <c r="A79" s="2064"/>
      <c r="B79" s="2064"/>
      <c r="C79" s="653" t="s">
        <v>1151</v>
      </c>
      <c r="D79" s="2746"/>
      <c r="E79" s="2488"/>
      <c r="F79" s="2667"/>
      <c r="G79" s="2711"/>
      <c r="H79" s="1784"/>
      <c r="I79" s="935" t="s">
        <v>1152</v>
      </c>
      <c r="J79" s="855"/>
      <c r="K79" s="1784"/>
      <c r="L79" s="498"/>
      <c r="M79" s="2454"/>
      <c r="N79" s="618"/>
      <c r="O79" s="1908"/>
      <c r="P79" s="1908"/>
      <c r="AH79" s="1915">
        <v>0</v>
      </c>
    </row>
    <row s="14077" customFormat="1" customHeight="1" ht="0.75" hidden="1">
      <c r="A80" s="2064"/>
      <c r="B80" s="2064"/>
      <c r="C80" s="653" t="s">
        <v>1157</v>
      </c>
      <c r="D80" s="2746"/>
      <c r="E80" s="2488"/>
      <c r="F80" s="2667"/>
      <c r="G80" s="684"/>
      <c r="H80" s="1784"/>
      <c r="I80" s="935"/>
      <c r="J80" s="855"/>
      <c r="K80" s="1784"/>
      <c r="L80" s="498"/>
      <c r="M80" s="2454"/>
      <c r="N80" s="618"/>
      <c r="O80" s="1908"/>
      <c r="P80" s="1908"/>
      <c r="AH80" s="1915">
        <v>0</v>
      </c>
    </row>
    <row s="14077" customFormat="1" customHeight="1" ht="18.75" hidden="1">
      <c r="A81" s="2064" t="s">
        <v>280</v>
      </c>
      <c r="B81" s="2064" t="s">
        <v>281</v>
      </c>
      <c r="C81" s="653"/>
      <c r="D81" s="2746"/>
      <c r="E81" s="2488"/>
      <c r="F81" s="2667" t="str">
        <f>INDEX(PT_DIFFERENTIATION_VTAR,MATCH(A81,PT_DIFFERENTIATION_VTAR_ID,0))</f>
        <v>Тариф на подключение (технологическое присоединение) к централизованной системе водоотведения</v>
      </c>
      <c r="G81" s="2711" t="str">
        <f>INDEX(PT_DIFFERENTIATION_NTAR,MATCH(B81,PT_DIFFERENTIATION_NTAR_ID,0))</f>
        <v/>
      </c>
      <c r="H81" s="2146"/>
      <c r="I81" s="2023"/>
      <c r="J81" s="2057"/>
      <c r="K81" s="2149"/>
      <c r="L81" s="2146" t="s">
        <v>311</v>
      </c>
      <c r="M81" s="2454"/>
      <c r="N81" s="618"/>
      <c r="O81" s="1908"/>
      <c r="P81" s="1908"/>
      <c r="AH81" s="1915">
        <v>0</v>
      </c>
    </row>
    <row s="14077" customFormat="1" customHeight="1" ht="18.75" hidden="1">
      <c r="A82" s="2064"/>
      <c r="B82" s="2064"/>
      <c r="C82" s="653" t="s">
        <v>1151</v>
      </c>
      <c r="D82" s="2746"/>
      <c r="E82" s="2488"/>
      <c r="F82" s="2667"/>
      <c r="G82" s="2711"/>
      <c r="H82" s="1784"/>
      <c r="I82" s="935" t="s">
        <v>1152</v>
      </c>
      <c r="J82" s="855"/>
      <c r="K82" s="1784"/>
      <c r="L82" s="498"/>
      <c r="M82" s="2454"/>
      <c r="N82" s="618"/>
      <c r="O82" s="1908"/>
      <c r="P82" s="1908"/>
      <c r="AH82" s="1915">
        <v>0</v>
      </c>
    </row>
    <row s="14077" customFormat="1" customHeight="1" ht="1.05">
      <c r="A83" s="2064"/>
      <c r="B83" s="2064"/>
      <c r="C83" s="653" t="s">
        <v>1157</v>
      </c>
      <c r="D83" s="2746"/>
      <c r="E83" s="2488"/>
      <c r="F83" s="2667"/>
      <c r="G83" s="684"/>
      <c r="H83" s="1784"/>
      <c r="I83" s="935"/>
      <c r="J83" s="855"/>
      <c r="K83" s="1784"/>
      <c r="L83" s="498"/>
      <c r="M83" s="2454"/>
      <c r="N83" s="618"/>
      <c r="O83" s="1908"/>
      <c r="P83" s="1908"/>
      <c r="AH83" s="1915">
        <v>1</v>
      </c>
    </row>
    <row customHeight="1" ht="19.95">
      <c r="A84" s="2064"/>
      <c r="B84" s="2064"/>
      <c r="D84" s="660"/>
      <c r="E84" s="431" t="s">
        <v>111</v>
      </c>
      <c r="F84" s="2744"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теплоснабжения)</v>
      </c>
      <c r="G84" s="2744"/>
      <c r="H84" s="2744"/>
      <c r="I84" s="2744"/>
      <c r="J84" s="2744"/>
      <c r="K84" s="2744"/>
      <c r="L84" s="2744"/>
      <c r="M84" s="581"/>
      <c r="N84" s="618"/>
      <c r="AH84" s="658">
        <v>19</v>
      </c>
    </row>
    <row customHeight="1" ht="36">
      <c r="A85" s="2064"/>
      <c r="B85" s="2064"/>
      <c r="D85" s="660"/>
      <c r="E85" s="683"/>
      <c r="F85" s="482" t="s">
        <v>311</v>
      </c>
      <c r="G85" s="482" t="s">
        <v>311</v>
      </c>
      <c r="H85" s="2502" t="s">
        <v>311</v>
      </c>
      <c r="I85" s="2504"/>
      <c r="J85" s="482" t="s">
        <v>311</v>
      </c>
      <c r="K85" s="482" t="s">
        <v>311</v>
      </c>
      <c r="L85" s="4926" t="s">
        <v>1159</v>
      </c>
      <c r="M85" s="629" t="s">
        <v>1160</v>
      </c>
      <c r="N85" s="618"/>
      <c r="AH85" s="658">
        <v>34</v>
      </c>
    </row>
    <row customHeight="1" ht="19.95">
      <c r="A86" s="2064"/>
      <c r="B86" s="2064"/>
      <c r="D86" s="660"/>
      <c r="E86" s="431" t="s">
        <v>91</v>
      </c>
      <c r="F86" s="2744" t="s">
        <v>1161</v>
      </c>
      <c r="G86" s="2744"/>
      <c r="H86" s="2744"/>
      <c r="I86" s="2744"/>
      <c r="J86" s="2744"/>
      <c r="K86" s="2744"/>
      <c r="L86" s="2744"/>
      <c r="M86" s="581"/>
      <c r="N86" s="618"/>
      <c r="AH86" s="658">
        <v>19</v>
      </c>
    </row>
    <row s="14077" customFormat="1" customHeight="1" ht="60.75" hidden="1">
      <c r="A87" s="2064" t="s">
        <v>156</v>
      </c>
      <c r="B87" s="2064" t="s">
        <v>157</v>
      </c>
      <c r="C87" s="653"/>
      <c r="D87" s="2746"/>
      <c r="E87" s="2488"/>
      <c r="F87" s="2667"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2711" t="str">
        <f>INDEX(PT_DIFFERENTIATION_NTAR,MATCH(B87,PT_DIFFERENTIATION_NTAR_ID,0))</f>
        <v/>
      </c>
      <c r="H87" s="2146"/>
      <c r="I87" s="2023"/>
      <c r="J87" s="2057"/>
      <c r="K87" s="2062"/>
      <c r="L87" s="2146" t="s">
        <v>311</v>
      </c>
      <c r="M87" s="2453"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618"/>
      <c r="O87" s="1908"/>
      <c r="P87" s="1908"/>
      <c r="AH87" s="1915">
        <v>0</v>
      </c>
    </row>
    <row s="14077" customFormat="1" customHeight="1" ht="18.75" hidden="1">
      <c r="A88" s="2064"/>
      <c r="B88" s="2064"/>
      <c r="C88" s="653" t="s">
        <v>1153</v>
      </c>
      <c r="D88" s="2746"/>
      <c r="E88" s="2488"/>
      <c r="F88" s="2667"/>
      <c r="G88" s="2711"/>
      <c r="H88" s="1784"/>
      <c r="I88" s="935" t="s">
        <v>1152</v>
      </c>
      <c r="J88" s="855"/>
      <c r="K88" s="1784"/>
      <c r="L88" s="498"/>
      <c r="M88" s="2454"/>
      <c r="N88" s="618"/>
      <c r="O88" s="1908"/>
      <c r="P88" s="1908"/>
      <c r="AH88" s="1915">
        <v>0</v>
      </c>
    </row>
    <row s="14077" customFormat="1" customHeight="1" ht="0.75" hidden="1">
      <c r="A89" s="2064"/>
      <c r="B89" s="2064"/>
      <c r="C89" s="653" t="s">
        <v>1162</v>
      </c>
      <c r="D89" s="2746"/>
      <c r="E89" s="2488"/>
      <c r="F89" s="2667"/>
      <c r="G89" s="684"/>
      <c r="H89" s="1784"/>
      <c r="I89" s="935"/>
      <c r="J89" s="855"/>
      <c r="K89" s="1784"/>
      <c r="L89" s="498"/>
      <c r="M89" s="2454"/>
      <c r="N89" s="618"/>
      <c r="O89" s="1908"/>
      <c r="P89" s="1908"/>
      <c r="AH89" s="1915">
        <v>0</v>
      </c>
    </row>
    <row s="14077" customFormat="1" customHeight="1" ht="45">
      <c r="A90" s="2064" t="s">
        <v>164</v>
      </c>
      <c r="B90" s="2064" t="s">
        <v>165</v>
      </c>
      <c r="C90" s="653"/>
      <c r="D90" s="2746"/>
      <c r="E90" s="2488"/>
      <c r="F90" s="2667" t="str">
        <f>INDEX(PT_DIFFERENTIATION_VTAR,MATCH(A90,PT_DIFFERENTIATION_VTAR_ID,0))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90" s="2711" t="str">
        <f>INDEX(PT_DIFFERENTIATION_NTAR,MATCH(B90,PT_DIFFERENTIATION_NTAR_ID,0))</f>
        <v>Тариф на тепловую энергию</v>
      </c>
      <c r="H90" s="2146"/>
      <c r="I90" s="4922">
        <v>45658</v>
      </c>
      <c r="J90" s="4923">
        <v>46022</v>
      </c>
      <c r="K90" s="2062">
        <v>946100.83</v>
      </c>
      <c r="L90" s="2146" t="s">
        <v>311</v>
      </c>
      <c r="M90" s="2455"/>
      <c r="N90" s="618"/>
      <c r="O90" s="1908"/>
      <c r="P90" s="1908"/>
      <c r="AH90" s="1915">
        <v>0</v>
      </c>
    </row>
    <row s="14077" customFormat="1" customHeight="1" ht="18.75">
      <c r="A91" s="2064"/>
      <c r="B91" s="2064"/>
      <c r="C91" s="653" t="s">
        <v>1153</v>
      </c>
      <c r="D91" s="2746"/>
      <c r="E91" s="2488"/>
      <c r="F91" s="2667"/>
      <c r="G91" s="2711"/>
      <c r="H91" s="1784"/>
      <c r="I91" s="935" t="s">
        <v>1152</v>
      </c>
      <c r="J91" s="855"/>
      <c r="K91" s="1784"/>
      <c r="L91" s="498"/>
      <c r="M91" s="2145"/>
      <c r="N91" s="618"/>
      <c r="O91" s="1908"/>
      <c r="P91" s="1908"/>
      <c r="AH91" s="1915">
        <v>0</v>
      </c>
    </row>
    <row s="14077" customFormat="1" customHeight="1" ht="0.75">
      <c r="A92" s="2064"/>
      <c r="B92" s="2064"/>
      <c r="C92" s="653" t="s">
        <v>1162</v>
      </c>
      <c r="D92" s="2746"/>
      <c r="E92" s="2488"/>
      <c r="F92" s="2667"/>
      <c r="G92" s="684"/>
      <c r="H92" s="1784"/>
      <c r="I92" s="935"/>
      <c r="J92" s="855"/>
      <c r="K92" s="1784"/>
      <c r="L92" s="498"/>
      <c r="M92" s="625"/>
      <c r="N92" s="618"/>
      <c r="O92" s="1908"/>
      <c r="P92" s="1908"/>
      <c r="AH92" s="1915">
        <v>0</v>
      </c>
    </row>
    <row s="14077" customFormat="1" customHeight="1" ht="45" hidden="1">
      <c r="A93" s="2064" t="s">
        <v>174</v>
      </c>
      <c r="B93" s="2064" t="s">
        <v>175</v>
      </c>
      <c r="C93" s="653"/>
      <c r="D93" s="2746"/>
      <c r="E93" s="2488"/>
      <c r="F93" s="2667"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2711" t="str">
        <f>INDEX(PT_DIFFERENTIATION_NTAR,MATCH(B93,PT_DIFFERENTIATION_NTAR_ID,0))</f>
        <v/>
      </c>
      <c r="H93" s="2146"/>
      <c r="I93" s="2023"/>
      <c r="J93" s="2057"/>
      <c r="K93" s="2062"/>
      <c r="L93" s="2146" t="s">
        <v>311</v>
      </c>
      <c r="M93" s="625"/>
      <c r="N93" s="618"/>
      <c r="O93" s="1908"/>
      <c r="P93" s="1908"/>
      <c r="AH93" s="1915">
        <v>0</v>
      </c>
    </row>
    <row s="14077" customFormat="1" customHeight="1" ht="18.75" hidden="1">
      <c r="A94" s="2064"/>
      <c r="B94" s="2064"/>
      <c r="C94" s="653" t="s">
        <v>1153</v>
      </c>
      <c r="D94" s="2746"/>
      <c r="E94" s="2488"/>
      <c r="F94" s="2667"/>
      <c r="G94" s="2711"/>
      <c r="H94" s="1784"/>
      <c r="I94" s="935" t="s">
        <v>1152</v>
      </c>
      <c r="J94" s="855"/>
      <c r="K94" s="1784"/>
      <c r="L94" s="498"/>
      <c r="M94" s="625"/>
      <c r="N94" s="618"/>
      <c r="O94" s="1908"/>
      <c r="P94" s="1908"/>
      <c r="AH94" s="1915">
        <v>0</v>
      </c>
    </row>
    <row s="14077" customFormat="1" customHeight="1" ht="0.75" hidden="1">
      <c r="A95" s="2064"/>
      <c r="B95" s="2064"/>
      <c r="C95" s="653" t="s">
        <v>1162</v>
      </c>
      <c r="D95" s="2746"/>
      <c r="E95" s="2488"/>
      <c r="F95" s="2667"/>
      <c r="G95" s="684"/>
      <c r="H95" s="1784"/>
      <c r="I95" s="935"/>
      <c r="J95" s="855"/>
      <c r="K95" s="1784"/>
      <c r="L95" s="498"/>
      <c r="M95" s="625"/>
      <c r="N95" s="618"/>
      <c r="O95" s="1908"/>
      <c r="P95" s="1908"/>
      <c r="AH95" s="1915">
        <v>0</v>
      </c>
    </row>
    <row s="14077" customFormat="1" customHeight="1" ht="45" hidden="1">
      <c r="A96" s="2064" t="s">
        <v>180</v>
      </c>
      <c r="B96" s="2064" t="s">
        <v>181</v>
      </c>
      <c r="C96" s="653"/>
      <c r="D96" s="2746"/>
      <c r="E96" s="2488"/>
      <c r="F96" s="2667"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2711" t="str">
        <f>INDEX(PT_DIFFERENTIATION_NTAR,MATCH(B96,PT_DIFFERENTIATION_NTAR_ID,0))</f>
        <v/>
      </c>
      <c r="H96" s="2146"/>
      <c r="I96" s="2023"/>
      <c r="J96" s="2057"/>
      <c r="K96" s="2062"/>
      <c r="L96" s="2146" t="s">
        <v>311</v>
      </c>
      <c r="M96" s="625"/>
      <c r="N96" s="618"/>
      <c r="O96" s="1908"/>
      <c r="P96" s="1908"/>
      <c r="AH96" s="1915">
        <v>0</v>
      </c>
    </row>
    <row s="14077" customFormat="1" customHeight="1" ht="18.75" hidden="1">
      <c r="A97" s="2064"/>
      <c r="B97" s="2064"/>
      <c r="C97" s="653" t="s">
        <v>1153</v>
      </c>
      <c r="D97" s="2746"/>
      <c r="E97" s="2488"/>
      <c r="F97" s="2667"/>
      <c r="G97" s="2711"/>
      <c r="H97" s="1784"/>
      <c r="I97" s="935" t="s">
        <v>1152</v>
      </c>
      <c r="J97" s="855"/>
      <c r="K97" s="1784"/>
      <c r="L97" s="498"/>
      <c r="M97" s="625"/>
      <c r="N97" s="618"/>
      <c r="O97" s="1908"/>
      <c r="P97" s="1908"/>
      <c r="AH97" s="1915">
        <v>0</v>
      </c>
    </row>
    <row s="14077" customFormat="1" customHeight="1" ht="0.75" hidden="1">
      <c r="A98" s="2064"/>
      <c r="B98" s="2064"/>
      <c r="C98" s="653" t="s">
        <v>1162</v>
      </c>
      <c r="D98" s="2746"/>
      <c r="E98" s="2488"/>
      <c r="F98" s="2667"/>
      <c r="G98" s="684"/>
      <c r="H98" s="1784"/>
      <c r="I98" s="935"/>
      <c r="J98" s="855"/>
      <c r="K98" s="1784"/>
      <c r="L98" s="498"/>
      <c r="M98" s="625"/>
      <c r="N98" s="618"/>
      <c r="O98" s="1908"/>
      <c r="P98" s="1908"/>
      <c r="AH98" s="1915">
        <v>0</v>
      </c>
    </row>
    <row s="14077" customFormat="1" customHeight="1" ht="18.75" hidden="1">
      <c r="A99" s="2064" t="s">
        <v>186</v>
      </c>
      <c r="B99" s="2064" t="s">
        <v>187</v>
      </c>
      <c r="C99" s="653"/>
      <c r="D99" s="2746"/>
      <c r="E99" s="2488"/>
      <c r="F99" s="2667" t="str">
        <f>INDEX(PT_DIFFERENTIATION_VTAR,MATCH(A99,PT_DIFFERENTIATION_VTAR_ID,0))</f>
        <v>Тарифы на услуги по передаче тепловой энергии</v>
      </c>
      <c r="G99" s="2711" t="str">
        <f>INDEX(PT_DIFFERENTIATION_NTAR,MATCH(B99,PT_DIFFERENTIATION_NTAR_ID,0))</f>
        <v/>
      </c>
      <c r="H99" s="2146"/>
      <c r="I99" s="2023"/>
      <c r="J99" s="2057"/>
      <c r="K99" s="2062"/>
      <c r="L99" s="2146" t="s">
        <v>311</v>
      </c>
      <c r="M99" s="625"/>
      <c r="N99" s="618"/>
      <c r="O99" s="1908"/>
      <c r="P99" s="1908"/>
      <c r="AH99" s="1915">
        <v>0</v>
      </c>
    </row>
    <row s="14077" customFormat="1" customHeight="1" ht="18.75" hidden="1">
      <c r="A100" s="2064"/>
      <c r="B100" s="2064"/>
      <c r="C100" s="653" t="s">
        <v>1153</v>
      </c>
      <c r="D100" s="2746"/>
      <c r="E100" s="2488"/>
      <c r="F100" s="2667"/>
      <c r="G100" s="2711"/>
      <c r="H100" s="1784"/>
      <c r="I100" s="935" t="s">
        <v>1152</v>
      </c>
      <c r="J100" s="855"/>
      <c r="K100" s="1784"/>
      <c r="L100" s="498"/>
      <c r="M100" s="625"/>
      <c r="N100" s="618"/>
      <c r="O100" s="1908"/>
      <c r="P100" s="1908"/>
      <c r="AH100" s="1915">
        <v>0</v>
      </c>
    </row>
    <row s="14077" customFormat="1" customHeight="1" ht="0.75" hidden="1">
      <c r="A101" s="2064"/>
      <c r="B101" s="2064"/>
      <c r="C101" s="653" t="s">
        <v>1162</v>
      </c>
      <c r="D101" s="2746"/>
      <c r="E101" s="2488"/>
      <c r="F101" s="2667"/>
      <c r="G101" s="684"/>
      <c r="H101" s="1784"/>
      <c r="I101" s="935"/>
      <c r="J101" s="855"/>
      <c r="K101" s="1784"/>
      <c r="L101" s="498"/>
      <c r="M101" s="625"/>
      <c r="N101" s="618"/>
      <c r="O101" s="1908"/>
      <c r="P101" s="1908"/>
      <c r="AH101" s="1915">
        <v>0</v>
      </c>
    </row>
    <row s="14077" customFormat="1" customHeight="1" ht="18.75" hidden="1">
      <c r="A102" s="2064" t="s">
        <v>192</v>
      </c>
      <c r="B102" s="2064" t="s">
        <v>193</v>
      </c>
      <c r="C102" s="653"/>
      <c r="D102" s="2746"/>
      <c r="E102" s="2488"/>
      <c r="F102" s="2667" t="str">
        <f>INDEX(PT_DIFFERENTIATION_VTAR,MATCH(A102,PT_DIFFERENTIATION_VTAR_ID,0))</f>
        <v>Тарифы на услуги по передаче теплоносителя</v>
      </c>
      <c r="G102" s="2711" t="str">
        <f>INDEX(PT_DIFFERENTIATION_NTAR,MATCH(B102,PT_DIFFERENTIATION_NTAR_ID,0))</f>
        <v/>
      </c>
      <c r="H102" s="2146"/>
      <c r="I102" s="2023"/>
      <c r="J102" s="2057"/>
      <c r="K102" s="2062"/>
      <c r="L102" s="2146" t="s">
        <v>311</v>
      </c>
      <c r="M102" s="625"/>
      <c r="N102" s="618"/>
      <c r="O102" s="1908"/>
      <c r="P102" s="1908"/>
      <c r="AH102" s="1915">
        <v>0</v>
      </c>
    </row>
    <row s="14077" customFormat="1" customHeight="1" ht="18.75" hidden="1">
      <c r="A103" s="2064"/>
      <c r="B103" s="2064"/>
      <c r="C103" s="653" t="s">
        <v>1153</v>
      </c>
      <c r="D103" s="2746"/>
      <c r="E103" s="2488"/>
      <c r="F103" s="2667"/>
      <c r="G103" s="2711"/>
      <c r="H103" s="1784"/>
      <c r="I103" s="935" t="s">
        <v>1152</v>
      </c>
      <c r="J103" s="855"/>
      <c r="K103" s="1784"/>
      <c r="L103" s="498"/>
      <c r="M103" s="625"/>
      <c r="N103" s="618"/>
      <c r="O103" s="1908"/>
      <c r="P103" s="1908"/>
      <c r="AH103" s="1915">
        <v>0</v>
      </c>
    </row>
    <row s="14077" customFormat="1" customHeight="1" ht="0.75" hidden="1">
      <c r="A104" s="2064"/>
      <c r="B104" s="2064"/>
      <c r="C104" s="653" t="s">
        <v>1162</v>
      </c>
      <c r="D104" s="2746"/>
      <c r="E104" s="2488"/>
      <c r="F104" s="2667"/>
      <c r="G104" s="684"/>
      <c r="H104" s="1784"/>
      <c r="I104" s="935"/>
      <c r="J104" s="855"/>
      <c r="K104" s="1784"/>
      <c r="L104" s="498"/>
      <c r="M104" s="625"/>
      <c r="N104" s="618"/>
      <c r="O104" s="1908"/>
      <c r="P104" s="1908"/>
      <c r="AH104" s="1915">
        <v>0</v>
      </c>
    </row>
    <row s="14077" customFormat="1" customHeight="1" ht="18.75" hidden="1">
      <c r="A105" s="2064" t="s">
        <v>198</v>
      </c>
      <c r="B105" s="2064" t="s">
        <v>199</v>
      </c>
      <c r="C105" s="653"/>
      <c r="D105" s="2746"/>
      <c r="E105" s="2488"/>
      <c r="F105" s="2667" t="str">
        <f>INDEX(PT_DIFFERENTIATION_VTAR,MATCH(A105,PT_DIFFERENTIATION_VTAR_ID,0))</f>
        <v>Плата за услуги по поддержанию резервной тепловой мощности при отсутствии потребления тепловой энергии</v>
      </c>
      <c r="G105" s="2711" t="str">
        <f>INDEX(PT_DIFFERENTIATION_NTAR,MATCH(B105,PT_DIFFERENTIATION_NTAR_ID,0))</f>
        <v/>
      </c>
      <c r="H105" s="2146"/>
      <c r="I105" s="2023"/>
      <c r="J105" s="2057"/>
      <c r="K105" s="2062"/>
      <c r="L105" s="2146" t="s">
        <v>311</v>
      </c>
      <c r="M105" s="625"/>
      <c r="N105" s="618"/>
      <c r="O105" s="1908"/>
      <c r="P105" s="1908"/>
      <c r="AH105" s="1915">
        <v>0</v>
      </c>
    </row>
    <row s="14077" customFormat="1" customHeight="1" ht="18.75" hidden="1">
      <c r="A106" s="2064"/>
      <c r="B106" s="2064"/>
      <c r="C106" s="653" t="s">
        <v>1153</v>
      </c>
      <c r="D106" s="2746"/>
      <c r="E106" s="2488"/>
      <c r="F106" s="2667"/>
      <c r="G106" s="2711"/>
      <c r="H106" s="1784"/>
      <c r="I106" s="935" t="s">
        <v>1152</v>
      </c>
      <c r="J106" s="855"/>
      <c r="K106" s="1784"/>
      <c r="L106" s="498"/>
      <c r="M106" s="625"/>
      <c r="N106" s="618"/>
      <c r="O106" s="1908"/>
      <c r="P106" s="1908"/>
      <c r="AH106" s="1915">
        <v>0</v>
      </c>
    </row>
    <row s="14077" customFormat="1" customHeight="1" ht="0.75" hidden="1">
      <c r="A107" s="2064"/>
      <c r="B107" s="2064"/>
      <c r="C107" s="653" t="s">
        <v>1162</v>
      </c>
      <c r="D107" s="2746"/>
      <c r="E107" s="2488"/>
      <c r="F107" s="2667"/>
      <c r="G107" s="684"/>
      <c r="H107" s="1784"/>
      <c r="I107" s="935"/>
      <c r="J107" s="855"/>
      <c r="K107" s="1784"/>
      <c r="L107" s="498"/>
      <c r="M107" s="625"/>
      <c r="N107" s="618"/>
      <c r="O107" s="1908"/>
      <c r="P107" s="1908"/>
      <c r="AH107" s="1915">
        <v>0</v>
      </c>
    </row>
    <row s="14077" customFormat="1" customHeight="1" ht="18.75" hidden="1">
      <c r="A108" s="2064" t="s">
        <v>204</v>
      </c>
      <c r="B108" s="2064" t="s">
        <v>205</v>
      </c>
      <c r="C108" s="653"/>
      <c r="D108" s="2746"/>
      <c r="E108" s="2488"/>
      <c r="F108" s="2667" t="str">
        <f>INDEX(PT_DIFFERENTIATION_VTAR,MATCH(A108,PT_DIFFERENTIATION_VTAR_ID,0))</f>
        <v>Плата за подключение (технологическое присоединение) к системе теплоснабжения</v>
      </c>
      <c r="G108" s="2711" t="str">
        <f>INDEX(PT_DIFFERENTIATION_NTAR,MATCH(B108,PT_DIFFERENTIATION_NTAR_ID,0))</f>
        <v/>
      </c>
      <c r="H108" s="2146"/>
      <c r="I108" s="2023"/>
      <c r="J108" s="2057"/>
      <c r="K108" s="2062"/>
      <c r="L108" s="2146" t="s">
        <v>311</v>
      </c>
      <c r="M108" s="625"/>
      <c r="N108" s="618"/>
      <c r="O108" s="1908"/>
      <c r="P108" s="1908"/>
      <c r="AH108" s="1915">
        <v>0</v>
      </c>
    </row>
    <row s="14077" customFormat="1" customHeight="1" ht="18.75" hidden="1">
      <c r="A109" s="2064"/>
      <c r="B109" s="2064"/>
      <c r="C109" s="653" t="s">
        <v>1153</v>
      </c>
      <c r="D109" s="2746"/>
      <c r="E109" s="2488"/>
      <c r="F109" s="2667"/>
      <c r="G109" s="2711"/>
      <c r="H109" s="1784"/>
      <c r="I109" s="935" t="s">
        <v>1152</v>
      </c>
      <c r="J109" s="855"/>
      <c r="K109" s="1784"/>
      <c r="L109" s="498"/>
      <c r="M109" s="625"/>
      <c r="N109" s="618"/>
      <c r="O109" s="1908"/>
      <c r="P109" s="1908"/>
      <c r="AH109" s="1915">
        <v>0</v>
      </c>
    </row>
    <row s="14077" customFormat="1" customHeight="1" ht="0.75" hidden="1">
      <c r="A110" s="2064"/>
      <c r="B110" s="2064"/>
      <c r="C110" s="653" t="s">
        <v>1162</v>
      </c>
      <c r="D110" s="2746"/>
      <c r="E110" s="2488"/>
      <c r="F110" s="2667"/>
      <c r="G110" s="684"/>
      <c r="H110" s="1784"/>
      <c r="I110" s="935"/>
      <c r="J110" s="855"/>
      <c r="K110" s="1784"/>
      <c r="L110" s="498"/>
      <c r="M110" s="625"/>
      <c r="N110" s="618"/>
      <c r="O110" s="1908"/>
      <c r="P110" s="1908"/>
      <c r="AH110" s="1915">
        <v>0</v>
      </c>
    </row>
    <row s="14077" customFormat="1" customHeight="1" ht="18.75" hidden="1">
      <c r="A111" s="2064" t="s">
        <v>210</v>
      </c>
      <c r="B111" s="2064" t="s">
        <v>211</v>
      </c>
      <c r="C111" s="653"/>
      <c r="D111" s="2746"/>
      <c r="E111" s="2488"/>
      <c r="F111" s="2667" t="str">
        <f>INDEX(PT_DIFFERENTIATION_VTAR,MATCH(A111,PT_DIFFERENTIATION_VTAR_ID,0))</f>
        <v>Плата за подключение (технологическое присоединение) к системе теплоснабжения (индивидуальная)</v>
      </c>
      <c r="G111" s="2711" t="str">
        <f>INDEX(PT_DIFFERENTIATION_NTAR,MATCH(B111,PT_DIFFERENTIATION_NTAR_ID,0))</f>
        <v/>
      </c>
      <c r="H111" s="2273"/>
      <c r="I111" s="2023"/>
      <c r="J111" s="2057"/>
      <c r="K111" s="2062"/>
      <c r="L111" s="2273" t="s">
        <v>311</v>
      </c>
      <c r="M111" s="625"/>
      <c r="N111" s="618"/>
      <c r="O111" s="1908"/>
      <c r="P111" s="1908"/>
      <c r="AH111" s="1915">
        <v>0</v>
      </c>
    </row>
    <row s="14077" customFormat="1" customHeight="1" ht="18.75" hidden="1">
      <c r="A112" s="2064"/>
      <c r="B112" s="2064"/>
      <c r="C112" s="653" t="s">
        <v>1153</v>
      </c>
      <c r="D112" s="2746"/>
      <c r="E112" s="2488"/>
      <c r="F112" s="2667"/>
      <c r="G112" s="2711"/>
      <c r="H112" s="1784"/>
      <c r="I112" s="935" t="s">
        <v>1152</v>
      </c>
      <c r="J112" s="855"/>
      <c r="K112" s="1784"/>
      <c r="L112" s="498"/>
      <c r="M112" s="625"/>
      <c r="N112" s="618"/>
      <c r="O112" s="1908"/>
      <c r="P112" s="1908"/>
      <c r="AH112" s="1915">
        <v>0</v>
      </c>
    </row>
    <row s="14077" customFormat="1" customHeight="1" ht="0.75" hidden="1">
      <c r="A113" s="2064"/>
      <c r="B113" s="2064"/>
      <c r="C113" s="653" t="s">
        <v>1162</v>
      </c>
      <c r="D113" s="2746"/>
      <c r="E113" s="2488"/>
      <c r="F113" s="2667"/>
      <c r="G113" s="684"/>
      <c r="H113" s="1784"/>
      <c r="I113" s="935"/>
      <c r="J113" s="855"/>
      <c r="K113" s="1784"/>
      <c r="L113" s="498"/>
      <c r="M113" s="625"/>
      <c r="N113" s="618"/>
      <c r="O113" s="1908"/>
      <c r="P113" s="1908"/>
      <c r="AH113" s="1915">
        <v>0</v>
      </c>
    </row>
    <row s="14077" customFormat="1" customHeight="1" ht="18.75" hidden="1">
      <c r="A114" s="2064" t="s">
        <v>230</v>
      </c>
      <c r="B114" s="2064" t="s">
        <v>231</v>
      </c>
      <c r="C114" s="653"/>
      <c r="D114" s="2746"/>
      <c r="E114" s="2488"/>
      <c r="F114" s="2667" t="str">
        <f>INDEX(PT_DIFFERENTIATION_VTAR,MATCH(A114,PT_DIFFERENTIATION_VTAR_ID,0))</f>
        <v>Тариф на питьевую воду (питьевое водоснабжение)</v>
      </c>
      <c r="G114" s="2711" t="str">
        <f>INDEX(PT_DIFFERENTIATION_NTAR,MATCH(B114,PT_DIFFERENTIATION_NTAR_ID,0))</f>
        <v/>
      </c>
      <c r="H114" s="2146"/>
      <c r="I114" s="2023"/>
      <c r="J114" s="2057"/>
      <c r="K114" s="2062"/>
      <c r="L114" s="2146" t="s">
        <v>311</v>
      </c>
      <c r="M114" s="625"/>
      <c r="N114" s="618"/>
      <c r="O114" s="1908"/>
      <c r="P114" s="1908"/>
      <c r="AH114" s="1915">
        <v>0</v>
      </c>
    </row>
    <row s="14077" customFormat="1" customHeight="1" ht="18.75" hidden="1">
      <c r="A115" s="2064"/>
      <c r="B115" s="2064"/>
      <c r="C115" s="653" t="s">
        <v>1153</v>
      </c>
      <c r="D115" s="2746"/>
      <c r="E115" s="2488"/>
      <c r="F115" s="2667"/>
      <c r="G115" s="2711"/>
      <c r="H115" s="1784"/>
      <c r="I115" s="935" t="s">
        <v>1152</v>
      </c>
      <c r="J115" s="855"/>
      <c r="K115" s="1784"/>
      <c r="L115" s="498"/>
      <c r="M115" s="625"/>
      <c r="N115" s="618"/>
      <c r="O115" s="1908"/>
      <c r="P115" s="1908"/>
      <c r="AH115" s="1915">
        <v>0</v>
      </c>
    </row>
    <row s="14077" customFormat="1" customHeight="1" ht="0.75" hidden="1">
      <c r="A116" s="2064"/>
      <c r="B116" s="2064"/>
      <c r="C116" s="653" t="s">
        <v>1162</v>
      </c>
      <c r="D116" s="2746"/>
      <c r="E116" s="2488"/>
      <c r="F116" s="2667"/>
      <c r="G116" s="684"/>
      <c r="H116" s="1784"/>
      <c r="I116" s="935"/>
      <c r="J116" s="855"/>
      <c r="K116" s="1784"/>
      <c r="L116" s="498"/>
      <c r="M116" s="625"/>
      <c r="N116" s="618"/>
      <c r="O116" s="1908"/>
      <c r="P116" s="1908"/>
      <c r="AH116" s="1915">
        <v>0</v>
      </c>
    </row>
    <row s="14077" customFormat="1" customHeight="1" ht="18.75" hidden="1">
      <c r="A117" s="2064" t="s">
        <v>235</v>
      </c>
      <c r="B117" s="2064" t="s">
        <v>236</v>
      </c>
      <c r="C117" s="653"/>
      <c r="D117" s="2746"/>
      <c r="E117" s="2488"/>
      <c r="F117" s="2667" t="str">
        <f>INDEX(PT_DIFFERENTIATION_VTAR,MATCH(A117,PT_DIFFERENTIATION_VTAR_ID,0))</f>
        <v>Тариф на техническую воду</v>
      </c>
      <c r="G117" s="2711" t="str">
        <f>INDEX(PT_DIFFERENTIATION_NTAR,MATCH(B117,PT_DIFFERENTIATION_NTAR_ID,0))</f>
        <v/>
      </c>
      <c r="H117" s="2146"/>
      <c r="I117" s="2023"/>
      <c r="J117" s="2057"/>
      <c r="K117" s="2062"/>
      <c r="L117" s="2146" t="s">
        <v>311</v>
      </c>
      <c r="M117" s="625"/>
      <c r="N117" s="618"/>
      <c r="O117" s="1908"/>
      <c r="P117" s="1908"/>
      <c r="AH117" s="1915">
        <v>0</v>
      </c>
    </row>
    <row s="14077" customFormat="1" customHeight="1" ht="18.75" hidden="1">
      <c r="A118" s="2064"/>
      <c r="B118" s="2064"/>
      <c r="C118" s="653" t="s">
        <v>1153</v>
      </c>
      <c r="D118" s="2746"/>
      <c r="E118" s="2488"/>
      <c r="F118" s="2667"/>
      <c r="G118" s="2711"/>
      <c r="H118" s="1784"/>
      <c r="I118" s="935" t="s">
        <v>1152</v>
      </c>
      <c r="J118" s="855"/>
      <c r="K118" s="1784"/>
      <c r="L118" s="498"/>
      <c r="M118" s="625"/>
      <c r="N118" s="618"/>
      <c r="O118" s="1908"/>
      <c r="P118" s="1908"/>
      <c r="AH118" s="1915">
        <v>0</v>
      </c>
    </row>
    <row s="14077" customFormat="1" customHeight="1" ht="0.75" hidden="1">
      <c r="A119" s="2064"/>
      <c r="B119" s="2064"/>
      <c r="C119" s="653" t="s">
        <v>1162</v>
      </c>
      <c r="D119" s="2746"/>
      <c r="E119" s="2488"/>
      <c r="F119" s="2667"/>
      <c r="G119" s="684"/>
      <c r="H119" s="1784"/>
      <c r="I119" s="935"/>
      <c r="J119" s="855"/>
      <c r="K119" s="1784"/>
      <c r="L119" s="498"/>
      <c r="M119" s="625"/>
      <c r="N119" s="618"/>
      <c r="O119" s="1908"/>
      <c r="P119" s="1908"/>
      <c r="AH119" s="1915">
        <v>0</v>
      </c>
    </row>
    <row s="14077" customFormat="1" customHeight="1" ht="18.75" hidden="1">
      <c r="A120" s="2064" t="s">
        <v>240</v>
      </c>
      <c r="B120" s="2064" t="s">
        <v>241</v>
      </c>
      <c r="C120" s="653"/>
      <c r="D120" s="2746"/>
      <c r="E120" s="2488"/>
      <c r="F120" s="2667" t="str">
        <f>INDEX(PT_DIFFERENTIATION_VTAR,MATCH(A120,PT_DIFFERENTIATION_VTAR_ID,0))</f>
        <v>Тариф на транспортировку воды</v>
      </c>
      <c r="G120" s="2711" t="str">
        <f>INDEX(PT_DIFFERENTIATION_NTAR,MATCH(B120,PT_DIFFERENTIATION_NTAR_ID,0))</f>
        <v/>
      </c>
      <c r="H120" s="2146"/>
      <c r="I120" s="2023"/>
      <c r="J120" s="2057"/>
      <c r="K120" s="2062"/>
      <c r="L120" s="2146" t="s">
        <v>311</v>
      </c>
      <c r="M120" s="625"/>
      <c r="N120" s="618"/>
      <c r="O120" s="1908"/>
      <c r="P120" s="1908"/>
      <c r="AH120" s="1915">
        <v>0</v>
      </c>
    </row>
    <row s="14077" customFormat="1" customHeight="1" ht="18.75" hidden="1">
      <c r="A121" s="2064"/>
      <c r="B121" s="2064"/>
      <c r="C121" s="653" t="s">
        <v>1153</v>
      </c>
      <c r="D121" s="2746"/>
      <c r="E121" s="2488"/>
      <c r="F121" s="2667"/>
      <c r="G121" s="2711"/>
      <c r="H121" s="1784"/>
      <c r="I121" s="935" t="s">
        <v>1152</v>
      </c>
      <c r="J121" s="855"/>
      <c r="K121" s="1784"/>
      <c r="L121" s="498"/>
      <c r="M121" s="625"/>
      <c r="N121" s="618"/>
      <c r="O121" s="1908"/>
      <c r="P121" s="1908"/>
      <c r="AH121" s="1915">
        <v>0</v>
      </c>
    </row>
    <row s="14077" customFormat="1" customHeight="1" ht="0.75" hidden="1">
      <c r="A122" s="2064"/>
      <c r="B122" s="2064"/>
      <c r="C122" s="653" t="s">
        <v>1162</v>
      </c>
      <c r="D122" s="2746"/>
      <c r="E122" s="2488"/>
      <c r="F122" s="2667"/>
      <c r="G122" s="684"/>
      <c r="H122" s="1784"/>
      <c r="I122" s="935"/>
      <c r="J122" s="855"/>
      <c r="K122" s="1784"/>
      <c r="L122" s="498"/>
      <c r="M122" s="625"/>
      <c r="N122" s="618"/>
      <c r="O122" s="1908"/>
      <c r="P122" s="1908"/>
      <c r="AH122" s="1915">
        <v>0</v>
      </c>
    </row>
    <row s="14077" customFormat="1" customHeight="1" ht="18.75" hidden="1">
      <c r="A123" s="2064" t="s">
        <v>245</v>
      </c>
      <c r="B123" s="2064" t="s">
        <v>246</v>
      </c>
      <c r="C123" s="653"/>
      <c r="D123" s="2746"/>
      <c r="E123" s="2488"/>
      <c r="F123" s="2667" t="str">
        <f>INDEX(PT_DIFFERENTIATION_VTAR,MATCH(A123,PT_DIFFERENTIATION_VTAR_ID,0))</f>
        <v>Тариф на подвоз воды</v>
      </c>
      <c r="G123" s="2711" t="str">
        <f>INDEX(PT_DIFFERENTIATION_NTAR,MATCH(B123,PT_DIFFERENTIATION_NTAR_ID,0))</f>
        <v/>
      </c>
      <c r="H123" s="2146"/>
      <c r="I123" s="2023"/>
      <c r="J123" s="2057"/>
      <c r="K123" s="2062"/>
      <c r="L123" s="2146" t="s">
        <v>311</v>
      </c>
      <c r="M123" s="625"/>
      <c r="N123" s="618"/>
      <c r="O123" s="1908"/>
      <c r="P123" s="1908"/>
      <c r="AH123" s="1915">
        <v>0</v>
      </c>
    </row>
    <row s="14077" customFormat="1" customHeight="1" ht="18.75" hidden="1">
      <c r="A124" s="2064"/>
      <c r="B124" s="2064"/>
      <c r="C124" s="653" t="s">
        <v>1153</v>
      </c>
      <c r="D124" s="2746"/>
      <c r="E124" s="2488"/>
      <c r="F124" s="2667"/>
      <c r="G124" s="2711"/>
      <c r="H124" s="1784"/>
      <c r="I124" s="935" t="s">
        <v>1152</v>
      </c>
      <c r="J124" s="855"/>
      <c r="K124" s="1784"/>
      <c r="L124" s="498"/>
      <c r="M124" s="625"/>
      <c r="N124" s="618"/>
      <c r="O124" s="1908"/>
      <c r="P124" s="1908"/>
      <c r="AH124" s="1915">
        <v>0</v>
      </c>
    </row>
    <row s="14077" customFormat="1" customHeight="1" ht="0.75" hidden="1">
      <c r="A125" s="2064"/>
      <c r="B125" s="2064"/>
      <c r="C125" s="653" t="s">
        <v>1162</v>
      </c>
      <c r="D125" s="2746"/>
      <c r="E125" s="2488"/>
      <c r="F125" s="2667"/>
      <c r="G125" s="684"/>
      <c r="H125" s="1784"/>
      <c r="I125" s="935"/>
      <c r="J125" s="855"/>
      <c r="K125" s="1784"/>
      <c r="L125" s="498"/>
      <c r="M125" s="625"/>
      <c r="N125" s="618"/>
      <c r="O125" s="1908"/>
      <c r="P125" s="1908"/>
      <c r="AH125" s="1915">
        <v>0</v>
      </c>
    </row>
    <row s="14077" customFormat="1" customHeight="1" ht="18.75" hidden="1">
      <c r="A126" s="2064" t="s">
        <v>250</v>
      </c>
      <c r="B126" s="2064" t="s">
        <v>251</v>
      </c>
      <c r="C126" s="653"/>
      <c r="D126" s="2746"/>
      <c r="E126" s="2488"/>
      <c r="F126" s="2667"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2711" t="str">
        <f>INDEX(PT_DIFFERENTIATION_NTAR,MATCH(B126,PT_DIFFERENTIATION_NTAR_ID,0))</f>
        <v/>
      </c>
      <c r="H126" s="2146"/>
      <c r="I126" s="2023"/>
      <c r="J126" s="2057"/>
      <c r="K126" s="2062"/>
      <c r="L126" s="2146" t="s">
        <v>311</v>
      </c>
      <c r="M126" s="625"/>
      <c r="N126" s="618"/>
      <c r="O126" s="1908"/>
      <c r="P126" s="1908"/>
      <c r="AH126" s="1915">
        <v>0</v>
      </c>
    </row>
    <row s="14077" customFormat="1" customHeight="1" ht="18.75" hidden="1">
      <c r="A127" s="2064"/>
      <c r="B127" s="2064"/>
      <c r="C127" s="653" t="s">
        <v>1153</v>
      </c>
      <c r="D127" s="2746"/>
      <c r="E127" s="2488"/>
      <c r="F127" s="2667"/>
      <c r="G127" s="2711"/>
      <c r="H127" s="1784"/>
      <c r="I127" s="935" t="s">
        <v>1152</v>
      </c>
      <c r="J127" s="855"/>
      <c r="K127" s="1784"/>
      <c r="L127" s="498"/>
      <c r="M127" s="625"/>
      <c r="N127" s="618"/>
      <c r="O127" s="1908"/>
      <c r="P127" s="1908"/>
      <c r="AH127" s="1915">
        <v>0</v>
      </c>
    </row>
    <row s="14077" customFormat="1" customHeight="1" ht="0.75" hidden="1">
      <c r="A128" s="2064"/>
      <c r="B128" s="2064"/>
      <c r="C128" s="653" t="s">
        <v>1162</v>
      </c>
      <c r="D128" s="2746"/>
      <c r="E128" s="2488"/>
      <c r="F128" s="2667"/>
      <c r="G128" s="684"/>
      <c r="H128" s="1784"/>
      <c r="I128" s="935"/>
      <c r="J128" s="855"/>
      <c r="K128" s="1784"/>
      <c r="L128" s="498"/>
      <c r="M128" s="625"/>
      <c r="N128" s="618"/>
      <c r="O128" s="1908"/>
      <c r="P128" s="1908"/>
      <c r="AH128" s="1915">
        <v>0</v>
      </c>
    </row>
    <row s="14077" customFormat="1" customHeight="1" ht="18.75" hidden="1">
      <c r="A129" s="2064" t="s">
        <v>255</v>
      </c>
      <c r="B129" s="2064" t="s">
        <v>256</v>
      </c>
      <c r="C129" s="653"/>
      <c r="D129" s="2746"/>
      <c r="E129" s="2488"/>
      <c r="F129" s="2667" t="str">
        <f>INDEX(PT_DIFFERENTIATION_VTAR,MATCH(A129,PT_DIFFERENTIATION_VTAR_ID,0))</f>
        <v>Тариф на горячую воду (горячее водоснабжение)</v>
      </c>
      <c r="G129" s="2711" t="str">
        <f>INDEX(PT_DIFFERENTIATION_NTAR,MATCH(B129,PT_DIFFERENTIATION_NTAR_ID,0))</f>
        <v/>
      </c>
      <c r="H129" s="2146"/>
      <c r="I129" s="2023"/>
      <c r="J129" s="2057"/>
      <c r="K129" s="2062"/>
      <c r="L129" s="2146" t="s">
        <v>311</v>
      </c>
      <c r="M129" s="625"/>
      <c r="N129" s="618"/>
      <c r="O129" s="1908"/>
      <c r="P129" s="1908"/>
      <c r="AH129" s="1915">
        <v>0</v>
      </c>
    </row>
    <row s="14077" customFormat="1" customHeight="1" ht="18.75" hidden="1">
      <c r="A130" s="2064"/>
      <c r="B130" s="2064"/>
      <c r="C130" s="653" t="s">
        <v>1153</v>
      </c>
      <c r="D130" s="2746"/>
      <c r="E130" s="2488"/>
      <c r="F130" s="2667"/>
      <c r="G130" s="2711"/>
      <c r="H130" s="1784"/>
      <c r="I130" s="935" t="s">
        <v>1152</v>
      </c>
      <c r="J130" s="855"/>
      <c r="K130" s="1784"/>
      <c r="L130" s="498"/>
      <c r="M130" s="625"/>
      <c r="N130" s="618"/>
      <c r="O130" s="1908"/>
      <c r="P130" s="1908"/>
      <c r="AH130" s="1915">
        <v>0</v>
      </c>
    </row>
    <row s="14077" customFormat="1" customHeight="1" ht="0.75" hidden="1">
      <c r="A131" s="2064"/>
      <c r="B131" s="2064"/>
      <c r="C131" s="653" t="s">
        <v>1162</v>
      </c>
      <c r="D131" s="2746"/>
      <c r="E131" s="2488"/>
      <c r="F131" s="2667"/>
      <c r="G131" s="684"/>
      <c r="H131" s="1784"/>
      <c r="I131" s="935"/>
      <c r="J131" s="855"/>
      <c r="K131" s="1784"/>
      <c r="L131" s="498"/>
      <c r="M131" s="625"/>
      <c r="N131" s="618"/>
      <c r="O131" s="1908"/>
      <c r="P131" s="1908"/>
      <c r="AH131" s="1915">
        <v>0</v>
      </c>
    </row>
    <row s="14077" customFormat="1" customHeight="1" ht="18.75" hidden="1">
      <c r="A132" s="2064" t="s">
        <v>260</v>
      </c>
      <c r="B132" s="2064" t="s">
        <v>261</v>
      </c>
      <c r="C132" s="653"/>
      <c r="D132" s="2746"/>
      <c r="E132" s="2488"/>
      <c r="F132" s="2667" t="str">
        <f>INDEX(PT_DIFFERENTIATION_VTAR,MATCH(A132,PT_DIFFERENTIATION_VTAR_ID,0))</f>
        <v>Тариф на транспортировку горячей воды</v>
      </c>
      <c r="G132" s="2711" t="str">
        <f>INDEX(PT_DIFFERENTIATION_NTAR,MATCH(B132,PT_DIFFERENTIATION_NTAR_ID,0))</f>
        <v/>
      </c>
      <c r="H132" s="2146"/>
      <c r="I132" s="2023"/>
      <c r="J132" s="2057"/>
      <c r="K132" s="2062"/>
      <c r="L132" s="2146" t="s">
        <v>311</v>
      </c>
      <c r="M132" s="625"/>
      <c r="N132" s="618"/>
      <c r="O132" s="1908"/>
      <c r="P132" s="1908"/>
      <c r="AH132" s="1915">
        <v>0</v>
      </c>
    </row>
    <row s="14077" customFormat="1" customHeight="1" ht="18.75" hidden="1">
      <c r="A133" s="2064"/>
      <c r="B133" s="2064"/>
      <c r="C133" s="653" t="s">
        <v>1153</v>
      </c>
      <c r="D133" s="2746"/>
      <c r="E133" s="2488"/>
      <c r="F133" s="2667"/>
      <c r="G133" s="2711"/>
      <c r="H133" s="1784"/>
      <c r="I133" s="935" t="s">
        <v>1152</v>
      </c>
      <c r="J133" s="855"/>
      <c r="K133" s="1784"/>
      <c r="L133" s="498"/>
      <c r="M133" s="625"/>
      <c r="N133" s="618"/>
      <c r="O133" s="1908"/>
      <c r="P133" s="1908"/>
      <c r="AH133" s="1915">
        <v>0</v>
      </c>
    </row>
    <row s="14077" customFormat="1" customHeight="1" ht="0.75" hidden="1">
      <c r="A134" s="2064"/>
      <c r="B134" s="2064"/>
      <c r="C134" s="653" t="s">
        <v>1162</v>
      </c>
      <c r="D134" s="2746"/>
      <c r="E134" s="2488"/>
      <c r="F134" s="2667"/>
      <c r="G134" s="684"/>
      <c r="H134" s="1784"/>
      <c r="I134" s="935"/>
      <c r="J134" s="855"/>
      <c r="K134" s="1784"/>
      <c r="L134" s="498"/>
      <c r="M134" s="625"/>
      <c r="N134" s="618"/>
      <c r="O134" s="1908"/>
      <c r="P134" s="1908"/>
      <c r="AH134" s="1915">
        <v>0</v>
      </c>
    </row>
    <row s="14077" customFormat="1" customHeight="1" ht="18.75" hidden="1">
      <c r="A135" s="2064" t="s">
        <v>265</v>
      </c>
      <c r="B135" s="2064" t="s">
        <v>266</v>
      </c>
      <c r="C135" s="653"/>
      <c r="D135" s="2746"/>
      <c r="E135" s="2488"/>
      <c r="F135" s="2667" t="str">
        <f>INDEX(PT_DIFFERENTIATION_VTAR,MATCH(A135,PT_DIFFERENTIATION_VTAR_ID,0))</f>
        <v>Тариф на подключение (технологическое присоединение) к централизованной системе горячего водоснабжения</v>
      </c>
      <c r="G135" s="2711" t="str">
        <f>INDEX(PT_DIFFERENTIATION_NTAR,MATCH(B135,PT_DIFFERENTIATION_NTAR_ID,0))</f>
        <v/>
      </c>
      <c r="H135" s="2146"/>
      <c r="I135" s="2023"/>
      <c r="J135" s="2057"/>
      <c r="K135" s="2062"/>
      <c r="L135" s="2146" t="s">
        <v>311</v>
      </c>
      <c r="M135" s="625"/>
      <c r="N135" s="618"/>
      <c r="O135" s="1908"/>
      <c r="P135" s="1908"/>
      <c r="AH135" s="1915">
        <v>0</v>
      </c>
    </row>
    <row s="14077" customFormat="1" customHeight="1" ht="18.75" hidden="1">
      <c r="A136" s="2064"/>
      <c r="B136" s="2064"/>
      <c r="C136" s="653" t="s">
        <v>1153</v>
      </c>
      <c r="D136" s="2746"/>
      <c r="E136" s="2488"/>
      <c r="F136" s="2667"/>
      <c r="G136" s="2711"/>
      <c r="H136" s="1784"/>
      <c r="I136" s="935" t="s">
        <v>1152</v>
      </c>
      <c r="J136" s="855"/>
      <c r="K136" s="1784"/>
      <c r="L136" s="498"/>
      <c r="M136" s="625"/>
      <c r="N136" s="618"/>
      <c r="O136" s="1908"/>
      <c r="P136" s="1908"/>
      <c r="AH136" s="1915">
        <v>0</v>
      </c>
    </row>
    <row s="14077" customFormat="1" customHeight="1" ht="0.75" hidden="1">
      <c r="A137" s="2064"/>
      <c r="B137" s="2064"/>
      <c r="C137" s="653" t="s">
        <v>1162</v>
      </c>
      <c r="D137" s="2746"/>
      <c r="E137" s="2488"/>
      <c r="F137" s="2667"/>
      <c r="G137" s="684"/>
      <c r="H137" s="1784"/>
      <c r="I137" s="935"/>
      <c r="J137" s="855"/>
      <c r="K137" s="1784"/>
      <c r="L137" s="498"/>
      <c r="M137" s="625"/>
      <c r="N137" s="618"/>
      <c r="O137" s="1908"/>
      <c r="P137" s="1908"/>
      <c r="AH137" s="1915">
        <v>0</v>
      </c>
    </row>
    <row s="14077" customFormat="1" customHeight="1" ht="18.75" hidden="1">
      <c r="A138" s="2064" t="s">
        <v>270</v>
      </c>
      <c r="B138" s="2064" t="s">
        <v>271</v>
      </c>
      <c r="C138" s="653"/>
      <c r="D138" s="2746"/>
      <c r="E138" s="2488"/>
      <c r="F138" s="2667" t="str">
        <f>INDEX(PT_DIFFERENTIATION_VTAR,MATCH(A138,PT_DIFFERENTIATION_VTAR_ID,0))</f>
        <v>Тариф на водоотведение</v>
      </c>
      <c r="G138" s="2711" t="str">
        <f>INDEX(PT_DIFFERENTIATION_NTAR,MATCH(B138,PT_DIFFERENTIATION_NTAR_ID,0))</f>
        <v/>
      </c>
      <c r="H138" s="2146"/>
      <c r="I138" s="2023"/>
      <c r="J138" s="2057"/>
      <c r="K138" s="2062"/>
      <c r="L138" s="2146" t="s">
        <v>311</v>
      </c>
      <c r="M138" s="625"/>
      <c r="N138" s="618"/>
      <c r="O138" s="1908"/>
      <c r="P138" s="1908"/>
      <c r="AH138" s="1915">
        <v>0</v>
      </c>
    </row>
    <row s="14077" customFormat="1" customHeight="1" ht="18.75" hidden="1">
      <c r="A139" s="2064"/>
      <c r="B139" s="2064"/>
      <c r="C139" s="653" t="s">
        <v>1153</v>
      </c>
      <c r="D139" s="2746"/>
      <c r="E139" s="2488"/>
      <c r="F139" s="2667"/>
      <c r="G139" s="2711"/>
      <c r="H139" s="1784"/>
      <c r="I139" s="935" t="s">
        <v>1152</v>
      </c>
      <c r="J139" s="855"/>
      <c r="K139" s="1784"/>
      <c r="L139" s="498"/>
      <c r="M139" s="625"/>
      <c r="N139" s="618"/>
      <c r="O139" s="1908"/>
      <c r="P139" s="1908"/>
      <c r="AH139" s="1915">
        <v>0</v>
      </c>
    </row>
    <row s="14077" customFormat="1" customHeight="1" ht="0.75" hidden="1">
      <c r="A140" s="2064"/>
      <c r="B140" s="2064"/>
      <c r="C140" s="653" t="s">
        <v>1162</v>
      </c>
      <c r="D140" s="2746"/>
      <c r="E140" s="2488"/>
      <c r="F140" s="2667"/>
      <c r="G140" s="684"/>
      <c r="H140" s="1784"/>
      <c r="I140" s="935"/>
      <c r="J140" s="855"/>
      <c r="K140" s="1784"/>
      <c r="L140" s="498"/>
      <c r="M140" s="625"/>
      <c r="N140" s="618"/>
      <c r="O140" s="1908"/>
      <c r="P140" s="1908"/>
      <c r="AH140" s="1915">
        <v>0</v>
      </c>
    </row>
    <row s="14077" customFormat="1" customHeight="1" ht="18.75" hidden="1">
      <c r="A141" s="2064" t="s">
        <v>275</v>
      </c>
      <c r="B141" s="2064" t="s">
        <v>276</v>
      </c>
      <c r="C141" s="653"/>
      <c r="D141" s="2746"/>
      <c r="E141" s="2488"/>
      <c r="F141" s="2667" t="str">
        <f>INDEX(PT_DIFFERENTIATION_VTAR,MATCH(A141,PT_DIFFERENTIATION_VTAR_ID,0))</f>
        <v>Тариф на транспортировку сточных вод</v>
      </c>
      <c r="G141" s="2711" t="str">
        <f>INDEX(PT_DIFFERENTIATION_NTAR,MATCH(B141,PT_DIFFERENTIATION_NTAR_ID,0))</f>
        <v/>
      </c>
      <c r="H141" s="2146"/>
      <c r="I141" s="2023"/>
      <c r="J141" s="2057"/>
      <c r="K141" s="2062"/>
      <c r="L141" s="2146" t="s">
        <v>311</v>
      </c>
      <c r="M141" s="625"/>
      <c r="N141" s="618"/>
      <c r="O141" s="1908"/>
      <c r="P141" s="1908"/>
      <c r="AH141" s="1915">
        <v>0</v>
      </c>
    </row>
    <row s="14077" customFormat="1" customHeight="1" ht="18.75" hidden="1">
      <c r="A142" s="2064"/>
      <c r="B142" s="2064"/>
      <c r="C142" s="653" t="s">
        <v>1153</v>
      </c>
      <c r="D142" s="2746"/>
      <c r="E142" s="2488"/>
      <c r="F142" s="2667"/>
      <c r="G142" s="2711"/>
      <c r="H142" s="1784"/>
      <c r="I142" s="935" t="s">
        <v>1152</v>
      </c>
      <c r="J142" s="855"/>
      <c r="K142" s="1784"/>
      <c r="L142" s="498"/>
      <c r="M142" s="625"/>
      <c r="N142" s="618"/>
      <c r="O142" s="1908"/>
      <c r="P142" s="1908"/>
      <c r="AH142" s="1915">
        <v>0</v>
      </c>
    </row>
    <row s="14077" customFormat="1" customHeight="1" ht="0.75" hidden="1">
      <c r="A143" s="2064"/>
      <c r="B143" s="2064"/>
      <c r="C143" s="653" t="s">
        <v>1162</v>
      </c>
      <c r="D143" s="2746"/>
      <c r="E143" s="2488"/>
      <c r="F143" s="2667"/>
      <c r="G143" s="684"/>
      <c r="H143" s="1784"/>
      <c r="I143" s="935"/>
      <c r="J143" s="855"/>
      <c r="K143" s="1784"/>
      <c r="L143" s="498"/>
      <c r="M143" s="625"/>
      <c r="N143" s="618"/>
      <c r="O143" s="1908"/>
      <c r="P143" s="1908"/>
      <c r="AH143" s="1915">
        <v>0</v>
      </c>
    </row>
    <row s="14077" customFormat="1" customHeight="1" ht="18.75" hidden="1">
      <c r="A144" s="2064" t="s">
        <v>280</v>
      </c>
      <c r="B144" s="2064" t="s">
        <v>281</v>
      </c>
      <c r="C144" s="653"/>
      <c r="D144" s="2746"/>
      <c r="E144" s="2488"/>
      <c r="F144" s="2667" t="str">
        <f>INDEX(PT_DIFFERENTIATION_VTAR,MATCH(A144,PT_DIFFERENTIATION_VTAR_ID,0))</f>
        <v>Тариф на подключение (технологическое присоединение) к централизованной системе водоотведения</v>
      </c>
      <c r="G144" s="2711" t="str">
        <f>INDEX(PT_DIFFERENTIATION_NTAR,MATCH(B144,PT_DIFFERENTIATION_NTAR_ID,0))</f>
        <v/>
      </c>
      <c r="H144" s="2146"/>
      <c r="I144" s="2023"/>
      <c r="J144" s="2057"/>
      <c r="K144" s="2062"/>
      <c r="L144" s="2146" t="s">
        <v>311</v>
      </c>
      <c r="M144" s="625"/>
      <c r="N144" s="618"/>
      <c r="O144" s="1908"/>
      <c r="P144" s="1908"/>
      <c r="AH144" s="1915">
        <v>0</v>
      </c>
    </row>
    <row s="14077" customFormat="1" customHeight="1" ht="18.75" hidden="1">
      <c r="A145" s="2064"/>
      <c r="B145" s="2064"/>
      <c r="C145" s="653" t="s">
        <v>1153</v>
      </c>
      <c r="D145" s="2746"/>
      <c r="E145" s="2488"/>
      <c r="F145" s="2667"/>
      <c r="G145" s="2711"/>
      <c r="H145" s="1784"/>
      <c r="I145" s="935" t="s">
        <v>1152</v>
      </c>
      <c r="J145" s="855"/>
      <c r="K145" s="1784"/>
      <c r="L145" s="498"/>
      <c r="M145" s="625"/>
      <c r="N145" s="618"/>
      <c r="O145" s="1908"/>
      <c r="P145" s="1908"/>
      <c r="AH145" s="1915">
        <v>0</v>
      </c>
    </row>
    <row s="14077" customFormat="1" customHeight="1" ht="1.05">
      <c r="A146" s="2064"/>
      <c r="B146" s="2064"/>
      <c r="C146" s="653" t="s">
        <v>1162</v>
      </c>
      <c r="D146" s="2746"/>
      <c r="E146" s="2488"/>
      <c r="F146" s="2667"/>
      <c r="G146" s="684"/>
      <c r="H146" s="1784"/>
      <c r="I146" s="935"/>
      <c r="J146" s="855"/>
      <c r="K146" s="1784"/>
      <c r="L146" s="498"/>
      <c r="M146" s="625"/>
      <c r="N146" s="618"/>
      <c r="O146" s="1908"/>
      <c r="P146" s="1908"/>
      <c r="AH146" s="1915">
        <v>1</v>
      </c>
    </row>
    <row customHeight="1" ht="19.95">
      <c r="A147" s="2064"/>
      <c r="B147" s="2064"/>
      <c r="D147" s="660"/>
      <c r="E147" s="431" t="s">
        <v>92</v>
      </c>
      <c r="F147" s="2744"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полезного отпуска тепловой энергии (теплоносителя)</v>
      </c>
      <c r="G147" s="2744"/>
      <c r="H147" s="2744"/>
      <c r="I147" s="2744"/>
      <c r="J147" s="2744"/>
      <c r="K147" s="2744"/>
      <c r="L147" s="2744"/>
      <c r="M147" s="581"/>
      <c r="N147" s="618"/>
      <c r="AH147" s="658">
        <v>19</v>
      </c>
    </row>
    <row s="14077" customFormat="1" customHeight="1" ht="60.75" hidden="1">
      <c r="A148" s="2064" t="s">
        <v>156</v>
      </c>
      <c r="B148" s="2064" t="s">
        <v>157</v>
      </c>
      <c r="C148" s="653"/>
      <c r="D148" s="2746"/>
      <c r="E148" s="2488"/>
      <c r="F148" s="2667"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2711" t="str">
        <f>INDEX(PT_DIFFERENTIATION_NTAR,MATCH(B148,PT_DIFFERENTIATION_NTAR_ID,0))</f>
        <v/>
      </c>
      <c r="H148" s="2146"/>
      <c r="I148" s="2023"/>
      <c r="J148" s="2057"/>
      <c r="K148" s="2062"/>
      <c r="L148" s="2146" t="s">
        <v>311</v>
      </c>
      <c r="M148" s="2453"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годового объема полезного отпуска тепловой энергии (теплоносителя) указывается в колонке «Информация» в тыс. Гкал
В случае дифференциации полезного отпуска тепловой энергии (теплоносителя) по видам тарифов и (или) по срокам действия тарифов информация указывается в отдельных строках.</v>
      </c>
      <c r="N148" s="618"/>
      <c r="O148" s="1908"/>
      <c r="P148" s="1908"/>
      <c r="AH148" s="1915">
        <v>0</v>
      </c>
    </row>
    <row s="14077" customFormat="1" customHeight="1" ht="18.75" hidden="1">
      <c r="A149" s="2064"/>
      <c r="B149" s="2064"/>
      <c r="C149" s="653" t="s">
        <v>1153</v>
      </c>
      <c r="D149" s="2746"/>
      <c r="E149" s="2488"/>
      <c r="F149" s="2667"/>
      <c r="G149" s="2711"/>
      <c r="H149" s="1784"/>
      <c r="I149" s="935" t="s">
        <v>1152</v>
      </c>
      <c r="J149" s="855"/>
      <c r="K149" s="1784"/>
      <c r="L149" s="498"/>
      <c r="M149" s="2454"/>
      <c r="N149" s="618"/>
      <c r="O149" s="1908"/>
      <c r="P149" s="1908"/>
      <c r="AH149" s="1915">
        <v>0</v>
      </c>
    </row>
    <row s="14077" customFormat="1" customHeight="1" ht="0.75" hidden="1">
      <c r="A150" s="2064"/>
      <c r="B150" s="2064"/>
      <c r="C150" s="653" t="s">
        <v>1162</v>
      </c>
      <c r="D150" s="2746"/>
      <c r="E150" s="2488"/>
      <c r="F150" s="2667"/>
      <c r="G150" s="684"/>
      <c r="H150" s="1784"/>
      <c r="I150" s="935"/>
      <c r="J150" s="855"/>
      <c r="K150" s="1784"/>
      <c r="L150" s="498"/>
      <c r="M150" s="2454"/>
      <c r="N150" s="618"/>
      <c r="O150" s="1908"/>
      <c r="P150" s="1908"/>
      <c r="AH150" s="1915">
        <v>0</v>
      </c>
    </row>
    <row s="14077" customFormat="1" customHeight="1" ht="45">
      <c r="A151" s="2064" t="s">
        <v>164</v>
      </c>
      <c r="B151" s="2064" t="s">
        <v>165</v>
      </c>
      <c r="C151" s="653"/>
      <c r="D151" s="2746"/>
      <c r="E151" s="2488"/>
      <c r="F151" s="2667" t="str">
        <f>INDEX(PT_DIFFERENTIATION_VTAR,MATCH(A151,PT_DIFFERENTIATION_VTAR_ID,0))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151" s="2711" t="str">
        <f>INDEX(PT_DIFFERENTIATION_NTAR,MATCH(B151,PT_DIFFERENTIATION_NTAR_ID,0))</f>
        <v>Тариф на тепловую энергию</v>
      </c>
      <c r="H151" s="2146"/>
      <c r="I151" s="4922">
        <v>45658</v>
      </c>
      <c r="J151" s="4923">
        <v>46022</v>
      </c>
      <c r="K151" s="2062">
        <v>171.09</v>
      </c>
      <c r="L151" s="2146" t="s">
        <v>311</v>
      </c>
      <c r="M151" s="2455"/>
      <c r="N151" s="618"/>
      <c r="O151" s="1908"/>
      <c r="P151" s="1908"/>
      <c r="AH151" s="1915">
        <v>0</v>
      </c>
    </row>
    <row s="14077" customFormat="1" customHeight="1" ht="18.75">
      <c r="A152" s="2064"/>
      <c r="B152" s="2064"/>
      <c r="C152" s="653" t="s">
        <v>1153</v>
      </c>
      <c r="D152" s="2746"/>
      <c r="E152" s="2488"/>
      <c r="F152" s="2667"/>
      <c r="G152" s="2711"/>
      <c r="H152" s="1784"/>
      <c r="I152" s="935" t="s">
        <v>1152</v>
      </c>
      <c r="J152" s="855"/>
      <c r="K152" s="1784"/>
      <c r="L152" s="498"/>
      <c r="M152" s="2145"/>
      <c r="N152" s="618"/>
      <c r="O152" s="1908"/>
      <c r="P152" s="1908"/>
      <c r="AH152" s="1915">
        <v>0</v>
      </c>
    </row>
    <row s="14077" customFormat="1" customHeight="1" ht="0.75">
      <c r="A153" s="2064"/>
      <c r="B153" s="2064"/>
      <c r="C153" s="653" t="s">
        <v>1162</v>
      </c>
      <c r="D153" s="2746"/>
      <c r="E153" s="2488"/>
      <c r="F153" s="2667"/>
      <c r="G153" s="684"/>
      <c r="H153" s="1784"/>
      <c r="I153" s="935"/>
      <c r="J153" s="855"/>
      <c r="K153" s="1784"/>
      <c r="L153" s="498"/>
      <c r="M153" s="625"/>
      <c r="N153" s="618"/>
      <c r="O153" s="1908"/>
      <c r="P153" s="1908"/>
      <c r="AH153" s="1915">
        <v>0</v>
      </c>
    </row>
    <row s="14077" customFormat="1" customHeight="1" ht="45" hidden="1">
      <c r="A154" s="2064" t="s">
        <v>174</v>
      </c>
      <c r="B154" s="2064" t="s">
        <v>175</v>
      </c>
      <c r="C154" s="653"/>
      <c r="D154" s="2746"/>
      <c r="E154" s="2488"/>
      <c r="F154" s="2667"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2711" t="str">
        <f>INDEX(PT_DIFFERENTIATION_NTAR,MATCH(B154,PT_DIFFERENTIATION_NTAR_ID,0))</f>
        <v/>
      </c>
      <c r="H154" s="2146"/>
      <c r="I154" s="2023"/>
      <c r="J154" s="2057"/>
      <c r="K154" s="2062"/>
      <c r="L154" s="2146" t="s">
        <v>311</v>
      </c>
      <c r="M154" s="625"/>
      <c r="N154" s="618"/>
      <c r="O154" s="1908"/>
      <c r="P154" s="1908"/>
      <c r="AH154" s="1915">
        <v>0</v>
      </c>
    </row>
    <row s="14077" customFormat="1" customHeight="1" ht="18.75" hidden="1">
      <c r="A155" s="2064"/>
      <c r="B155" s="2064"/>
      <c r="C155" s="653" t="s">
        <v>1153</v>
      </c>
      <c r="D155" s="2746"/>
      <c r="E155" s="2488"/>
      <c r="F155" s="2667"/>
      <c r="G155" s="2711"/>
      <c r="H155" s="1784"/>
      <c r="I155" s="935" t="s">
        <v>1152</v>
      </c>
      <c r="J155" s="855"/>
      <c r="K155" s="1784"/>
      <c r="L155" s="498"/>
      <c r="M155" s="625"/>
      <c r="N155" s="618"/>
      <c r="O155" s="1908"/>
      <c r="P155" s="1908"/>
      <c r="AH155" s="1915">
        <v>0</v>
      </c>
    </row>
    <row s="14077" customFormat="1" customHeight="1" ht="0.75" hidden="1">
      <c r="A156" s="2064"/>
      <c r="B156" s="2064"/>
      <c r="C156" s="653" t="s">
        <v>1162</v>
      </c>
      <c r="D156" s="2746"/>
      <c r="E156" s="2488"/>
      <c r="F156" s="2667"/>
      <c r="G156" s="684"/>
      <c r="H156" s="1784"/>
      <c r="I156" s="935"/>
      <c r="J156" s="855"/>
      <c r="K156" s="1784"/>
      <c r="L156" s="498"/>
      <c r="M156" s="625"/>
      <c r="N156" s="618"/>
      <c r="O156" s="1908"/>
      <c r="P156" s="1908"/>
      <c r="AH156" s="1915">
        <v>0</v>
      </c>
    </row>
    <row s="14077" customFormat="1" customHeight="1" ht="45" hidden="1">
      <c r="A157" s="2064" t="s">
        <v>180</v>
      </c>
      <c r="B157" s="2064" t="s">
        <v>181</v>
      </c>
      <c r="C157" s="653"/>
      <c r="D157" s="2746"/>
      <c r="E157" s="2488"/>
      <c r="F157" s="2667"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2711" t="str">
        <f>INDEX(PT_DIFFERENTIATION_NTAR,MATCH(B157,PT_DIFFERENTIATION_NTAR_ID,0))</f>
        <v/>
      </c>
      <c r="H157" s="2146"/>
      <c r="I157" s="2023"/>
      <c r="J157" s="2057"/>
      <c r="K157" s="2062"/>
      <c r="L157" s="2146" t="s">
        <v>311</v>
      </c>
      <c r="M157" s="625"/>
      <c r="N157" s="618"/>
      <c r="O157" s="1908"/>
      <c r="P157" s="1908"/>
      <c r="AH157" s="1915">
        <v>0</v>
      </c>
    </row>
    <row s="14077" customFormat="1" customHeight="1" ht="18.75" hidden="1">
      <c r="A158" s="2064"/>
      <c r="B158" s="2064"/>
      <c r="C158" s="653" t="s">
        <v>1153</v>
      </c>
      <c r="D158" s="2746"/>
      <c r="E158" s="2488"/>
      <c r="F158" s="2667"/>
      <c r="G158" s="2711"/>
      <c r="H158" s="1784"/>
      <c r="I158" s="935" t="s">
        <v>1152</v>
      </c>
      <c r="J158" s="855"/>
      <c r="K158" s="1784"/>
      <c r="L158" s="498"/>
      <c r="M158" s="625"/>
      <c r="N158" s="618"/>
      <c r="O158" s="1908"/>
      <c r="P158" s="1908"/>
      <c r="AH158" s="1915">
        <v>0</v>
      </c>
    </row>
    <row s="14077" customFormat="1" customHeight="1" ht="0.75" hidden="1">
      <c r="A159" s="2064"/>
      <c r="B159" s="2064"/>
      <c r="C159" s="653" t="s">
        <v>1162</v>
      </c>
      <c r="D159" s="2746"/>
      <c r="E159" s="2488"/>
      <c r="F159" s="2667"/>
      <c r="G159" s="684"/>
      <c r="H159" s="1784"/>
      <c r="I159" s="935"/>
      <c r="J159" s="855"/>
      <c r="K159" s="1784"/>
      <c r="L159" s="498"/>
      <c r="M159" s="625"/>
      <c r="N159" s="618"/>
      <c r="O159" s="1908"/>
      <c r="P159" s="1908"/>
      <c r="AH159" s="1915">
        <v>0</v>
      </c>
    </row>
    <row s="14077" customFormat="1" customHeight="1" ht="18.75" hidden="1">
      <c r="A160" s="2064" t="s">
        <v>186</v>
      </c>
      <c r="B160" s="2064" t="s">
        <v>187</v>
      </c>
      <c r="C160" s="653"/>
      <c r="D160" s="2746"/>
      <c r="E160" s="2488"/>
      <c r="F160" s="2667" t="str">
        <f>INDEX(PT_DIFFERENTIATION_VTAR,MATCH(A160,PT_DIFFERENTIATION_VTAR_ID,0))</f>
        <v>Тарифы на услуги по передаче тепловой энергии</v>
      </c>
      <c r="G160" s="2711" t="str">
        <f>INDEX(PT_DIFFERENTIATION_NTAR,MATCH(B160,PT_DIFFERENTIATION_NTAR_ID,0))</f>
        <v/>
      </c>
      <c r="H160" s="2146"/>
      <c r="I160" s="2023"/>
      <c r="J160" s="2057"/>
      <c r="K160" s="2062"/>
      <c r="L160" s="2146" t="s">
        <v>311</v>
      </c>
      <c r="M160" s="625"/>
      <c r="N160" s="618"/>
      <c r="O160" s="1908"/>
      <c r="P160" s="1908"/>
      <c r="AH160" s="1915">
        <v>0</v>
      </c>
    </row>
    <row s="14077" customFormat="1" customHeight="1" ht="18.75" hidden="1">
      <c r="A161" s="2064"/>
      <c r="B161" s="2064"/>
      <c r="C161" s="653" t="s">
        <v>1153</v>
      </c>
      <c r="D161" s="2746"/>
      <c r="E161" s="2488"/>
      <c r="F161" s="2667"/>
      <c r="G161" s="2711"/>
      <c r="H161" s="1784"/>
      <c r="I161" s="935" t="s">
        <v>1152</v>
      </c>
      <c r="J161" s="855"/>
      <c r="K161" s="1784"/>
      <c r="L161" s="498"/>
      <c r="M161" s="625"/>
      <c r="N161" s="618"/>
      <c r="O161" s="1908"/>
      <c r="P161" s="1908"/>
      <c r="AH161" s="1915">
        <v>0</v>
      </c>
    </row>
    <row s="14077" customFormat="1" customHeight="1" ht="0.75" hidden="1">
      <c r="A162" s="2064"/>
      <c r="B162" s="2064"/>
      <c r="C162" s="653" t="s">
        <v>1162</v>
      </c>
      <c r="D162" s="2746"/>
      <c r="E162" s="2488"/>
      <c r="F162" s="2667"/>
      <c r="G162" s="684"/>
      <c r="H162" s="1784"/>
      <c r="I162" s="935"/>
      <c r="J162" s="855"/>
      <c r="K162" s="1784"/>
      <c r="L162" s="498"/>
      <c r="M162" s="625"/>
      <c r="N162" s="618"/>
      <c r="O162" s="1908"/>
      <c r="P162" s="1908"/>
      <c r="AH162" s="1915">
        <v>0</v>
      </c>
    </row>
    <row s="14077" customFormat="1" customHeight="1" ht="18.75" hidden="1">
      <c r="A163" s="2064" t="s">
        <v>192</v>
      </c>
      <c r="B163" s="2064" t="s">
        <v>193</v>
      </c>
      <c r="C163" s="653"/>
      <c r="D163" s="2746"/>
      <c r="E163" s="2488"/>
      <c r="F163" s="2667" t="str">
        <f>INDEX(PT_DIFFERENTIATION_VTAR,MATCH(A163,PT_DIFFERENTIATION_VTAR_ID,0))</f>
        <v>Тарифы на услуги по передаче теплоносителя</v>
      </c>
      <c r="G163" s="2711" t="str">
        <f>INDEX(PT_DIFFERENTIATION_NTAR,MATCH(B163,PT_DIFFERENTIATION_NTAR_ID,0))</f>
        <v/>
      </c>
      <c r="H163" s="2146"/>
      <c r="I163" s="2023"/>
      <c r="J163" s="2057"/>
      <c r="K163" s="2062"/>
      <c r="L163" s="2146" t="s">
        <v>311</v>
      </c>
      <c r="M163" s="625"/>
      <c r="N163" s="618"/>
      <c r="O163" s="1908"/>
      <c r="P163" s="1908"/>
      <c r="AH163" s="1915">
        <v>0</v>
      </c>
    </row>
    <row s="14077" customFormat="1" customHeight="1" ht="18.75" hidden="1">
      <c r="A164" s="2064"/>
      <c r="B164" s="2064"/>
      <c r="C164" s="653" t="s">
        <v>1153</v>
      </c>
      <c r="D164" s="2746"/>
      <c r="E164" s="2488"/>
      <c r="F164" s="2667"/>
      <c r="G164" s="2711"/>
      <c r="H164" s="1784"/>
      <c r="I164" s="935" t="s">
        <v>1152</v>
      </c>
      <c r="J164" s="855"/>
      <c r="K164" s="1784"/>
      <c r="L164" s="498"/>
      <c r="M164" s="625"/>
      <c r="N164" s="618"/>
      <c r="O164" s="1908"/>
      <c r="P164" s="1908"/>
      <c r="AH164" s="1915">
        <v>0</v>
      </c>
    </row>
    <row s="14077" customFormat="1" customHeight="1" ht="0.75" hidden="1">
      <c r="A165" s="2064"/>
      <c r="B165" s="2064"/>
      <c r="C165" s="653" t="s">
        <v>1162</v>
      </c>
      <c r="D165" s="2746"/>
      <c r="E165" s="2488"/>
      <c r="F165" s="2667"/>
      <c r="G165" s="684"/>
      <c r="H165" s="1784"/>
      <c r="I165" s="935"/>
      <c r="J165" s="855"/>
      <c r="K165" s="1784"/>
      <c r="L165" s="498"/>
      <c r="M165" s="625"/>
      <c r="N165" s="618"/>
      <c r="O165" s="1908"/>
      <c r="P165" s="1908"/>
      <c r="AH165" s="1915">
        <v>0</v>
      </c>
    </row>
    <row s="14077" customFormat="1" customHeight="1" ht="18.75" hidden="1">
      <c r="A166" s="2064" t="s">
        <v>198</v>
      </c>
      <c r="B166" s="2064" t="s">
        <v>199</v>
      </c>
      <c r="C166" s="653"/>
      <c r="D166" s="2746"/>
      <c r="E166" s="2488"/>
      <c r="F166" s="2667" t="str">
        <f>INDEX(PT_DIFFERENTIATION_VTAR,MATCH(A166,PT_DIFFERENTIATION_VTAR_ID,0))</f>
        <v>Плата за услуги по поддержанию резервной тепловой мощности при отсутствии потребления тепловой энергии</v>
      </c>
      <c r="G166" s="2711" t="str">
        <f>INDEX(PT_DIFFERENTIATION_NTAR,MATCH(B166,PT_DIFFERENTIATION_NTAR_ID,0))</f>
        <v/>
      </c>
      <c r="H166" s="2146"/>
      <c r="I166" s="2023"/>
      <c r="J166" s="2057"/>
      <c r="K166" s="2062"/>
      <c r="L166" s="2146" t="s">
        <v>311</v>
      </c>
      <c r="M166" s="625"/>
      <c r="N166" s="618"/>
      <c r="O166" s="1908"/>
      <c r="P166" s="1908"/>
      <c r="AH166" s="1915">
        <v>0</v>
      </c>
    </row>
    <row s="14077" customFormat="1" customHeight="1" ht="18.75" hidden="1">
      <c r="A167" s="2064"/>
      <c r="B167" s="2064"/>
      <c r="C167" s="653" t="s">
        <v>1153</v>
      </c>
      <c r="D167" s="2746"/>
      <c r="E167" s="2488"/>
      <c r="F167" s="2667"/>
      <c r="G167" s="2711"/>
      <c r="H167" s="1784"/>
      <c r="I167" s="935" t="s">
        <v>1152</v>
      </c>
      <c r="J167" s="855"/>
      <c r="K167" s="1784"/>
      <c r="L167" s="498"/>
      <c r="M167" s="625"/>
      <c r="N167" s="618"/>
      <c r="O167" s="1908"/>
      <c r="P167" s="1908"/>
      <c r="AH167" s="1915">
        <v>0</v>
      </c>
    </row>
    <row s="14077" customFormat="1" customHeight="1" ht="0.75" hidden="1">
      <c r="A168" s="2064"/>
      <c r="B168" s="2064"/>
      <c r="C168" s="653" t="s">
        <v>1162</v>
      </c>
      <c r="D168" s="2746"/>
      <c r="E168" s="2488"/>
      <c r="F168" s="2667"/>
      <c r="G168" s="684"/>
      <c r="H168" s="1784"/>
      <c r="I168" s="935"/>
      <c r="J168" s="855"/>
      <c r="K168" s="1784"/>
      <c r="L168" s="498"/>
      <c r="M168" s="625"/>
      <c r="N168" s="618"/>
      <c r="O168" s="1908"/>
      <c r="P168" s="1908"/>
      <c r="AH168" s="1915">
        <v>0</v>
      </c>
    </row>
    <row s="14077" customFormat="1" customHeight="1" ht="18.75" hidden="1">
      <c r="A169" s="2064" t="s">
        <v>204</v>
      </c>
      <c r="B169" s="2064" t="s">
        <v>205</v>
      </c>
      <c r="C169" s="653"/>
      <c r="D169" s="2746"/>
      <c r="E169" s="2488"/>
      <c r="F169" s="2667" t="str">
        <f>INDEX(PT_DIFFERENTIATION_VTAR,MATCH(A169,PT_DIFFERENTIATION_VTAR_ID,0))</f>
        <v>Плата за подключение (технологическое присоединение) к системе теплоснабжения</v>
      </c>
      <c r="G169" s="2711" t="str">
        <f>INDEX(PT_DIFFERENTIATION_NTAR,MATCH(B169,PT_DIFFERENTIATION_NTAR_ID,0))</f>
        <v/>
      </c>
      <c r="H169" s="2146"/>
      <c r="I169" s="2023"/>
      <c r="J169" s="2057"/>
      <c r="K169" s="2062"/>
      <c r="L169" s="2146" t="s">
        <v>311</v>
      </c>
      <c r="M169" s="625"/>
      <c r="N169" s="618"/>
      <c r="O169" s="1908"/>
      <c r="P169" s="1908"/>
      <c r="AH169" s="1915">
        <v>0</v>
      </c>
    </row>
    <row s="14077" customFormat="1" customHeight="1" ht="18.75" hidden="1">
      <c r="A170" s="2064"/>
      <c r="B170" s="2064"/>
      <c r="C170" s="653" t="s">
        <v>1153</v>
      </c>
      <c r="D170" s="2746"/>
      <c r="E170" s="2488"/>
      <c r="F170" s="2667"/>
      <c r="G170" s="2711"/>
      <c r="H170" s="1784"/>
      <c r="I170" s="935" t="s">
        <v>1152</v>
      </c>
      <c r="J170" s="855"/>
      <c r="K170" s="1784"/>
      <c r="L170" s="498"/>
      <c r="M170" s="625"/>
      <c r="N170" s="618"/>
      <c r="O170" s="1908"/>
      <c r="P170" s="1908"/>
      <c r="AH170" s="1915">
        <v>0</v>
      </c>
    </row>
    <row s="14077" customFormat="1" customHeight="1" ht="0.75" hidden="1">
      <c r="A171" s="2064"/>
      <c r="B171" s="2064"/>
      <c r="C171" s="653" t="s">
        <v>1162</v>
      </c>
      <c r="D171" s="2746"/>
      <c r="E171" s="2488"/>
      <c r="F171" s="2667"/>
      <c r="G171" s="684"/>
      <c r="H171" s="1784"/>
      <c r="I171" s="935"/>
      <c r="J171" s="855"/>
      <c r="K171" s="1784"/>
      <c r="L171" s="498"/>
      <c r="M171" s="625"/>
      <c r="N171" s="618"/>
      <c r="O171" s="1908"/>
      <c r="P171" s="1908"/>
      <c r="AH171" s="1915">
        <v>0</v>
      </c>
    </row>
    <row s="14077" customFormat="1" customHeight="1" ht="18.75" hidden="1">
      <c r="A172" s="2064" t="s">
        <v>210</v>
      </c>
      <c r="B172" s="2064" t="s">
        <v>211</v>
      </c>
      <c r="C172" s="653"/>
      <c r="D172" s="2746"/>
      <c r="E172" s="2488"/>
      <c r="F172" s="2667" t="str">
        <f>INDEX(PT_DIFFERENTIATION_VTAR,MATCH(A172,PT_DIFFERENTIATION_VTAR_ID,0))</f>
        <v>Плата за подключение (технологическое присоединение) к системе теплоснабжения (индивидуальная)</v>
      </c>
      <c r="G172" s="2711" t="str">
        <f>INDEX(PT_DIFFERENTIATION_NTAR,MATCH(B172,PT_DIFFERENTIATION_NTAR_ID,0))</f>
        <v/>
      </c>
      <c r="H172" s="2273"/>
      <c r="I172" s="2023"/>
      <c r="J172" s="2057"/>
      <c r="K172" s="2062"/>
      <c r="L172" s="2273" t="s">
        <v>311</v>
      </c>
      <c r="M172" s="625"/>
      <c r="N172" s="618"/>
      <c r="O172" s="1908"/>
      <c r="P172" s="1908"/>
      <c r="AH172" s="1915">
        <v>0</v>
      </c>
    </row>
    <row s="14077" customFormat="1" customHeight="1" ht="18.75" hidden="1">
      <c r="A173" s="2064"/>
      <c r="B173" s="2064"/>
      <c r="C173" s="653" t="s">
        <v>1153</v>
      </c>
      <c r="D173" s="2746"/>
      <c r="E173" s="2488"/>
      <c r="F173" s="2667"/>
      <c r="G173" s="2711"/>
      <c r="H173" s="1784"/>
      <c r="I173" s="935" t="s">
        <v>1152</v>
      </c>
      <c r="J173" s="855"/>
      <c r="K173" s="1784"/>
      <c r="L173" s="498"/>
      <c r="M173" s="625"/>
      <c r="N173" s="618"/>
      <c r="O173" s="1908"/>
      <c r="P173" s="1908"/>
      <c r="AH173" s="1915">
        <v>0</v>
      </c>
    </row>
    <row s="14077" customFormat="1" customHeight="1" ht="0.75" hidden="1">
      <c r="A174" s="2064"/>
      <c r="B174" s="2064"/>
      <c r="C174" s="653" t="s">
        <v>1162</v>
      </c>
      <c r="D174" s="2746"/>
      <c r="E174" s="2488"/>
      <c r="F174" s="2667"/>
      <c r="G174" s="684"/>
      <c r="H174" s="1784"/>
      <c r="I174" s="935"/>
      <c r="J174" s="855"/>
      <c r="K174" s="1784"/>
      <c r="L174" s="498"/>
      <c r="M174" s="625"/>
      <c r="N174" s="618"/>
      <c r="O174" s="1908"/>
      <c r="P174" s="1908"/>
      <c r="AH174" s="1915">
        <v>0</v>
      </c>
    </row>
    <row s="14077" customFormat="1" customHeight="1" ht="18.75" hidden="1">
      <c r="A175" s="2064" t="s">
        <v>230</v>
      </c>
      <c r="B175" s="2064" t="s">
        <v>231</v>
      </c>
      <c r="C175" s="653"/>
      <c r="D175" s="2746"/>
      <c r="E175" s="2488"/>
      <c r="F175" s="2667" t="str">
        <f>INDEX(PT_DIFFERENTIATION_VTAR,MATCH(A175,PT_DIFFERENTIATION_VTAR_ID,0))</f>
        <v>Тариф на питьевую воду (питьевое водоснабжение)</v>
      </c>
      <c r="G175" s="2711" t="str">
        <f>INDEX(PT_DIFFERENTIATION_NTAR,MATCH(B175,PT_DIFFERENTIATION_NTAR_ID,0))</f>
        <v/>
      </c>
      <c r="H175" s="2146"/>
      <c r="I175" s="2023"/>
      <c r="J175" s="2057"/>
      <c r="K175" s="2062"/>
      <c r="L175" s="2146" t="s">
        <v>311</v>
      </c>
      <c r="M175" s="625"/>
      <c r="N175" s="618"/>
      <c r="O175" s="1908"/>
      <c r="P175" s="1908"/>
      <c r="AH175" s="1915">
        <v>0</v>
      </c>
    </row>
    <row s="14077" customFormat="1" customHeight="1" ht="18.75" hidden="1">
      <c r="A176" s="2064"/>
      <c r="B176" s="2064"/>
      <c r="C176" s="653" t="s">
        <v>1153</v>
      </c>
      <c r="D176" s="2746"/>
      <c r="E176" s="2488"/>
      <c r="F176" s="2667"/>
      <c r="G176" s="2711"/>
      <c r="H176" s="1784"/>
      <c r="I176" s="935" t="s">
        <v>1152</v>
      </c>
      <c r="J176" s="855"/>
      <c r="K176" s="1784"/>
      <c r="L176" s="498"/>
      <c r="M176" s="625"/>
      <c r="N176" s="618"/>
      <c r="O176" s="1908"/>
      <c r="P176" s="1908"/>
      <c r="AH176" s="1915">
        <v>0</v>
      </c>
    </row>
    <row s="14077" customFormat="1" customHeight="1" ht="0.75" hidden="1">
      <c r="A177" s="2064"/>
      <c r="B177" s="2064"/>
      <c r="C177" s="653" t="s">
        <v>1162</v>
      </c>
      <c r="D177" s="2746"/>
      <c r="E177" s="2488"/>
      <c r="F177" s="2667"/>
      <c r="G177" s="684"/>
      <c r="H177" s="1784"/>
      <c r="I177" s="935"/>
      <c r="J177" s="855"/>
      <c r="K177" s="1784"/>
      <c r="L177" s="498"/>
      <c r="M177" s="625"/>
      <c r="N177" s="618"/>
      <c r="O177" s="1908"/>
      <c r="P177" s="1908"/>
      <c r="AH177" s="1915">
        <v>0</v>
      </c>
    </row>
    <row s="14077" customFormat="1" customHeight="1" ht="18.75" hidden="1">
      <c r="A178" s="2064" t="s">
        <v>235</v>
      </c>
      <c r="B178" s="2064" t="s">
        <v>236</v>
      </c>
      <c r="C178" s="653"/>
      <c r="D178" s="2746"/>
      <c r="E178" s="2488"/>
      <c r="F178" s="2667" t="str">
        <f>INDEX(PT_DIFFERENTIATION_VTAR,MATCH(A178,PT_DIFFERENTIATION_VTAR_ID,0))</f>
        <v>Тариф на техническую воду</v>
      </c>
      <c r="G178" s="2711" t="str">
        <f>INDEX(PT_DIFFERENTIATION_NTAR,MATCH(B178,PT_DIFFERENTIATION_NTAR_ID,0))</f>
        <v/>
      </c>
      <c r="H178" s="2146"/>
      <c r="I178" s="2023"/>
      <c r="J178" s="2057"/>
      <c r="K178" s="2062"/>
      <c r="L178" s="2146" t="s">
        <v>311</v>
      </c>
      <c r="M178" s="625"/>
      <c r="N178" s="618"/>
      <c r="O178" s="1908"/>
      <c r="P178" s="1908"/>
      <c r="AH178" s="1915">
        <v>0</v>
      </c>
    </row>
    <row s="14077" customFormat="1" customHeight="1" ht="18.75" hidden="1">
      <c r="A179" s="2064"/>
      <c r="B179" s="2064"/>
      <c r="C179" s="653" t="s">
        <v>1153</v>
      </c>
      <c r="D179" s="2746"/>
      <c r="E179" s="2488"/>
      <c r="F179" s="2667"/>
      <c r="G179" s="2711"/>
      <c r="H179" s="1784"/>
      <c r="I179" s="935" t="s">
        <v>1152</v>
      </c>
      <c r="J179" s="855"/>
      <c r="K179" s="1784"/>
      <c r="L179" s="498"/>
      <c r="M179" s="625"/>
      <c r="N179" s="618"/>
      <c r="O179" s="1908"/>
      <c r="P179" s="1908"/>
      <c r="AH179" s="1915">
        <v>0</v>
      </c>
    </row>
    <row s="14077" customFormat="1" customHeight="1" ht="0.75" hidden="1">
      <c r="A180" s="2064"/>
      <c r="B180" s="2064"/>
      <c r="C180" s="653" t="s">
        <v>1162</v>
      </c>
      <c r="D180" s="2746"/>
      <c r="E180" s="2488"/>
      <c r="F180" s="2667"/>
      <c r="G180" s="684"/>
      <c r="H180" s="1784"/>
      <c r="I180" s="935"/>
      <c r="J180" s="855"/>
      <c r="K180" s="1784"/>
      <c r="L180" s="498"/>
      <c r="M180" s="625"/>
      <c r="N180" s="618"/>
      <c r="O180" s="1908"/>
      <c r="P180" s="1908"/>
      <c r="AH180" s="1915">
        <v>0</v>
      </c>
    </row>
    <row s="14077" customFormat="1" customHeight="1" ht="18.75" hidden="1">
      <c r="A181" s="2064" t="s">
        <v>240</v>
      </c>
      <c r="B181" s="2064" t="s">
        <v>241</v>
      </c>
      <c r="C181" s="653"/>
      <c r="D181" s="2746"/>
      <c r="E181" s="2488"/>
      <c r="F181" s="2667" t="str">
        <f>INDEX(PT_DIFFERENTIATION_VTAR,MATCH(A181,PT_DIFFERENTIATION_VTAR_ID,0))</f>
        <v>Тариф на транспортировку воды</v>
      </c>
      <c r="G181" s="2711" t="str">
        <f>INDEX(PT_DIFFERENTIATION_NTAR,MATCH(B181,PT_DIFFERENTIATION_NTAR_ID,0))</f>
        <v/>
      </c>
      <c r="H181" s="2146"/>
      <c r="I181" s="2023"/>
      <c r="J181" s="2057"/>
      <c r="K181" s="2062"/>
      <c r="L181" s="2146" t="s">
        <v>311</v>
      </c>
      <c r="M181" s="625"/>
      <c r="N181" s="618"/>
      <c r="O181" s="1908"/>
      <c r="P181" s="1908"/>
      <c r="AH181" s="1915">
        <v>0</v>
      </c>
    </row>
    <row s="14077" customFormat="1" customHeight="1" ht="18.75" hidden="1">
      <c r="A182" s="2064"/>
      <c r="B182" s="2064"/>
      <c r="C182" s="653" t="s">
        <v>1153</v>
      </c>
      <c r="D182" s="2746"/>
      <c r="E182" s="2488"/>
      <c r="F182" s="2667"/>
      <c r="G182" s="2711"/>
      <c r="H182" s="1784"/>
      <c r="I182" s="935" t="s">
        <v>1152</v>
      </c>
      <c r="J182" s="855"/>
      <c r="K182" s="1784"/>
      <c r="L182" s="498"/>
      <c r="M182" s="625"/>
      <c r="N182" s="618"/>
      <c r="O182" s="1908"/>
      <c r="P182" s="1908"/>
      <c r="AH182" s="1915">
        <v>0</v>
      </c>
    </row>
    <row s="14077" customFormat="1" customHeight="1" ht="0.75" hidden="1">
      <c r="A183" s="2064"/>
      <c r="B183" s="2064"/>
      <c r="C183" s="653" t="s">
        <v>1162</v>
      </c>
      <c r="D183" s="2746"/>
      <c r="E183" s="2488"/>
      <c r="F183" s="2667"/>
      <c r="G183" s="684"/>
      <c r="H183" s="1784"/>
      <c r="I183" s="935"/>
      <c r="J183" s="855"/>
      <c r="K183" s="1784"/>
      <c r="L183" s="498"/>
      <c r="M183" s="625"/>
      <c r="N183" s="618"/>
      <c r="O183" s="1908"/>
      <c r="P183" s="1908"/>
      <c r="AH183" s="1915">
        <v>0</v>
      </c>
    </row>
    <row s="14077" customFormat="1" customHeight="1" ht="18.75" hidden="1">
      <c r="A184" s="2064" t="s">
        <v>245</v>
      </c>
      <c r="B184" s="2064" t="s">
        <v>246</v>
      </c>
      <c r="C184" s="653"/>
      <c r="D184" s="2746"/>
      <c r="E184" s="2488"/>
      <c r="F184" s="2667" t="str">
        <f>INDEX(PT_DIFFERENTIATION_VTAR,MATCH(A184,PT_DIFFERENTIATION_VTAR_ID,0))</f>
        <v>Тариф на подвоз воды</v>
      </c>
      <c r="G184" s="2711" t="str">
        <f>INDEX(PT_DIFFERENTIATION_NTAR,MATCH(B184,PT_DIFFERENTIATION_NTAR_ID,0))</f>
        <v/>
      </c>
      <c r="H184" s="2146"/>
      <c r="I184" s="2023"/>
      <c r="J184" s="2057"/>
      <c r="K184" s="2062"/>
      <c r="L184" s="2146" t="s">
        <v>311</v>
      </c>
      <c r="M184" s="625"/>
      <c r="N184" s="618"/>
      <c r="O184" s="1908"/>
      <c r="P184" s="1908"/>
      <c r="AH184" s="1915">
        <v>0</v>
      </c>
    </row>
    <row s="14077" customFormat="1" customHeight="1" ht="18.75" hidden="1">
      <c r="A185" s="2064"/>
      <c r="B185" s="2064"/>
      <c r="C185" s="653" t="s">
        <v>1153</v>
      </c>
      <c r="D185" s="2746"/>
      <c r="E185" s="2488"/>
      <c r="F185" s="2667"/>
      <c r="G185" s="2711"/>
      <c r="H185" s="1784"/>
      <c r="I185" s="935" t="s">
        <v>1152</v>
      </c>
      <c r="J185" s="855"/>
      <c r="K185" s="1784"/>
      <c r="L185" s="498"/>
      <c r="M185" s="625"/>
      <c r="N185" s="618"/>
      <c r="O185" s="1908"/>
      <c r="P185" s="1908"/>
      <c r="AH185" s="1915">
        <v>0</v>
      </c>
    </row>
    <row s="14077" customFormat="1" customHeight="1" ht="0.75" hidden="1">
      <c r="A186" s="2064"/>
      <c r="B186" s="2064"/>
      <c r="C186" s="653" t="s">
        <v>1162</v>
      </c>
      <c r="D186" s="2746"/>
      <c r="E186" s="2488"/>
      <c r="F186" s="2667"/>
      <c r="G186" s="684"/>
      <c r="H186" s="1784"/>
      <c r="I186" s="935"/>
      <c r="J186" s="855"/>
      <c r="K186" s="1784"/>
      <c r="L186" s="498"/>
      <c r="M186" s="625"/>
      <c r="N186" s="618"/>
      <c r="O186" s="1908"/>
      <c r="P186" s="1908"/>
      <c r="AH186" s="1915">
        <v>0</v>
      </c>
    </row>
    <row s="14077" customFormat="1" customHeight="1" ht="18.75" hidden="1">
      <c r="A187" s="2064" t="s">
        <v>250</v>
      </c>
      <c r="B187" s="2064" t="s">
        <v>251</v>
      </c>
      <c r="C187" s="653"/>
      <c r="D187" s="2746"/>
      <c r="E187" s="2488"/>
      <c r="F187" s="2667"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2711" t="str">
        <f>INDEX(PT_DIFFERENTIATION_NTAR,MATCH(B187,PT_DIFFERENTIATION_NTAR_ID,0))</f>
        <v/>
      </c>
      <c r="H187" s="2146"/>
      <c r="I187" s="2023"/>
      <c r="J187" s="2057"/>
      <c r="K187" s="2062"/>
      <c r="L187" s="2146" t="s">
        <v>311</v>
      </c>
      <c r="M187" s="625"/>
      <c r="N187" s="618"/>
      <c r="O187" s="1908"/>
      <c r="P187" s="1908"/>
      <c r="AH187" s="1915">
        <v>0</v>
      </c>
    </row>
    <row s="14077" customFormat="1" customHeight="1" ht="18.75" hidden="1">
      <c r="A188" s="2064"/>
      <c r="B188" s="2064"/>
      <c r="C188" s="653" t="s">
        <v>1153</v>
      </c>
      <c r="D188" s="2746"/>
      <c r="E188" s="2488"/>
      <c r="F188" s="2667"/>
      <c r="G188" s="2711"/>
      <c r="H188" s="1784"/>
      <c r="I188" s="935" t="s">
        <v>1152</v>
      </c>
      <c r="J188" s="855"/>
      <c r="K188" s="1784"/>
      <c r="L188" s="498"/>
      <c r="M188" s="625"/>
      <c r="N188" s="618"/>
      <c r="O188" s="1908"/>
      <c r="P188" s="1908"/>
      <c r="AH188" s="1915">
        <v>0</v>
      </c>
    </row>
    <row s="14077" customFormat="1" customHeight="1" ht="0.75" hidden="1">
      <c r="A189" s="2064"/>
      <c r="B189" s="2064"/>
      <c r="C189" s="653" t="s">
        <v>1162</v>
      </c>
      <c r="D189" s="2746"/>
      <c r="E189" s="2488"/>
      <c r="F189" s="2667"/>
      <c r="G189" s="684"/>
      <c r="H189" s="1784"/>
      <c r="I189" s="935"/>
      <c r="J189" s="855"/>
      <c r="K189" s="1784"/>
      <c r="L189" s="498"/>
      <c r="M189" s="625"/>
      <c r="N189" s="618"/>
      <c r="O189" s="1908"/>
      <c r="P189" s="1908"/>
      <c r="AH189" s="1915">
        <v>0</v>
      </c>
    </row>
    <row s="14077" customFormat="1" customHeight="1" ht="18.75" hidden="1">
      <c r="A190" s="2064" t="s">
        <v>255</v>
      </c>
      <c r="B190" s="2064" t="s">
        <v>256</v>
      </c>
      <c r="C190" s="653"/>
      <c r="D190" s="2746"/>
      <c r="E190" s="2488"/>
      <c r="F190" s="2667" t="str">
        <f>INDEX(PT_DIFFERENTIATION_VTAR,MATCH(A190,PT_DIFFERENTIATION_VTAR_ID,0))</f>
        <v>Тариф на горячую воду (горячее водоснабжение)</v>
      </c>
      <c r="G190" s="2711" t="str">
        <f>INDEX(PT_DIFFERENTIATION_NTAR,MATCH(B190,PT_DIFFERENTIATION_NTAR_ID,0))</f>
        <v/>
      </c>
      <c r="H190" s="2146"/>
      <c r="I190" s="2023"/>
      <c r="J190" s="2057"/>
      <c r="K190" s="2062"/>
      <c r="L190" s="2146" t="s">
        <v>311</v>
      </c>
      <c r="M190" s="625"/>
      <c r="N190" s="618"/>
      <c r="O190" s="1908"/>
      <c r="P190" s="1908"/>
      <c r="AH190" s="1915">
        <v>0</v>
      </c>
    </row>
    <row s="14077" customFormat="1" customHeight="1" ht="18.75" hidden="1">
      <c r="A191" s="2064"/>
      <c r="B191" s="2064"/>
      <c r="C191" s="653" t="s">
        <v>1153</v>
      </c>
      <c r="D191" s="2746"/>
      <c r="E191" s="2488"/>
      <c r="F191" s="2667"/>
      <c r="G191" s="2711"/>
      <c r="H191" s="1784"/>
      <c r="I191" s="935" t="s">
        <v>1152</v>
      </c>
      <c r="J191" s="855"/>
      <c r="K191" s="1784"/>
      <c r="L191" s="498"/>
      <c r="M191" s="625"/>
      <c r="N191" s="618"/>
      <c r="O191" s="1908"/>
      <c r="P191" s="1908"/>
      <c r="AH191" s="1915">
        <v>0</v>
      </c>
    </row>
    <row s="14077" customFormat="1" customHeight="1" ht="0.75" hidden="1">
      <c r="A192" s="2064"/>
      <c r="B192" s="2064"/>
      <c r="C192" s="653" t="s">
        <v>1162</v>
      </c>
      <c r="D192" s="2746"/>
      <c r="E192" s="2488"/>
      <c r="F192" s="2667"/>
      <c r="G192" s="684"/>
      <c r="H192" s="1784"/>
      <c r="I192" s="935"/>
      <c r="J192" s="855"/>
      <c r="K192" s="1784"/>
      <c r="L192" s="498"/>
      <c r="M192" s="625"/>
      <c r="N192" s="618"/>
      <c r="O192" s="1908"/>
      <c r="P192" s="1908"/>
      <c r="AH192" s="1915">
        <v>0</v>
      </c>
    </row>
    <row s="14077" customFormat="1" customHeight="1" ht="18.75" hidden="1">
      <c r="A193" s="2064" t="s">
        <v>260</v>
      </c>
      <c r="B193" s="2064" t="s">
        <v>261</v>
      </c>
      <c r="C193" s="653"/>
      <c r="D193" s="2746"/>
      <c r="E193" s="2488"/>
      <c r="F193" s="2667" t="str">
        <f>INDEX(PT_DIFFERENTIATION_VTAR,MATCH(A193,PT_DIFFERENTIATION_VTAR_ID,0))</f>
        <v>Тариф на транспортировку горячей воды</v>
      </c>
      <c r="G193" s="2711" t="str">
        <f>INDEX(PT_DIFFERENTIATION_NTAR,MATCH(B193,PT_DIFFERENTIATION_NTAR_ID,0))</f>
        <v/>
      </c>
      <c r="H193" s="2146"/>
      <c r="I193" s="2023"/>
      <c r="J193" s="2057"/>
      <c r="K193" s="2062"/>
      <c r="L193" s="2146" t="s">
        <v>311</v>
      </c>
      <c r="M193" s="625"/>
      <c r="N193" s="618"/>
      <c r="O193" s="1908"/>
      <c r="P193" s="1908"/>
      <c r="AH193" s="1915">
        <v>0</v>
      </c>
    </row>
    <row s="14077" customFormat="1" customHeight="1" ht="18.75" hidden="1">
      <c r="A194" s="2064"/>
      <c r="B194" s="2064"/>
      <c r="C194" s="653" t="s">
        <v>1153</v>
      </c>
      <c r="D194" s="2746"/>
      <c r="E194" s="2488"/>
      <c r="F194" s="2667"/>
      <c r="G194" s="2711"/>
      <c r="H194" s="1784"/>
      <c r="I194" s="935" t="s">
        <v>1152</v>
      </c>
      <c r="J194" s="855"/>
      <c r="K194" s="1784"/>
      <c r="L194" s="498"/>
      <c r="M194" s="625"/>
      <c r="N194" s="618"/>
      <c r="O194" s="1908"/>
      <c r="P194" s="1908"/>
      <c r="AH194" s="1915">
        <v>0</v>
      </c>
    </row>
    <row s="14077" customFormat="1" customHeight="1" ht="0.75" hidden="1">
      <c r="A195" s="2064"/>
      <c r="B195" s="2064"/>
      <c r="C195" s="653" t="s">
        <v>1162</v>
      </c>
      <c r="D195" s="2746"/>
      <c r="E195" s="2488"/>
      <c r="F195" s="2667"/>
      <c r="G195" s="684"/>
      <c r="H195" s="1784"/>
      <c r="I195" s="935"/>
      <c r="J195" s="855"/>
      <c r="K195" s="1784"/>
      <c r="L195" s="498"/>
      <c r="M195" s="625"/>
      <c r="N195" s="618"/>
      <c r="O195" s="1908"/>
      <c r="P195" s="1908"/>
      <c r="AH195" s="1915">
        <v>0</v>
      </c>
    </row>
    <row s="14077" customFormat="1" customHeight="1" ht="18.75" hidden="1">
      <c r="A196" s="2064" t="s">
        <v>265</v>
      </c>
      <c r="B196" s="2064" t="s">
        <v>266</v>
      </c>
      <c r="C196" s="653"/>
      <c r="D196" s="2746"/>
      <c r="E196" s="2488"/>
      <c r="F196" s="2667" t="str">
        <f>INDEX(PT_DIFFERENTIATION_VTAR,MATCH(A196,PT_DIFFERENTIATION_VTAR_ID,0))</f>
        <v>Тариф на подключение (технологическое присоединение) к централизованной системе горячего водоснабжения</v>
      </c>
      <c r="G196" s="2711" t="str">
        <f>INDEX(PT_DIFFERENTIATION_NTAR,MATCH(B196,PT_DIFFERENTIATION_NTAR_ID,0))</f>
        <v/>
      </c>
      <c r="H196" s="2146"/>
      <c r="I196" s="2023"/>
      <c r="J196" s="2057"/>
      <c r="K196" s="2062"/>
      <c r="L196" s="2146" t="s">
        <v>311</v>
      </c>
      <c r="M196" s="625"/>
      <c r="N196" s="618"/>
      <c r="O196" s="1908"/>
      <c r="P196" s="1908"/>
      <c r="AH196" s="1915">
        <v>0</v>
      </c>
    </row>
    <row s="14077" customFormat="1" customHeight="1" ht="18.75" hidden="1">
      <c r="A197" s="2064"/>
      <c r="B197" s="2064"/>
      <c r="C197" s="653" t="s">
        <v>1153</v>
      </c>
      <c r="D197" s="2746"/>
      <c r="E197" s="2488"/>
      <c r="F197" s="2667"/>
      <c r="G197" s="2711"/>
      <c r="H197" s="1784"/>
      <c r="I197" s="935" t="s">
        <v>1152</v>
      </c>
      <c r="J197" s="855"/>
      <c r="K197" s="1784"/>
      <c r="L197" s="498"/>
      <c r="M197" s="625"/>
      <c r="N197" s="618"/>
      <c r="O197" s="1908"/>
      <c r="P197" s="1908"/>
      <c r="AH197" s="1915">
        <v>0</v>
      </c>
    </row>
    <row s="14077" customFormat="1" customHeight="1" ht="0.75" hidden="1">
      <c r="A198" s="2064"/>
      <c r="B198" s="2064"/>
      <c r="C198" s="653" t="s">
        <v>1162</v>
      </c>
      <c r="D198" s="2746"/>
      <c r="E198" s="2488"/>
      <c r="F198" s="2667"/>
      <c r="G198" s="684"/>
      <c r="H198" s="1784"/>
      <c r="I198" s="935"/>
      <c r="J198" s="855"/>
      <c r="K198" s="1784"/>
      <c r="L198" s="498"/>
      <c r="M198" s="625"/>
      <c r="N198" s="618"/>
      <c r="O198" s="1908"/>
      <c r="P198" s="1908"/>
      <c r="AH198" s="1915">
        <v>0</v>
      </c>
    </row>
    <row s="14077" customFormat="1" customHeight="1" ht="18.75" hidden="1">
      <c r="A199" s="2064" t="s">
        <v>270</v>
      </c>
      <c r="B199" s="2064" t="s">
        <v>271</v>
      </c>
      <c r="C199" s="653"/>
      <c r="D199" s="2746"/>
      <c r="E199" s="2488"/>
      <c r="F199" s="2667" t="str">
        <f>INDEX(PT_DIFFERENTIATION_VTAR,MATCH(A199,PT_DIFFERENTIATION_VTAR_ID,0))</f>
        <v>Тариф на водоотведение</v>
      </c>
      <c r="G199" s="2711" t="str">
        <f>INDEX(PT_DIFFERENTIATION_NTAR,MATCH(B199,PT_DIFFERENTIATION_NTAR_ID,0))</f>
        <v/>
      </c>
      <c r="H199" s="2146"/>
      <c r="I199" s="2023"/>
      <c r="J199" s="2057"/>
      <c r="K199" s="2062"/>
      <c r="L199" s="2146" t="s">
        <v>311</v>
      </c>
      <c r="M199" s="625"/>
      <c r="N199" s="618"/>
      <c r="O199" s="1908"/>
      <c r="P199" s="1908"/>
      <c r="AH199" s="1915">
        <v>0</v>
      </c>
    </row>
    <row s="14077" customFormat="1" customHeight="1" ht="18.75" hidden="1">
      <c r="A200" s="2064"/>
      <c r="B200" s="2064"/>
      <c r="C200" s="653" t="s">
        <v>1153</v>
      </c>
      <c r="D200" s="2746"/>
      <c r="E200" s="2488"/>
      <c r="F200" s="2667"/>
      <c r="G200" s="2711"/>
      <c r="H200" s="1784"/>
      <c r="I200" s="935" t="s">
        <v>1152</v>
      </c>
      <c r="J200" s="855"/>
      <c r="K200" s="1784"/>
      <c r="L200" s="498"/>
      <c r="M200" s="625"/>
      <c r="N200" s="618"/>
      <c r="O200" s="1908"/>
      <c r="P200" s="1908"/>
      <c r="AH200" s="1915">
        <v>0</v>
      </c>
    </row>
    <row s="14077" customFormat="1" customHeight="1" ht="0.75" hidden="1">
      <c r="A201" s="2064"/>
      <c r="B201" s="2064"/>
      <c r="C201" s="653" t="s">
        <v>1162</v>
      </c>
      <c r="D201" s="2746"/>
      <c r="E201" s="2488"/>
      <c r="F201" s="2667"/>
      <c r="G201" s="684"/>
      <c r="H201" s="1784"/>
      <c r="I201" s="935"/>
      <c r="J201" s="855"/>
      <c r="K201" s="1784"/>
      <c r="L201" s="498"/>
      <c r="M201" s="625"/>
      <c r="N201" s="618"/>
      <c r="O201" s="1908"/>
      <c r="P201" s="1908"/>
      <c r="AH201" s="1915">
        <v>0</v>
      </c>
    </row>
    <row s="14077" customFormat="1" customHeight="1" ht="18.75" hidden="1">
      <c r="A202" s="2064" t="s">
        <v>275</v>
      </c>
      <c r="B202" s="2064" t="s">
        <v>276</v>
      </c>
      <c r="C202" s="653"/>
      <c r="D202" s="2746"/>
      <c r="E202" s="2488"/>
      <c r="F202" s="2667" t="str">
        <f>INDEX(PT_DIFFERENTIATION_VTAR,MATCH(A202,PT_DIFFERENTIATION_VTAR_ID,0))</f>
        <v>Тариф на транспортировку сточных вод</v>
      </c>
      <c r="G202" s="2711" t="str">
        <f>INDEX(PT_DIFFERENTIATION_NTAR,MATCH(B202,PT_DIFFERENTIATION_NTAR_ID,0))</f>
        <v/>
      </c>
      <c r="H202" s="2146"/>
      <c r="I202" s="2023"/>
      <c r="J202" s="2057"/>
      <c r="K202" s="2062"/>
      <c r="L202" s="2146" t="s">
        <v>311</v>
      </c>
      <c r="M202" s="625"/>
      <c r="N202" s="618"/>
      <c r="O202" s="1908"/>
      <c r="P202" s="1908"/>
      <c r="AH202" s="1915">
        <v>0</v>
      </c>
    </row>
    <row s="14077" customFormat="1" customHeight="1" ht="18.75" hidden="1">
      <c r="A203" s="2064"/>
      <c r="B203" s="2064"/>
      <c r="C203" s="653" t="s">
        <v>1153</v>
      </c>
      <c r="D203" s="2746"/>
      <c r="E203" s="2488"/>
      <c r="F203" s="2667"/>
      <c r="G203" s="2711"/>
      <c r="H203" s="1784"/>
      <c r="I203" s="935" t="s">
        <v>1152</v>
      </c>
      <c r="J203" s="855"/>
      <c r="K203" s="1784"/>
      <c r="L203" s="498"/>
      <c r="M203" s="625"/>
      <c r="N203" s="618"/>
      <c r="O203" s="1908"/>
      <c r="P203" s="1908"/>
      <c r="AH203" s="1915">
        <v>0</v>
      </c>
    </row>
    <row s="14077" customFormat="1" customHeight="1" ht="0.75" hidden="1">
      <c r="A204" s="2064"/>
      <c r="B204" s="2064"/>
      <c r="C204" s="653" t="s">
        <v>1162</v>
      </c>
      <c r="D204" s="2746"/>
      <c r="E204" s="2488"/>
      <c r="F204" s="2667"/>
      <c r="G204" s="684"/>
      <c r="H204" s="1784"/>
      <c r="I204" s="935"/>
      <c r="J204" s="855"/>
      <c r="K204" s="1784"/>
      <c r="L204" s="498"/>
      <c r="M204" s="625"/>
      <c r="N204" s="618"/>
      <c r="O204" s="1908"/>
      <c r="P204" s="1908"/>
      <c r="AH204" s="1915">
        <v>0</v>
      </c>
    </row>
    <row s="14077" customFormat="1" customHeight="1" ht="18.75" hidden="1">
      <c r="A205" s="2064" t="s">
        <v>280</v>
      </c>
      <c r="B205" s="2064" t="s">
        <v>281</v>
      </c>
      <c r="C205" s="653"/>
      <c r="D205" s="2746"/>
      <c r="E205" s="2488"/>
      <c r="F205" s="2667" t="str">
        <f>INDEX(PT_DIFFERENTIATION_VTAR,MATCH(A205,PT_DIFFERENTIATION_VTAR_ID,0))</f>
        <v>Тариф на подключение (технологическое присоединение) к централизованной системе водоотведения</v>
      </c>
      <c r="G205" s="2711" t="str">
        <f>INDEX(PT_DIFFERENTIATION_NTAR,MATCH(B205,PT_DIFFERENTIATION_NTAR_ID,0))</f>
        <v/>
      </c>
      <c r="H205" s="2146"/>
      <c r="I205" s="2023"/>
      <c r="J205" s="2057"/>
      <c r="K205" s="2062"/>
      <c r="L205" s="2146" t="s">
        <v>311</v>
      </c>
      <c r="M205" s="625"/>
      <c r="N205" s="618"/>
      <c r="O205" s="1908"/>
      <c r="P205" s="1908"/>
      <c r="AH205" s="1915">
        <v>0</v>
      </c>
    </row>
    <row s="14077" customFormat="1" customHeight="1" ht="18.75" hidden="1">
      <c r="A206" s="2064"/>
      <c r="B206" s="2064"/>
      <c r="C206" s="653" t="s">
        <v>1153</v>
      </c>
      <c r="D206" s="2746"/>
      <c r="E206" s="2488"/>
      <c r="F206" s="2667"/>
      <c r="G206" s="2711"/>
      <c r="H206" s="1784"/>
      <c r="I206" s="935" t="s">
        <v>1152</v>
      </c>
      <c r="J206" s="855"/>
      <c r="K206" s="1784"/>
      <c r="L206" s="498"/>
      <c r="M206" s="625"/>
      <c r="N206" s="618"/>
      <c r="O206" s="1908"/>
      <c r="P206" s="1908"/>
      <c r="AH206" s="1915">
        <v>0</v>
      </c>
    </row>
    <row s="14077" customFormat="1" customHeight="1" ht="1.05">
      <c r="A207" s="2064"/>
      <c r="B207" s="2064"/>
      <c r="C207" s="653" t="s">
        <v>1162</v>
      </c>
      <c r="D207" s="2746"/>
      <c r="E207" s="2488"/>
      <c r="F207" s="2667"/>
      <c r="G207" s="684"/>
      <c r="H207" s="1784"/>
      <c r="I207" s="935"/>
      <c r="J207" s="855"/>
      <c r="K207" s="1784"/>
      <c r="L207" s="498"/>
      <c r="M207" s="625"/>
      <c r="N207" s="618"/>
      <c r="O207" s="1908"/>
      <c r="P207" s="1908"/>
      <c r="AH207" s="1915">
        <v>1</v>
      </c>
    </row>
    <row customHeight="1" ht="27.299999999999997">
      <c r="A208" s="2064"/>
      <c r="B208" s="2064"/>
      <c r="D208" s="660"/>
      <c r="E208" s="431" t="s">
        <v>112</v>
      </c>
      <c r="F208" s="2744"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регулируемой организацией (при их наличии), исчисленный в соответствии с Основами ценообразования в сфере теплоснабжения, утвержденными постановлением Правительства Российской Федерации от 22 октября 2012 г. N 1075 "О ценообразовании в сфере теплоснабжения"</v>
      </c>
      <c r="G208" s="2744"/>
      <c r="H208" s="2744"/>
      <c r="I208" s="2744"/>
      <c r="J208" s="2744"/>
      <c r="K208" s="2744"/>
      <c r="L208" s="2744"/>
      <c r="M208" s="581"/>
      <c r="N208" s="618"/>
      <c r="AH208" s="658">
        <v>26</v>
      </c>
    </row>
    <row s="14077" customFormat="1" customHeight="1" ht="60.75" hidden="1">
      <c r="A209" s="2064" t="s">
        <v>156</v>
      </c>
      <c r="B209" s="2064" t="s">
        <v>157</v>
      </c>
      <c r="C209" s="653"/>
      <c r="D209" s="2746"/>
      <c r="E209" s="2488"/>
      <c r="F209" s="2667"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2711" t="str">
        <f>INDEX(PT_DIFFERENTIATION_NTAR,MATCH(B209,PT_DIFFERENTIATION_NTAR_ID,0))</f>
        <v/>
      </c>
      <c r="H209" s="2146"/>
      <c r="I209" s="2023"/>
      <c r="J209" s="2057"/>
      <c r="K209" s="2062"/>
      <c r="L209" s="2146" t="s">
        <v>311</v>
      </c>
      <c r="M209" s="2453"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регулируемой организацией, исчисленных в соответствии с законодательством в сфере теплоснабжения, указывается значение «0».
В случае дифференциации недополученных доходов организацией теплоснабжения по видам тарифов и/или по срокам действия тарифов информация указывается в отдельных строках.</v>
      </c>
      <c r="N209" s="618"/>
      <c r="O209" s="1908"/>
      <c r="P209" s="1908"/>
      <c r="AH209" s="1915">
        <v>0</v>
      </c>
    </row>
    <row s="14077" customFormat="1" customHeight="1" ht="18.75" hidden="1">
      <c r="A210" s="2064"/>
      <c r="B210" s="2064"/>
      <c r="C210" s="653" t="s">
        <v>1153</v>
      </c>
      <c r="D210" s="2746"/>
      <c r="E210" s="2488"/>
      <c r="F210" s="2667"/>
      <c r="G210" s="2711"/>
      <c r="H210" s="1784"/>
      <c r="I210" s="935" t="s">
        <v>1152</v>
      </c>
      <c r="J210" s="855"/>
      <c r="K210" s="1784"/>
      <c r="L210" s="498"/>
      <c r="M210" s="2454"/>
      <c r="N210" s="618"/>
      <c r="O210" s="1908"/>
      <c r="P210" s="1908"/>
      <c r="AH210" s="1915">
        <v>0</v>
      </c>
    </row>
    <row s="14077" customFormat="1" customHeight="1" ht="0.75" hidden="1">
      <c r="A211" s="2064"/>
      <c r="B211" s="2064"/>
      <c r="C211" s="653" t="s">
        <v>1162</v>
      </c>
      <c r="D211" s="2746"/>
      <c r="E211" s="2488"/>
      <c r="F211" s="2667"/>
      <c r="G211" s="684"/>
      <c r="H211" s="1784"/>
      <c r="I211" s="935"/>
      <c r="J211" s="855"/>
      <c r="K211" s="1784"/>
      <c r="L211" s="498"/>
      <c r="M211" s="2454"/>
      <c r="N211" s="618"/>
      <c r="O211" s="1908"/>
      <c r="P211" s="1908"/>
      <c r="AH211" s="1915">
        <v>0</v>
      </c>
    </row>
    <row s="14077" customFormat="1" customHeight="1" ht="45">
      <c r="A212" s="2064" t="s">
        <v>164</v>
      </c>
      <c r="B212" s="2064" t="s">
        <v>165</v>
      </c>
      <c r="C212" s="653"/>
      <c r="D212" s="2746"/>
      <c r="E212" s="2488"/>
      <c r="F212" s="2667" t="str">
        <f>INDEX(PT_DIFFERENTIATION_VTAR,MATCH(A212,PT_DIFFERENTIATION_VTAR_ID,0))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12" s="2711" t="str">
        <f>INDEX(PT_DIFFERENTIATION_NTAR,MATCH(B212,PT_DIFFERENTIATION_NTAR_ID,0))</f>
        <v>Тариф на тепловую энергию</v>
      </c>
      <c r="H212" s="2146"/>
      <c r="I212" s="4922">
        <v>45658</v>
      </c>
      <c r="J212" s="4923">
        <v>46022</v>
      </c>
      <c r="K212" s="2062">
        <v>37493</v>
      </c>
      <c r="L212" s="2146" t="s">
        <v>311</v>
      </c>
      <c r="M212" s="2455"/>
      <c r="N212" s="618"/>
      <c r="O212" s="1908"/>
      <c r="P212" s="1908"/>
      <c r="AH212" s="1915">
        <v>0</v>
      </c>
    </row>
    <row s="14077" customFormat="1" customHeight="1" ht="18.75">
      <c r="A213" s="2064"/>
      <c r="B213" s="2064"/>
      <c r="C213" s="653" t="s">
        <v>1153</v>
      </c>
      <c r="D213" s="2746"/>
      <c r="E213" s="2488"/>
      <c r="F213" s="2667"/>
      <c r="G213" s="2711"/>
      <c r="H213" s="1784"/>
      <c r="I213" s="935" t="s">
        <v>1152</v>
      </c>
      <c r="J213" s="855"/>
      <c r="K213" s="1784"/>
      <c r="L213" s="498"/>
      <c r="M213" s="2145"/>
      <c r="N213" s="618"/>
      <c r="O213" s="1908"/>
      <c r="P213" s="1908"/>
      <c r="AH213" s="1915">
        <v>0</v>
      </c>
    </row>
    <row s="14077" customFormat="1" customHeight="1" ht="0.75">
      <c r="A214" s="2064"/>
      <c r="B214" s="2064"/>
      <c r="C214" s="653" t="s">
        <v>1162</v>
      </c>
      <c r="D214" s="2746"/>
      <c r="E214" s="2488"/>
      <c r="F214" s="2667"/>
      <c r="G214" s="684"/>
      <c r="H214" s="1784"/>
      <c r="I214" s="935"/>
      <c r="J214" s="855"/>
      <c r="K214" s="1784"/>
      <c r="L214" s="498"/>
      <c r="M214" s="625"/>
      <c r="N214" s="618"/>
      <c r="O214" s="1908"/>
      <c r="P214" s="1908"/>
      <c r="AH214" s="1915">
        <v>0</v>
      </c>
    </row>
    <row s="14077" customFormat="1" customHeight="1" ht="45" hidden="1">
      <c r="A215" s="2064" t="s">
        <v>174</v>
      </c>
      <c r="B215" s="2064" t="s">
        <v>175</v>
      </c>
      <c r="C215" s="653"/>
      <c r="D215" s="2746"/>
      <c r="E215" s="2488"/>
      <c r="F215" s="2667"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2711" t="str">
        <f>INDEX(PT_DIFFERENTIATION_NTAR,MATCH(B215,PT_DIFFERENTIATION_NTAR_ID,0))</f>
        <v/>
      </c>
      <c r="H215" s="2146"/>
      <c r="I215" s="2023"/>
      <c r="J215" s="2057"/>
      <c r="K215" s="2062"/>
      <c r="L215" s="2146" t="s">
        <v>311</v>
      </c>
      <c r="M215" s="625"/>
      <c r="N215" s="618"/>
      <c r="O215" s="1908"/>
      <c r="P215" s="1908"/>
      <c r="AH215" s="1915">
        <v>0</v>
      </c>
    </row>
    <row s="14077" customFormat="1" customHeight="1" ht="18.75" hidden="1">
      <c r="A216" s="2064"/>
      <c r="B216" s="2064"/>
      <c r="C216" s="653" t="s">
        <v>1153</v>
      </c>
      <c r="D216" s="2746"/>
      <c r="E216" s="2488"/>
      <c r="F216" s="2667"/>
      <c r="G216" s="2711"/>
      <c r="H216" s="1784"/>
      <c r="I216" s="935" t="s">
        <v>1152</v>
      </c>
      <c r="J216" s="855"/>
      <c r="K216" s="1784"/>
      <c r="L216" s="498"/>
      <c r="M216" s="625"/>
      <c r="N216" s="618"/>
      <c r="O216" s="1908"/>
      <c r="P216" s="1908"/>
      <c r="AH216" s="1915">
        <v>0</v>
      </c>
    </row>
    <row s="14077" customFormat="1" customHeight="1" ht="0.75" hidden="1">
      <c r="A217" s="2064"/>
      <c r="B217" s="2064"/>
      <c r="C217" s="653" t="s">
        <v>1162</v>
      </c>
      <c r="D217" s="2746"/>
      <c r="E217" s="2488"/>
      <c r="F217" s="2667"/>
      <c r="G217" s="684"/>
      <c r="H217" s="1784"/>
      <c r="I217" s="935"/>
      <c r="J217" s="855"/>
      <c r="K217" s="1784"/>
      <c r="L217" s="498"/>
      <c r="M217" s="625"/>
      <c r="N217" s="618"/>
      <c r="O217" s="1908"/>
      <c r="P217" s="1908"/>
      <c r="AH217" s="1915">
        <v>0</v>
      </c>
    </row>
    <row s="14077" customFormat="1" customHeight="1" ht="45" hidden="1">
      <c r="A218" s="2064" t="s">
        <v>180</v>
      </c>
      <c r="B218" s="2064" t="s">
        <v>181</v>
      </c>
      <c r="C218" s="653"/>
      <c r="D218" s="2746"/>
      <c r="E218" s="2488"/>
      <c r="F218" s="2667"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2711" t="str">
        <f>INDEX(PT_DIFFERENTIATION_NTAR,MATCH(B218,PT_DIFFERENTIATION_NTAR_ID,0))</f>
        <v/>
      </c>
      <c r="H218" s="2146"/>
      <c r="I218" s="2023"/>
      <c r="J218" s="2057"/>
      <c r="K218" s="2062"/>
      <c r="L218" s="2146" t="s">
        <v>311</v>
      </c>
      <c r="M218" s="625"/>
      <c r="N218" s="618"/>
      <c r="O218" s="1908"/>
      <c r="P218" s="1908"/>
      <c r="AH218" s="1915">
        <v>0</v>
      </c>
    </row>
    <row s="14077" customFormat="1" customHeight="1" ht="18.75" hidden="1">
      <c r="A219" s="2064"/>
      <c r="B219" s="2064"/>
      <c r="C219" s="653" t="s">
        <v>1153</v>
      </c>
      <c r="D219" s="2746"/>
      <c r="E219" s="2488"/>
      <c r="F219" s="2667"/>
      <c r="G219" s="2711"/>
      <c r="H219" s="1784"/>
      <c r="I219" s="935" t="s">
        <v>1152</v>
      </c>
      <c r="J219" s="855"/>
      <c r="K219" s="1784"/>
      <c r="L219" s="498"/>
      <c r="M219" s="625"/>
      <c r="N219" s="618"/>
      <c r="O219" s="1908"/>
      <c r="P219" s="1908"/>
      <c r="AH219" s="1915">
        <v>0</v>
      </c>
    </row>
    <row s="14077" customFormat="1" customHeight="1" ht="0.75" hidden="1">
      <c r="A220" s="2064"/>
      <c r="B220" s="2064"/>
      <c r="C220" s="653" t="s">
        <v>1162</v>
      </c>
      <c r="D220" s="2746"/>
      <c r="E220" s="2488"/>
      <c r="F220" s="2667"/>
      <c r="G220" s="684"/>
      <c r="H220" s="1784"/>
      <c r="I220" s="935"/>
      <c r="J220" s="855"/>
      <c r="K220" s="1784"/>
      <c r="L220" s="498"/>
      <c r="M220" s="625"/>
      <c r="N220" s="618"/>
      <c r="O220" s="1908"/>
      <c r="P220" s="1908"/>
      <c r="AH220" s="1915">
        <v>0</v>
      </c>
    </row>
    <row s="14077" customFormat="1" customHeight="1" ht="18.75" hidden="1">
      <c r="A221" s="2064" t="s">
        <v>186</v>
      </c>
      <c r="B221" s="2064" t="s">
        <v>187</v>
      </c>
      <c r="C221" s="653"/>
      <c r="D221" s="2746"/>
      <c r="E221" s="2488"/>
      <c r="F221" s="2667" t="str">
        <f>INDEX(PT_DIFFERENTIATION_VTAR,MATCH(A221,PT_DIFFERENTIATION_VTAR_ID,0))</f>
        <v>Тарифы на услуги по передаче тепловой энергии</v>
      </c>
      <c r="G221" s="2711" t="str">
        <f>INDEX(PT_DIFFERENTIATION_NTAR,MATCH(B221,PT_DIFFERENTIATION_NTAR_ID,0))</f>
        <v/>
      </c>
      <c r="H221" s="2146"/>
      <c r="I221" s="2023"/>
      <c r="J221" s="2057"/>
      <c r="K221" s="2062"/>
      <c r="L221" s="2146" t="s">
        <v>311</v>
      </c>
      <c r="M221" s="625"/>
      <c r="N221" s="618"/>
      <c r="O221" s="1908"/>
      <c r="P221" s="1908"/>
      <c r="AH221" s="1915">
        <v>0</v>
      </c>
    </row>
    <row s="14077" customFormat="1" customHeight="1" ht="18.75" hidden="1">
      <c r="A222" s="2064"/>
      <c r="B222" s="2064"/>
      <c r="C222" s="653" t="s">
        <v>1153</v>
      </c>
      <c r="D222" s="2746"/>
      <c r="E222" s="2488"/>
      <c r="F222" s="2667"/>
      <c r="G222" s="2711"/>
      <c r="H222" s="1784"/>
      <c r="I222" s="935" t="s">
        <v>1152</v>
      </c>
      <c r="J222" s="855"/>
      <c r="K222" s="1784"/>
      <c r="L222" s="498"/>
      <c r="M222" s="625"/>
      <c r="N222" s="618"/>
      <c r="O222" s="1908"/>
      <c r="P222" s="1908"/>
      <c r="AH222" s="1915">
        <v>0</v>
      </c>
    </row>
    <row s="14077" customFormat="1" customHeight="1" ht="0.75" hidden="1">
      <c r="A223" s="2064"/>
      <c r="B223" s="2064"/>
      <c r="C223" s="653" t="s">
        <v>1162</v>
      </c>
      <c r="D223" s="2746"/>
      <c r="E223" s="2488"/>
      <c r="F223" s="2667"/>
      <c r="G223" s="684"/>
      <c r="H223" s="1784"/>
      <c r="I223" s="935"/>
      <c r="J223" s="855"/>
      <c r="K223" s="1784"/>
      <c r="L223" s="498"/>
      <c r="M223" s="625"/>
      <c r="N223" s="618"/>
      <c r="O223" s="1908"/>
      <c r="P223" s="1908"/>
      <c r="AH223" s="1915">
        <v>0</v>
      </c>
    </row>
    <row s="14077" customFormat="1" customHeight="1" ht="18.75" hidden="1">
      <c r="A224" s="2064" t="s">
        <v>192</v>
      </c>
      <c r="B224" s="2064" t="s">
        <v>193</v>
      </c>
      <c r="C224" s="653"/>
      <c r="D224" s="2746"/>
      <c r="E224" s="2488"/>
      <c r="F224" s="2667" t="str">
        <f>INDEX(PT_DIFFERENTIATION_VTAR,MATCH(A224,PT_DIFFERENTIATION_VTAR_ID,0))</f>
        <v>Тарифы на услуги по передаче теплоносителя</v>
      </c>
      <c r="G224" s="2711" t="str">
        <f>INDEX(PT_DIFFERENTIATION_NTAR,MATCH(B224,PT_DIFFERENTIATION_NTAR_ID,0))</f>
        <v/>
      </c>
      <c r="H224" s="2146"/>
      <c r="I224" s="2023"/>
      <c r="J224" s="2057"/>
      <c r="K224" s="2062"/>
      <c r="L224" s="2146" t="s">
        <v>311</v>
      </c>
      <c r="M224" s="625"/>
      <c r="N224" s="618"/>
      <c r="O224" s="1908"/>
      <c r="P224" s="1908"/>
      <c r="AH224" s="1915">
        <v>0</v>
      </c>
    </row>
    <row s="14077" customFormat="1" customHeight="1" ht="18.75" hidden="1">
      <c r="A225" s="2064"/>
      <c r="B225" s="2064"/>
      <c r="C225" s="653" t="s">
        <v>1153</v>
      </c>
      <c r="D225" s="2746"/>
      <c r="E225" s="2488"/>
      <c r="F225" s="2667"/>
      <c r="G225" s="2711"/>
      <c r="H225" s="1784"/>
      <c r="I225" s="935" t="s">
        <v>1152</v>
      </c>
      <c r="J225" s="855"/>
      <c r="K225" s="1784"/>
      <c r="L225" s="498"/>
      <c r="M225" s="625"/>
      <c r="N225" s="618"/>
      <c r="O225" s="1908"/>
      <c r="P225" s="1908"/>
      <c r="AH225" s="1915">
        <v>0</v>
      </c>
    </row>
    <row s="14077" customFormat="1" customHeight="1" ht="0.75" hidden="1">
      <c r="A226" s="2064"/>
      <c r="B226" s="2064"/>
      <c r="C226" s="653" t="s">
        <v>1162</v>
      </c>
      <c r="D226" s="2746"/>
      <c r="E226" s="2488"/>
      <c r="F226" s="2667"/>
      <c r="G226" s="684"/>
      <c r="H226" s="1784"/>
      <c r="I226" s="935"/>
      <c r="J226" s="855"/>
      <c r="K226" s="1784"/>
      <c r="L226" s="498"/>
      <c r="M226" s="625"/>
      <c r="N226" s="618"/>
      <c r="O226" s="1908"/>
      <c r="P226" s="1908"/>
      <c r="AH226" s="1915">
        <v>0</v>
      </c>
    </row>
    <row s="14077" customFormat="1" customHeight="1" ht="18.75" hidden="1">
      <c r="A227" s="2064" t="s">
        <v>198</v>
      </c>
      <c r="B227" s="2064" t="s">
        <v>199</v>
      </c>
      <c r="C227" s="653"/>
      <c r="D227" s="2746"/>
      <c r="E227" s="2488"/>
      <c r="F227" s="2667" t="str">
        <f>INDEX(PT_DIFFERENTIATION_VTAR,MATCH(A227,PT_DIFFERENTIATION_VTAR_ID,0))</f>
        <v>Плата за услуги по поддержанию резервной тепловой мощности при отсутствии потребления тепловой энергии</v>
      </c>
      <c r="G227" s="2711" t="str">
        <f>INDEX(PT_DIFFERENTIATION_NTAR,MATCH(B227,PT_DIFFERENTIATION_NTAR_ID,0))</f>
        <v/>
      </c>
      <c r="H227" s="2146"/>
      <c r="I227" s="2023"/>
      <c r="J227" s="2057"/>
      <c r="K227" s="2062"/>
      <c r="L227" s="2146" t="s">
        <v>311</v>
      </c>
      <c r="M227" s="625"/>
      <c r="N227" s="618"/>
      <c r="O227" s="1908"/>
      <c r="P227" s="1908"/>
      <c r="AH227" s="1915">
        <v>0</v>
      </c>
    </row>
    <row s="14077" customFormat="1" customHeight="1" ht="18.75" hidden="1">
      <c r="A228" s="2064"/>
      <c r="B228" s="2064"/>
      <c r="C228" s="653" t="s">
        <v>1153</v>
      </c>
      <c r="D228" s="2746"/>
      <c r="E228" s="2488"/>
      <c r="F228" s="2667"/>
      <c r="G228" s="2711"/>
      <c r="H228" s="1784"/>
      <c r="I228" s="935" t="s">
        <v>1152</v>
      </c>
      <c r="J228" s="855"/>
      <c r="K228" s="1784"/>
      <c r="L228" s="498"/>
      <c r="M228" s="625"/>
      <c r="N228" s="618"/>
      <c r="O228" s="1908"/>
      <c r="P228" s="1908"/>
      <c r="AH228" s="1915">
        <v>0</v>
      </c>
    </row>
    <row s="14077" customFormat="1" customHeight="1" ht="0.75" hidden="1">
      <c r="A229" s="2064"/>
      <c r="B229" s="2064"/>
      <c r="C229" s="653" t="s">
        <v>1162</v>
      </c>
      <c r="D229" s="2746"/>
      <c r="E229" s="2488"/>
      <c r="F229" s="2667"/>
      <c r="G229" s="684"/>
      <c r="H229" s="1784"/>
      <c r="I229" s="935"/>
      <c r="J229" s="855"/>
      <c r="K229" s="1784"/>
      <c r="L229" s="498"/>
      <c r="M229" s="625"/>
      <c r="N229" s="618"/>
      <c r="O229" s="1908"/>
      <c r="P229" s="1908"/>
      <c r="AH229" s="1915">
        <v>0</v>
      </c>
    </row>
    <row s="14077" customFormat="1" customHeight="1" ht="18.75" hidden="1">
      <c r="A230" s="2064" t="s">
        <v>204</v>
      </c>
      <c r="B230" s="2064" t="s">
        <v>205</v>
      </c>
      <c r="C230" s="653"/>
      <c r="D230" s="2746"/>
      <c r="E230" s="2488"/>
      <c r="F230" s="2667" t="str">
        <f>INDEX(PT_DIFFERENTIATION_VTAR,MATCH(A230,PT_DIFFERENTIATION_VTAR_ID,0))</f>
        <v>Плата за подключение (технологическое присоединение) к системе теплоснабжения</v>
      </c>
      <c r="G230" s="2711" t="str">
        <f>INDEX(PT_DIFFERENTIATION_NTAR,MATCH(B230,PT_DIFFERENTIATION_NTAR_ID,0))</f>
        <v/>
      </c>
      <c r="H230" s="2146"/>
      <c r="I230" s="2023"/>
      <c r="J230" s="2057"/>
      <c r="K230" s="2062"/>
      <c r="L230" s="2146" t="s">
        <v>311</v>
      </c>
      <c r="M230" s="625"/>
      <c r="N230" s="618"/>
      <c r="O230" s="1908"/>
      <c r="P230" s="1908"/>
      <c r="AH230" s="1915">
        <v>0</v>
      </c>
    </row>
    <row s="14077" customFormat="1" customHeight="1" ht="18.75" hidden="1">
      <c r="A231" s="2064"/>
      <c r="B231" s="2064"/>
      <c r="C231" s="653" t="s">
        <v>1153</v>
      </c>
      <c r="D231" s="2746"/>
      <c r="E231" s="2488"/>
      <c r="F231" s="2667"/>
      <c r="G231" s="2711"/>
      <c r="H231" s="1784"/>
      <c r="I231" s="935" t="s">
        <v>1152</v>
      </c>
      <c r="J231" s="855"/>
      <c r="K231" s="1784"/>
      <c r="L231" s="498"/>
      <c r="M231" s="625"/>
      <c r="N231" s="618"/>
      <c r="O231" s="1908"/>
      <c r="P231" s="1908"/>
      <c r="AH231" s="1915">
        <v>0</v>
      </c>
    </row>
    <row s="14077" customFormat="1" customHeight="1" ht="0.75" hidden="1">
      <c r="A232" s="2064"/>
      <c r="B232" s="2064"/>
      <c r="C232" s="653" t="s">
        <v>1162</v>
      </c>
      <c r="D232" s="2746"/>
      <c r="E232" s="2488"/>
      <c r="F232" s="2667"/>
      <c r="G232" s="684"/>
      <c r="H232" s="1784"/>
      <c r="I232" s="935"/>
      <c r="J232" s="855"/>
      <c r="K232" s="1784"/>
      <c r="L232" s="498"/>
      <c r="M232" s="625"/>
      <c r="N232" s="618"/>
      <c r="O232" s="1908"/>
      <c r="P232" s="1908"/>
      <c r="AH232" s="1915">
        <v>0</v>
      </c>
    </row>
    <row s="14077" customFormat="1" customHeight="1" ht="18.75" hidden="1">
      <c r="A233" s="2064" t="s">
        <v>210</v>
      </c>
      <c r="B233" s="2064" t="s">
        <v>211</v>
      </c>
      <c r="C233" s="653"/>
      <c r="D233" s="2746"/>
      <c r="E233" s="2488"/>
      <c r="F233" s="2667" t="str">
        <f>INDEX(PT_DIFFERENTIATION_VTAR,MATCH(A233,PT_DIFFERENTIATION_VTAR_ID,0))</f>
        <v>Плата за подключение (технологическое присоединение) к системе теплоснабжения (индивидуальная)</v>
      </c>
      <c r="G233" s="2711" t="str">
        <f>INDEX(PT_DIFFERENTIATION_NTAR,MATCH(B233,PT_DIFFERENTIATION_NTAR_ID,0))</f>
        <v/>
      </c>
      <c r="H233" s="2273"/>
      <c r="I233" s="2023"/>
      <c r="J233" s="2057"/>
      <c r="K233" s="2062"/>
      <c r="L233" s="2273" t="s">
        <v>311</v>
      </c>
      <c r="M233" s="625"/>
      <c r="N233" s="618"/>
      <c r="O233" s="1908"/>
      <c r="P233" s="1908"/>
      <c r="AH233" s="1915">
        <v>0</v>
      </c>
    </row>
    <row s="14077" customFormat="1" customHeight="1" ht="18.75" hidden="1">
      <c r="A234" s="2064"/>
      <c r="B234" s="2064"/>
      <c r="C234" s="653" t="s">
        <v>1153</v>
      </c>
      <c r="D234" s="2746"/>
      <c r="E234" s="2488"/>
      <c r="F234" s="2667"/>
      <c r="G234" s="2711"/>
      <c r="H234" s="1784"/>
      <c r="I234" s="935" t="s">
        <v>1152</v>
      </c>
      <c r="J234" s="855"/>
      <c r="K234" s="1784"/>
      <c r="L234" s="498"/>
      <c r="M234" s="625"/>
      <c r="N234" s="618"/>
      <c r="O234" s="1908"/>
      <c r="P234" s="1908"/>
      <c r="AH234" s="1915">
        <v>0</v>
      </c>
    </row>
    <row s="14077" customFormat="1" customHeight="1" ht="0.75" hidden="1">
      <c r="A235" s="2064"/>
      <c r="B235" s="2064"/>
      <c r="C235" s="653" t="s">
        <v>1162</v>
      </c>
      <c r="D235" s="2746"/>
      <c r="E235" s="2488"/>
      <c r="F235" s="2667"/>
      <c r="G235" s="684"/>
      <c r="H235" s="1784"/>
      <c r="I235" s="935"/>
      <c r="J235" s="855"/>
      <c r="K235" s="1784"/>
      <c r="L235" s="498"/>
      <c r="M235" s="625"/>
      <c r="N235" s="618"/>
      <c r="O235" s="1908"/>
      <c r="P235" s="1908"/>
      <c r="AH235" s="1915">
        <v>0</v>
      </c>
    </row>
    <row s="14077" customFormat="1" customHeight="1" ht="18.75" hidden="1">
      <c r="A236" s="2064" t="s">
        <v>230</v>
      </c>
      <c r="B236" s="2064" t="s">
        <v>231</v>
      </c>
      <c r="C236" s="653"/>
      <c r="D236" s="2746"/>
      <c r="E236" s="2488"/>
      <c r="F236" s="2667" t="str">
        <f>INDEX(PT_DIFFERENTIATION_VTAR,MATCH(A236,PT_DIFFERENTIATION_VTAR_ID,0))</f>
        <v>Тариф на питьевую воду (питьевое водоснабжение)</v>
      </c>
      <c r="G236" s="2711" t="str">
        <f>INDEX(PT_DIFFERENTIATION_NTAR,MATCH(B236,PT_DIFFERENTIATION_NTAR_ID,0))</f>
        <v/>
      </c>
      <c r="H236" s="2146"/>
      <c r="I236" s="2023"/>
      <c r="J236" s="2057"/>
      <c r="K236" s="2062"/>
      <c r="L236" s="2146" t="s">
        <v>311</v>
      </c>
      <c r="M236" s="625"/>
      <c r="N236" s="618"/>
      <c r="O236" s="1908"/>
      <c r="P236" s="1908"/>
      <c r="AH236" s="1915">
        <v>0</v>
      </c>
    </row>
    <row s="14077" customFormat="1" customHeight="1" ht="18.75" hidden="1">
      <c r="A237" s="2064"/>
      <c r="B237" s="2064"/>
      <c r="C237" s="653" t="s">
        <v>1153</v>
      </c>
      <c r="D237" s="2746"/>
      <c r="E237" s="2488"/>
      <c r="F237" s="2667"/>
      <c r="G237" s="2711"/>
      <c r="H237" s="1784"/>
      <c r="I237" s="935" t="s">
        <v>1152</v>
      </c>
      <c r="J237" s="855"/>
      <c r="K237" s="1784"/>
      <c r="L237" s="498"/>
      <c r="M237" s="625"/>
      <c r="N237" s="618"/>
      <c r="O237" s="1908"/>
      <c r="P237" s="1908"/>
      <c r="AH237" s="1915">
        <v>0</v>
      </c>
    </row>
    <row s="14077" customFormat="1" customHeight="1" ht="0.75" hidden="1">
      <c r="A238" s="2064"/>
      <c r="B238" s="2064"/>
      <c r="C238" s="653" t="s">
        <v>1162</v>
      </c>
      <c r="D238" s="2746"/>
      <c r="E238" s="2488"/>
      <c r="F238" s="2667"/>
      <c r="G238" s="684"/>
      <c r="H238" s="1784"/>
      <c r="I238" s="935"/>
      <c r="J238" s="855"/>
      <c r="K238" s="1784"/>
      <c r="L238" s="498"/>
      <c r="M238" s="625"/>
      <c r="N238" s="618"/>
      <c r="O238" s="1908"/>
      <c r="P238" s="1908"/>
      <c r="AH238" s="1915">
        <v>0</v>
      </c>
    </row>
    <row s="14077" customFormat="1" customHeight="1" ht="18.75" hidden="1">
      <c r="A239" s="2064" t="s">
        <v>235</v>
      </c>
      <c r="B239" s="2064" t="s">
        <v>236</v>
      </c>
      <c r="C239" s="653"/>
      <c r="D239" s="2746"/>
      <c r="E239" s="2488"/>
      <c r="F239" s="2667" t="str">
        <f>INDEX(PT_DIFFERENTIATION_VTAR,MATCH(A239,PT_DIFFERENTIATION_VTAR_ID,0))</f>
        <v>Тариф на техническую воду</v>
      </c>
      <c r="G239" s="2711" t="str">
        <f>INDEX(PT_DIFFERENTIATION_NTAR,MATCH(B239,PT_DIFFERENTIATION_NTAR_ID,0))</f>
        <v/>
      </c>
      <c r="H239" s="2146"/>
      <c r="I239" s="2023"/>
      <c r="J239" s="2057"/>
      <c r="K239" s="2062"/>
      <c r="L239" s="2146" t="s">
        <v>311</v>
      </c>
      <c r="M239" s="625"/>
      <c r="N239" s="618"/>
      <c r="O239" s="1908"/>
      <c r="P239" s="1908"/>
      <c r="AH239" s="1915">
        <v>0</v>
      </c>
    </row>
    <row s="14077" customFormat="1" customHeight="1" ht="18.75" hidden="1">
      <c r="A240" s="2064"/>
      <c r="B240" s="2064"/>
      <c r="C240" s="653" t="s">
        <v>1153</v>
      </c>
      <c r="D240" s="2746"/>
      <c r="E240" s="2488"/>
      <c r="F240" s="2667"/>
      <c r="G240" s="2711"/>
      <c r="H240" s="1784"/>
      <c r="I240" s="935" t="s">
        <v>1152</v>
      </c>
      <c r="J240" s="855"/>
      <c r="K240" s="1784"/>
      <c r="L240" s="498"/>
      <c r="M240" s="625"/>
      <c r="N240" s="618"/>
      <c r="O240" s="1908"/>
      <c r="P240" s="1908"/>
      <c r="AH240" s="1915">
        <v>0</v>
      </c>
    </row>
    <row s="14077" customFormat="1" customHeight="1" ht="0.75" hidden="1">
      <c r="A241" s="2064"/>
      <c r="B241" s="2064"/>
      <c r="C241" s="653" t="s">
        <v>1162</v>
      </c>
      <c r="D241" s="2746"/>
      <c r="E241" s="2488"/>
      <c r="F241" s="2667"/>
      <c r="G241" s="684"/>
      <c r="H241" s="1784"/>
      <c r="I241" s="935"/>
      <c r="J241" s="855"/>
      <c r="K241" s="1784"/>
      <c r="L241" s="498"/>
      <c r="M241" s="625"/>
      <c r="N241" s="618"/>
      <c r="O241" s="1908"/>
      <c r="P241" s="1908"/>
      <c r="AH241" s="1915">
        <v>0</v>
      </c>
    </row>
    <row s="14077" customFormat="1" customHeight="1" ht="18.75" hidden="1">
      <c r="A242" s="2064" t="s">
        <v>240</v>
      </c>
      <c r="B242" s="2064" t="s">
        <v>241</v>
      </c>
      <c r="C242" s="653"/>
      <c r="D242" s="2746"/>
      <c r="E242" s="2488"/>
      <c r="F242" s="2667" t="str">
        <f>INDEX(PT_DIFFERENTIATION_VTAR,MATCH(A242,PT_DIFFERENTIATION_VTAR_ID,0))</f>
        <v>Тариф на транспортировку воды</v>
      </c>
      <c r="G242" s="2711" t="str">
        <f>INDEX(PT_DIFFERENTIATION_NTAR,MATCH(B242,PT_DIFFERENTIATION_NTAR_ID,0))</f>
        <v/>
      </c>
      <c r="H242" s="2146"/>
      <c r="I242" s="2023"/>
      <c r="J242" s="2057"/>
      <c r="K242" s="2062"/>
      <c r="L242" s="2146" t="s">
        <v>311</v>
      </c>
      <c r="M242" s="625"/>
      <c r="N242" s="618"/>
      <c r="O242" s="1908"/>
      <c r="P242" s="1908"/>
      <c r="AH242" s="1915">
        <v>0</v>
      </c>
    </row>
    <row s="14077" customFormat="1" customHeight="1" ht="18.75" hidden="1">
      <c r="A243" s="2064"/>
      <c r="B243" s="2064"/>
      <c r="C243" s="653" t="s">
        <v>1153</v>
      </c>
      <c r="D243" s="2746"/>
      <c r="E243" s="2488"/>
      <c r="F243" s="2667"/>
      <c r="G243" s="2711"/>
      <c r="H243" s="1784"/>
      <c r="I243" s="935" t="s">
        <v>1152</v>
      </c>
      <c r="J243" s="855"/>
      <c r="K243" s="1784"/>
      <c r="L243" s="498"/>
      <c r="M243" s="625"/>
      <c r="N243" s="618"/>
      <c r="O243" s="1908"/>
      <c r="P243" s="1908"/>
      <c r="AH243" s="1915">
        <v>0</v>
      </c>
    </row>
    <row s="14077" customFormat="1" customHeight="1" ht="0.75" hidden="1">
      <c r="A244" s="2064"/>
      <c r="B244" s="2064"/>
      <c r="C244" s="653" t="s">
        <v>1162</v>
      </c>
      <c r="D244" s="2746"/>
      <c r="E244" s="2488"/>
      <c r="F244" s="2667"/>
      <c r="G244" s="684"/>
      <c r="H244" s="1784"/>
      <c r="I244" s="935"/>
      <c r="J244" s="855"/>
      <c r="K244" s="1784"/>
      <c r="L244" s="498"/>
      <c r="M244" s="625"/>
      <c r="N244" s="618"/>
      <c r="O244" s="1908"/>
      <c r="P244" s="1908"/>
      <c r="AH244" s="1915">
        <v>0</v>
      </c>
    </row>
    <row s="14077" customFormat="1" customHeight="1" ht="18.75" hidden="1">
      <c r="A245" s="2064" t="s">
        <v>245</v>
      </c>
      <c r="B245" s="2064" t="s">
        <v>246</v>
      </c>
      <c r="C245" s="653"/>
      <c r="D245" s="2746"/>
      <c r="E245" s="2488"/>
      <c r="F245" s="2667" t="str">
        <f>INDEX(PT_DIFFERENTIATION_VTAR,MATCH(A245,PT_DIFFERENTIATION_VTAR_ID,0))</f>
        <v>Тариф на подвоз воды</v>
      </c>
      <c r="G245" s="2711" t="str">
        <f>INDEX(PT_DIFFERENTIATION_NTAR,MATCH(B245,PT_DIFFERENTIATION_NTAR_ID,0))</f>
        <v/>
      </c>
      <c r="H245" s="2146"/>
      <c r="I245" s="2023"/>
      <c r="J245" s="2057"/>
      <c r="K245" s="2062"/>
      <c r="L245" s="2146" t="s">
        <v>311</v>
      </c>
      <c r="M245" s="625"/>
      <c r="N245" s="618"/>
      <c r="O245" s="1908"/>
      <c r="P245" s="1908"/>
      <c r="AH245" s="1915">
        <v>0</v>
      </c>
    </row>
    <row s="14077" customFormat="1" customHeight="1" ht="18.75" hidden="1">
      <c r="A246" s="2064"/>
      <c r="B246" s="2064"/>
      <c r="C246" s="653" t="s">
        <v>1153</v>
      </c>
      <c r="D246" s="2746"/>
      <c r="E246" s="2488"/>
      <c r="F246" s="2667"/>
      <c r="G246" s="2711"/>
      <c r="H246" s="1784"/>
      <c r="I246" s="935" t="s">
        <v>1152</v>
      </c>
      <c r="J246" s="855"/>
      <c r="K246" s="1784"/>
      <c r="L246" s="498"/>
      <c r="M246" s="625"/>
      <c r="N246" s="618"/>
      <c r="O246" s="1908"/>
      <c r="P246" s="1908"/>
      <c r="AH246" s="1915">
        <v>0</v>
      </c>
    </row>
    <row s="14077" customFormat="1" customHeight="1" ht="0.75" hidden="1">
      <c r="A247" s="2064"/>
      <c r="B247" s="2064"/>
      <c r="C247" s="653" t="s">
        <v>1162</v>
      </c>
      <c r="D247" s="2746"/>
      <c r="E247" s="2488"/>
      <c r="F247" s="2667"/>
      <c r="G247" s="684"/>
      <c r="H247" s="1784"/>
      <c r="I247" s="935"/>
      <c r="J247" s="855"/>
      <c r="K247" s="1784"/>
      <c r="L247" s="498"/>
      <c r="M247" s="625"/>
      <c r="N247" s="618"/>
      <c r="O247" s="1908"/>
      <c r="P247" s="1908"/>
      <c r="AH247" s="1915">
        <v>0</v>
      </c>
    </row>
    <row s="14077" customFormat="1" customHeight="1" ht="18.75" hidden="1">
      <c r="A248" s="2064" t="s">
        <v>250</v>
      </c>
      <c r="B248" s="2064" t="s">
        <v>251</v>
      </c>
      <c r="C248" s="653"/>
      <c r="D248" s="2746"/>
      <c r="E248" s="2488"/>
      <c r="F248" s="2667"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2711" t="str">
        <f>INDEX(PT_DIFFERENTIATION_NTAR,MATCH(B248,PT_DIFFERENTIATION_NTAR_ID,0))</f>
        <v/>
      </c>
      <c r="H248" s="2146"/>
      <c r="I248" s="2023"/>
      <c r="J248" s="2057"/>
      <c r="K248" s="2062"/>
      <c r="L248" s="2146" t="s">
        <v>311</v>
      </c>
      <c r="M248" s="625"/>
      <c r="N248" s="618"/>
      <c r="O248" s="1908"/>
      <c r="P248" s="1908"/>
      <c r="AH248" s="1915">
        <v>0</v>
      </c>
    </row>
    <row s="14077" customFormat="1" customHeight="1" ht="18.75" hidden="1">
      <c r="A249" s="2064"/>
      <c r="B249" s="2064"/>
      <c r="C249" s="653" t="s">
        <v>1153</v>
      </c>
      <c r="D249" s="2746"/>
      <c r="E249" s="2488"/>
      <c r="F249" s="2667"/>
      <c r="G249" s="2711"/>
      <c r="H249" s="1784"/>
      <c r="I249" s="935" t="s">
        <v>1152</v>
      </c>
      <c r="J249" s="855"/>
      <c r="K249" s="1784"/>
      <c r="L249" s="498"/>
      <c r="M249" s="625"/>
      <c r="N249" s="618"/>
      <c r="O249" s="1908"/>
      <c r="P249" s="1908"/>
      <c r="AH249" s="1915">
        <v>0</v>
      </c>
    </row>
    <row s="14077" customFormat="1" customHeight="1" ht="0.75" hidden="1">
      <c r="A250" s="2064"/>
      <c r="B250" s="2064"/>
      <c r="C250" s="653" t="s">
        <v>1162</v>
      </c>
      <c r="D250" s="2746"/>
      <c r="E250" s="2488"/>
      <c r="F250" s="2667"/>
      <c r="G250" s="684"/>
      <c r="H250" s="1784"/>
      <c r="I250" s="935"/>
      <c r="J250" s="855"/>
      <c r="K250" s="1784"/>
      <c r="L250" s="498"/>
      <c r="M250" s="625"/>
      <c r="N250" s="618"/>
      <c r="O250" s="1908"/>
      <c r="P250" s="1908"/>
      <c r="AH250" s="1915">
        <v>0</v>
      </c>
    </row>
    <row s="14077" customFormat="1" customHeight="1" ht="18.75" hidden="1">
      <c r="A251" s="2064" t="s">
        <v>255</v>
      </c>
      <c r="B251" s="2064" t="s">
        <v>256</v>
      </c>
      <c r="C251" s="653"/>
      <c r="D251" s="2746"/>
      <c r="E251" s="2488"/>
      <c r="F251" s="2667" t="str">
        <f>INDEX(PT_DIFFERENTIATION_VTAR,MATCH(A251,PT_DIFFERENTIATION_VTAR_ID,0))</f>
        <v>Тариф на горячую воду (горячее водоснабжение)</v>
      </c>
      <c r="G251" s="2711" t="str">
        <f>INDEX(PT_DIFFERENTIATION_NTAR,MATCH(B251,PT_DIFFERENTIATION_NTAR_ID,0))</f>
        <v/>
      </c>
      <c r="H251" s="2146"/>
      <c r="I251" s="2023"/>
      <c r="J251" s="2057"/>
      <c r="K251" s="2062"/>
      <c r="L251" s="2146" t="s">
        <v>311</v>
      </c>
      <c r="M251" s="625"/>
      <c r="N251" s="618"/>
      <c r="O251" s="1908"/>
      <c r="P251" s="1908"/>
      <c r="AH251" s="1915">
        <v>0</v>
      </c>
    </row>
    <row s="14077" customFormat="1" customHeight="1" ht="18.75" hidden="1">
      <c r="A252" s="2064"/>
      <c r="B252" s="2064"/>
      <c r="C252" s="653" t="s">
        <v>1153</v>
      </c>
      <c r="D252" s="2746"/>
      <c r="E252" s="2488"/>
      <c r="F252" s="2667"/>
      <c r="G252" s="2711"/>
      <c r="H252" s="1784"/>
      <c r="I252" s="935" t="s">
        <v>1152</v>
      </c>
      <c r="J252" s="855"/>
      <c r="K252" s="1784"/>
      <c r="L252" s="498"/>
      <c r="M252" s="625"/>
      <c r="N252" s="618"/>
      <c r="O252" s="1908"/>
      <c r="P252" s="1908"/>
      <c r="AH252" s="1915">
        <v>0</v>
      </c>
    </row>
    <row s="14077" customFormat="1" customHeight="1" ht="0.75" hidden="1">
      <c r="A253" s="2064"/>
      <c r="B253" s="2064"/>
      <c r="C253" s="653" t="s">
        <v>1162</v>
      </c>
      <c r="D253" s="2746"/>
      <c r="E253" s="2488"/>
      <c r="F253" s="2667"/>
      <c r="G253" s="684"/>
      <c r="H253" s="1784"/>
      <c r="I253" s="935"/>
      <c r="J253" s="855"/>
      <c r="K253" s="1784"/>
      <c r="L253" s="498"/>
      <c r="M253" s="625"/>
      <c r="N253" s="618"/>
      <c r="O253" s="1908"/>
      <c r="P253" s="1908"/>
      <c r="AH253" s="1915">
        <v>0</v>
      </c>
    </row>
    <row s="14077" customFormat="1" customHeight="1" ht="18.75" hidden="1">
      <c r="A254" s="2064" t="s">
        <v>260</v>
      </c>
      <c r="B254" s="2064" t="s">
        <v>261</v>
      </c>
      <c r="C254" s="653"/>
      <c r="D254" s="2746"/>
      <c r="E254" s="2488"/>
      <c r="F254" s="2667" t="str">
        <f>INDEX(PT_DIFFERENTIATION_VTAR,MATCH(A254,PT_DIFFERENTIATION_VTAR_ID,0))</f>
        <v>Тариф на транспортировку горячей воды</v>
      </c>
      <c r="G254" s="2711" t="str">
        <f>INDEX(PT_DIFFERENTIATION_NTAR,MATCH(B254,PT_DIFFERENTIATION_NTAR_ID,0))</f>
        <v/>
      </c>
      <c r="H254" s="2146"/>
      <c r="I254" s="2023"/>
      <c r="J254" s="2057"/>
      <c r="K254" s="2062"/>
      <c r="L254" s="2146" t="s">
        <v>311</v>
      </c>
      <c r="M254" s="625"/>
      <c r="N254" s="618"/>
      <c r="O254" s="1908"/>
      <c r="P254" s="1908"/>
      <c r="AH254" s="1915">
        <v>0</v>
      </c>
    </row>
    <row s="14077" customFormat="1" customHeight="1" ht="18.75" hidden="1">
      <c r="A255" s="2064"/>
      <c r="B255" s="2064"/>
      <c r="C255" s="653" t="s">
        <v>1153</v>
      </c>
      <c r="D255" s="2746"/>
      <c r="E255" s="2488"/>
      <c r="F255" s="2667"/>
      <c r="G255" s="2711"/>
      <c r="H255" s="1784"/>
      <c r="I255" s="935" t="s">
        <v>1152</v>
      </c>
      <c r="J255" s="855"/>
      <c r="K255" s="1784"/>
      <c r="L255" s="498"/>
      <c r="M255" s="625"/>
      <c r="N255" s="618"/>
      <c r="O255" s="1908"/>
      <c r="P255" s="1908"/>
      <c r="AH255" s="1915">
        <v>0</v>
      </c>
    </row>
    <row s="14077" customFormat="1" customHeight="1" ht="0.75" hidden="1">
      <c r="A256" s="2064"/>
      <c r="B256" s="2064"/>
      <c r="C256" s="653" t="s">
        <v>1162</v>
      </c>
      <c r="D256" s="2746"/>
      <c r="E256" s="2488"/>
      <c r="F256" s="2667"/>
      <c r="G256" s="684"/>
      <c r="H256" s="1784"/>
      <c r="I256" s="935"/>
      <c r="J256" s="855"/>
      <c r="K256" s="1784"/>
      <c r="L256" s="498"/>
      <c r="M256" s="625"/>
      <c r="N256" s="618"/>
      <c r="O256" s="1908"/>
      <c r="P256" s="1908"/>
      <c r="AH256" s="1915">
        <v>0</v>
      </c>
    </row>
    <row s="14077" customFormat="1" customHeight="1" ht="18.75" hidden="1">
      <c r="A257" s="2064" t="s">
        <v>265</v>
      </c>
      <c r="B257" s="2064" t="s">
        <v>266</v>
      </c>
      <c r="C257" s="653"/>
      <c r="D257" s="2746"/>
      <c r="E257" s="2488"/>
      <c r="F257" s="2667" t="str">
        <f>INDEX(PT_DIFFERENTIATION_VTAR,MATCH(A257,PT_DIFFERENTIATION_VTAR_ID,0))</f>
        <v>Тариф на подключение (технологическое присоединение) к централизованной системе горячего водоснабжения</v>
      </c>
      <c r="G257" s="2711" t="str">
        <f>INDEX(PT_DIFFERENTIATION_NTAR,MATCH(B257,PT_DIFFERENTIATION_NTAR_ID,0))</f>
        <v/>
      </c>
      <c r="H257" s="2146"/>
      <c r="I257" s="2023"/>
      <c r="J257" s="2057"/>
      <c r="K257" s="2062"/>
      <c r="L257" s="2146" t="s">
        <v>311</v>
      </c>
      <c r="M257" s="625"/>
      <c r="N257" s="618"/>
      <c r="O257" s="1908"/>
      <c r="P257" s="1908"/>
      <c r="AH257" s="1915">
        <v>0</v>
      </c>
    </row>
    <row s="14077" customFormat="1" customHeight="1" ht="18.75" hidden="1">
      <c r="A258" s="2064"/>
      <c r="B258" s="2064"/>
      <c r="C258" s="653" t="s">
        <v>1153</v>
      </c>
      <c r="D258" s="2746"/>
      <c r="E258" s="2488"/>
      <c r="F258" s="2667"/>
      <c r="G258" s="2711"/>
      <c r="H258" s="1784"/>
      <c r="I258" s="935" t="s">
        <v>1152</v>
      </c>
      <c r="J258" s="855"/>
      <c r="K258" s="1784"/>
      <c r="L258" s="498"/>
      <c r="M258" s="625"/>
      <c r="N258" s="618"/>
      <c r="O258" s="1908"/>
      <c r="P258" s="1908"/>
      <c r="AH258" s="1915">
        <v>0</v>
      </c>
    </row>
    <row s="14077" customFormat="1" customHeight="1" ht="0.75" hidden="1">
      <c r="A259" s="2064"/>
      <c r="B259" s="2064"/>
      <c r="C259" s="653" t="s">
        <v>1162</v>
      </c>
      <c r="D259" s="2746"/>
      <c r="E259" s="2488"/>
      <c r="F259" s="2667"/>
      <c r="G259" s="684"/>
      <c r="H259" s="1784"/>
      <c r="I259" s="935"/>
      <c r="J259" s="855"/>
      <c r="K259" s="1784"/>
      <c r="L259" s="498"/>
      <c r="M259" s="625"/>
      <c r="N259" s="618"/>
      <c r="O259" s="1908"/>
      <c r="P259" s="1908"/>
      <c r="AH259" s="1915">
        <v>0</v>
      </c>
    </row>
    <row s="14077" customFormat="1" customHeight="1" ht="18.75" hidden="1">
      <c r="A260" s="2064" t="s">
        <v>270</v>
      </c>
      <c r="B260" s="2064" t="s">
        <v>271</v>
      </c>
      <c r="C260" s="653"/>
      <c r="D260" s="2746"/>
      <c r="E260" s="2488"/>
      <c r="F260" s="2667" t="str">
        <f>INDEX(PT_DIFFERENTIATION_VTAR,MATCH(A260,PT_DIFFERENTIATION_VTAR_ID,0))</f>
        <v>Тариф на водоотведение</v>
      </c>
      <c r="G260" s="2711" t="str">
        <f>INDEX(PT_DIFFERENTIATION_NTAR,MATCH(B260,PT_DIFFERENTIATION_NTAR_ID,0))</f>
        <v/>
      </c>
      <c r="H260" s="2146"/>
      <c r="I260" s="2023"/>
      <c r="J260" s="2057"/>
      <c r="K260" s="2062"/>
      <c r="L260" s="2146" t="s">
        <v>311</v>
      </c>
      <c r="M260" s="625"/>
      <c r="N260" s="618"/>
      <c r="O260" s="1908"/>
      <c r="P260" s="1908"/>
      <c r="AH260" s="1915">
        <v>0</v>
      </c>
    </row>
    <row s="14077" customFormat="1" customHeight="1" ht="18.75" hidden="1">
      <c r="A261" s="2064"/>
      <c r="B261" s="2064"/>
      <c r="C261" s="653" t="s">
        <v>1153</v>
      </c>
      <c r="D261" s="2746"/>
      <c r="E261" s="2488"/>
      <c r="F261" s="2667"/>
      <c r="G261" s="2711"/>
      <c r="H261" s="1784"/>
      <c r="I261" s="935" t="s">
        <v>1152</v>
      </c>
      <c r="J261" s="855"/>
      <c r="K261" s="1784"/>
      <c r="L261" s="498"/>
      <c r="M261" s="625"/>
      <c r="N261" s="618"/>
      <c r="O261" s="1908"/>
      <c r="P261" s="1908"/>
      <c r="AH261" s="1915">
        <v>0</v>
      </c>
    </row>
    <row s="14077" customFormat="1" customHeight="1" ht="0.75" hidden="1">
      <c r="A262" s="2064"/>
      <c r="B262" s="2064"/>
      <c r="C262" s="653" t="s">
        <v>1162</v>
      </c>
      <c r="D262" s="2746"/>
      <c r="E262" s="2488"/>
      <c r="F262" s="2667"/>
      <c r="G262" s="684"/>
      <c r="H262" s="1784"/>
      <c r="I262" s="935"/>
      <c r="J262" s="855"/>
      <c r="K262" s="1784"/>
      <c r="L262" s="498"/>
      <c r="M262" s="625"/>
      <c r="N262" s="618"/>
      <c r="O262" s="1908"/>
      <c r="P262" s="1908"/>
      <c r="AH262" s="1915">
        <v>0</v>
      </c>
    </row>
    <row s="14077" customFormat="1" customHeight="1" ht="18.75" hidden="1">
      <c r="A263" s="2064" t="s">
        <v>275</v>
      </c>
      <c r="B263" s="2064" t="s">
        <v>276</v>
      </c>
      <c r="C263" s="653"/>
      <c r="D263" s="2746"/>
      <c r="E263" s="2488"/>
      <c r="F263" s="2667" t="str">
        <f>INDEX(PT_DIFFERENTIATION_VTAR,MATCH(A263,PT_DIFFERENTIATION_VTAR_ID,0))</f>
        <v>Тариф на транспортировку сточных вод</v>
      </c>
      <c r="G263" s="2711" t="str">
        <f>INDEX(PT_DIFFERENTIATION_NTAR,MATCH(B263,PT_DIFFERENTIATION_NTAR_ID,0))</f>
        <v/>
      </c>
      <c r="H263" s="2146"/>
      <c r="I263" s="2023"/>
      <c r="J263" s="2057"/>
      <c r="K263" s="2062"/>
      <c r="L263" s="2146" t="s">
        <v>311</v>
      </c>
      <c r="M263" s="625"/>
      <c r="N263" s="618"/>
      <c r="O263" s="1908"/>
      <c r="P263" s="1908"/>
      <c r="AH263" s="1915">
        <v>0</v>
      </c>
    </row>
    <row s="14077" customFormat="1" customHeight="1" ht="18.75" hidden="1">
      <c r="A264" s="2064"/>
      <c r="B264" s="2064"/>
      <c r="C264" s="653" t="s">
        <v>1153</v>
      </c>
      <c r="D264" s="2746"/>
      <c r="E264" s="2488"/>
      <c r="F264" s="2667"/>
      <c r="G264" s="2711"/>
      <c r="H264" s="1784"/>
      <c r="I264" s="935" t="s">
        <v>1152</v>
      </c>
      <c r="J264" s="855"/>
      <c r="K264" s="1784"/>
      <c r="L264" s="498"/>
      <c r="M264" s="625"/>
      <c r="N264" s="618"/>
      <c r="O264" s="1908"/>
      <c r="P264" s="1908"/>
      <c r="AH264" s="1915">
        <v>0</v>
      </c>
    </row>
    <row s="14077" customFormat="1" customHeight="1" ht="0.75" hidden="1">
      <c r="A265" s="2064"/>
      <c r="B265" s="2064"/>
      <c r="C265" s="653" t="s">
        <v>1162</v>
      </c>
      <c r="D265" s="2746"/>
      <c r="E265" s="2488"/>
      <c r="F265" s="2667"/>
      <c r="G265" s="684"/>
      <c r="H265" s="1784"/>
      <c r="I265" s="935"/>
      <c r="J265" s="855"/>
      <c r="K265" s="1784"/>
      <c r="L265" s="498"/>
      <c r="M265" s="625"/>
      <c r="N265" s="618"/>
      <c r="O265" s="1908"/>
      <c r="P265" s="1908"/>
      <c r="AH265" s="1915">
        <v>0</v>
      </c>
    </row>
    <row s="14077" customFormat="1" customHeight="1" ht="18.75" hidden="1">
      <c r="A266" s="2064" t="s">
        <v>280</v>
      </c>
      <c r="B266" s="2064" t="s">
        <v>281</v>
      </c>
      <c r="C266" s="653"/>
      <c r="D266" s="2746"/>
      <c r="E266" s="2488"/>
      <c r="F266" s="2667" t="str">
        <f>INDEX(PT_DIFFERENTIATION_VTAR,MATCH(A266,PT_DIFFERENTIATION_VTAR_ID,0))</f>
        <v>Тариф на подключение (технологическое присоединение) к централизованной системе водоотведения</v>
      </c>
      <c r="G266" s="2711" t="str">
        <f>INDEX(PT_DIFFERENTIATION_NTAR,MATCH(B266,PT_DIFFERENTIATION_NTAR_ID,0))</f>
        <v/>
      </c>
      <c r="H266" s="2146"/>
      <c r="I266" s="2023"/>
      <c r="J266" s="2057"/>
      <c r="K266" s="2062"/>
      <c r="L266" s="2146" t="s">
        <v>311</v>
      </c>
      <c r="M266" s="625"/>
      <c r="N266" s="618"/>
      <c r="O266" s="1908"/>
      <c r="P266" s="1908"/>
      <c r="AH266" s="1915">
        <v>0</v>
      </c>
    </row>
    <row s="14077" customFormat="1" customHeight="1" ht="18.75" hidden="1">
      <c r="A267" s="2064"/>
      <c r="B267" s="2064"/>
      <c r="C267" s="653" t="s">
        <v>1153</v>
      </c>
      <c r="D267" s="2746"/>
      <c r="E267" s="2488"/>
      <c r="F267" s="2667"/>
      <c r="G267" s="2711"/>
      <c r="H267" s="1784"/>
      <c r="I267" s="935" t="s">
        <v>1152</v>
      </c>
      <c r="J267" s="855"/>
      <c r="K267" s="1784"/>
      <c r="L267" s="498"/>
      <c r="M267" s="625"/>
      <c r="N267" s="618"/>
      <c r="O267" s="1908"/>
      <c r="P267" s="1908"/>
      <c r="AH267" s="1915">
        <v>0</v>
      </c>
    </row>
    <row s="14077" customFormat="1" customHeight="1" ht="1.05">
      <c r="A268" s="2064"/>
      <c r="B268" s="2064"/>
      <c r="C268" s="653" t="s">
        <v>1162</v>
      </c>
      <c r="D268" s="2746"/>
      <c r="E268" s="2488"/>
      <c r="F268" s="2667"/>
      <c r="G268" s="684"/>
      <c r="H268" s="1784"/>
      <c r="I268" s="935"/>
      <c r="J268" s="855"/>
      <c r="K268" s="1784"/>
      <c r="L268" s="498"/>
      <c r="M268" s="625"/>
      <c r="N268" s="618"/>
      <c r="O268" s="1908"/>
      <c r="P268" s="1908"/>
      <c r="AH268" s="1915">
        <v>1</v>
      </c>
    </row>
    <row customHeight="1" ht="27.299999999999997">
      <c r="A269" s="2064"/>
      <c r="B269" s="2064"/>
      <c r="D269" s="660"/>
      <c r="E269" s="431" t="s">
        <v>93</v>
      </c>
      <c r="F269" s="2744"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регулируемых цен (тарифов) в предыдущий период регулирования (при их наличии), определенном в соответствии с законодательством в сфере теплоснабжения</v>
      </c>
      <c r="G269" s="2744"/>
      <c r="H269" s="2744"/>
      <c r="I269" s="2744"/>
      <c r="J269" s="2744"/>
      <c r="K269" s="2744"/>
      <c r="L269" s="2744"/>
      <c r="M269" s="581"/>
      <c r="N269" s="618"/>
      <c r="AH269" s="658">
        <v>26</v>
      </c>
    </row>
    <row s="14077" customFormat="1" customHeight="1" ht="60.75" hidden="1">
      <c r="A270" s="2064" t="s">
        <v>156</v>
      </c>
      <c r="B270" s="2064" t="s">
        <v>157</v>
      </c>
      <c r="C270" s="653"/>
      <c r="D270" s="2746"/>
      <c r="E270" s="2488"/>
      <c r="F270" s="2667"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2711" t="str">
        <f>INDEX(PT_DIFFERENTIATION_NTAR,MATCH(B270,PT_DIFFERENTIATION_NTAR_ID,0))</f>
        <v/>
      </c>
      <c r="H270" s="2146"/>
      <c r="I270" s="2023"/>
      <c r="J270" s="2057"/>
      <c r="K270" s="2062"/>
      <c r="L270" s="2146" t="s">
        <v>311</v>
      </c>
      <c r="M270" s="2453"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618"/>
      <c r="O270" s="1908"/>
      <c r="P270" s="1908"/>
      <c r="AH270" s="1915">
        <v>0</v>
      </c>
    </row>
    <row s="14077" customFormat="1" customHeight="1" ht="18.75" hidden="1">
      <c r="A271" s="2064"/>
      <c r="B271" s="2064"/>
      <c r="C271" s="653" t="s">
        <v>1153</v>
      </c>
      <c r="D271" s="2746"/>
      <c r="E271" s="2488"/>
      <c r="F271" s="2667"/>
      <c r="G271" s="2711"/>
      <c r="H271" s="1784"/>
      <c r="I271" s="935" t="s">
        <v>1152</v>
      </c>
      <c r="J271" s="855"/>
      <c r="K271" s="1784"/>
      <c r="L271" s="498"/>
      <c r="M271" s="2454"/>
      <c r="N271" s="618"/>
      <c r="O271" s="1908"/>
      <c r="P271" s="1908"/>
      <c r="AH271" s="1915">
        <v>0</v>
      </c>
    </row>
    <row s="14077" customFormat="1" customHeight="1" ht="0.75" hidden="1">
      <c r="A272" s="2064"/>
      <c r="B272" s="2064"/>
      <c r="C272" s="653" t="s">
        <v>1162</v>
      </c>
      <c r="D272" s="2746"/>
      <c r="E272" s="2488"/>
      <c r="F272" s="2667"/>
      <c r="G272" s="684"/>
      <c r="H272" s="1784"/>
      <c r="I272" s="935"/>
      <c r="J272" s="855"/>
      <c r="K272" s="1784"/>
      <c r="L272" s="498"/>
      <c r="M272" s="2454"/>
      <c r="N272" s="618"/>
      <c r="O272" s="1908"/>
      <c r="P272" s="1908"/>
      <c r="AH272" s="1915">
        <v>0</v>
      </c>
    </row>
    <row s="14077" customFormat="1" customHeight="1" ht="45">
      <c r="A273" s="2064" t="s">
        <v>164</v>
      </c>
      <c r="B273" s="2064" t="s">
        <v>165</v>
      </c>
      <c r="C273" s="653"/>
      <c r="D273" s="2746"/>
      <c r="E273" s="2488"/>
      <c r="F273" s="2667" t="str">
        <f>INDEX(PT_DIFFERENTIATION_VTAR,MATCH(A273,PT_DIFFERENTIATION_VTAR_ID,0))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73" s="2711" t="str">
        <f>INDEX(PT_DIFFERENTIATION_NTAR,MATCH(B273,PT_DIFFERENTIATION_NTAR_ID,0))</f>
        <v>Тариф на тепловую энергию</v>
      </c>
      <c r="H273" s="2146"/>
      <c r="I273" s="4922">
        <v>45658</v>
      </c>
      <c r="J273" s="4923">
        <v>46022</v>
      </c>
      <c r="K273" s="2062">
        <v>21314.82</v>
      </c>
      <c r="L273" s="2146" t="s">
        <v>311</v>
      </c>
      <c r="M273" s="2455"/>
      <c r="N273" s="618"/>
      <c r="O273" s="1908"/>
      <c r="P273" s="1908"/>
      <c r="AH273" s="1915">
        <v>0</v>
      </c>
    </row>
    <row s="14077" customFormat="1" customHeight="1" ht="18.75">
      <c r="A274" s="2064"/>
      <c r="B274" s="2064"/>
      <c r="C274" s="653" t="s">
        <v>1153</v>
      </c>
      <c r="D274" s="2746"/>
      <c r="E274" s="2488"/>
      <c r="F274" s="2667"/>
      <c r="G274" s="2711"/>
      <c r="H274" s="1784"/>
      <c r="I274" s="935" t="s">
        <v>1152</v>
      </c>
      <c r="J274" s="855"/>
      <c r="K274" s="1784"/>
      <c r="L274" s="498"/>
      <c r="M274" s="2145"/>
      <c r="N274" s="618"/>
      <c r="O274" s="1908"/>
      <c r="P274" s="1908"/>
      <c r="AH274" s="1915">
        <v>0</v>
      </c>
    </row>
    <row s="14077" customFormat="1" customHeight="1" ht="0.75">
      <c r="A275" s="2064"/>
      <c r="B275" s="2064"/>
      <c r="C275" s="653" t="s">
        <v>1162</v>
      </c>
      <c r="D275" s="2746"/>
      <c r="E275" s="2488"/>
      <c r="F275" s="2667"/>
      <c r="G275" s="684"/>
      <c r="H275" s="1784"/>
      <c r="I275" s="935"/>
      <c r="J275" s="855"/>
      <c r="K275" s="1784"/>
      <c r="L275" s="498"/>
      <c r="M275" s="625"/>
      <c r="N275" s="618"/>
      <c r="O275" s="1908"/>
      <c r="P275" s="1908"/>
      <c r="AH275" s="1915">
        <v>0</v>
      </c>
    </row>
    <row s="14077" customFormat="1" customHeight="1" ht="45" hidden="1">
      <c r="A276" s="2064" t="s">
        <v>174</v>
      </c>
      <c r="B276" s="2064" t="s">
        <v>175</v>
      </c>
      <c r="C276" s="653"/>
      <c r="D276" s="2746"/>
      <c r="E276" s="2488"/>
      <c r="F276" s="2667"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2711" t="str">
        <f>INDEX(PT_DIFFERENTIATION_NTAR,MATCH(B276,PT_DIFFERENTIATION_NTAR_ID,0))</f>
        <v/>
      </c>
      <c r="H276" s="2146"/>
      <c r="I276" s="2023"/>
      <c r="J276" s="2057"/>
      <c r="K276" s="2062"/>
      <c r="L276" s="2146" t="s">
        <v>311</v>
      </c>
      <c r="M276" s="625"/>
      <c r="N276" s="618"/>
      <c r="O276" s="1908"/>
      <c r="P276" s="1908"/>
      <c r="AH276" s="1915">
        <v>0</v>
      </c>
    </row>
    <row s="14077" customFormat="1" customHeight="1" ht="18.75" hidden="1">
      <c r="A277" s="2064"/>
      <c r="B277" s="2064"/>
      <c r="C277" s="653" t="s">
        <v>1153</v>
      </c>
      <c r="D277" s="2746"/>
      <c r="E277" s="2488"/>
      <c r="F277" s="2667"/>
      <c r="G277" s="2711"/>
      <c r="H277" s="1784"/>
      <c r="I277" s="935" t="s">
        <v>1152</v>
      </c>
      <c r="J277" s="855"/>
      <c r="K277" s="1784"/>
      <c r="L277" s="498"/>
      <c r="M277" s="625"/>
      <c r="N277" s="618"/>
      <c r="O277" s="1908"/>
      <c r="P277" s="1908"/>
      <c r="AH277" s="1915">
        <v>0</v>
      </c>
    </row>
    <row s="14077" customFormat="1" customHeight="1" ht="0.75" hidden="1">
      <c r="A278" s="2064"/>
      <c r="B278" s="2064"/>
      <c r="C278" s="653" t="s">
        <v>1162</v>
      </c>
      <c r="D278" s="2746"/>
      <c r="E278" s="2488"/>
      <c r="F278" s="2667"/>
      <c r="G278" s="684"/>
      <c r="H278" s="1784"/>
      <c r="I278" s="935"/>
      <c r="J278" s="855"/>
      <c r="K278" s="1784"/>
      <c r="L278" s="498"/>
      <c r="M278" s="625"/>
      <c r="N278" s="618"/>
      <c r="O278" s="1908"/>
      <c r="P278" s="1908"/>
      <c r="AH278" s="1915">
        <v>0</v>
      </c>
    </row>
    <row s="14077" customFormat="1" customHeight="1" ht="45" hidden="1">
      <c r="A279" s="2064" t="s">
        <v>180</v>
      </c>
      <c r="B279" s="2064" t="s">
        <v>181</v>
      </c>
      <c r="C279" s="653"/>
      <c r="D279" s="2746"/>
      <c r="E279" s="2488"/>
      <c r="F279" s="2667"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2711" t="str">
        <f>INDEX(PT_DIFFERENTIATION_NTAR,MATCH(B279,PT_DIFFERENTIATION_NTAR_ID,0))</f>
        <v/>
      </c>
      <c r="H279" s="2146"/>
      <c r="I279" s="2023"/>
      <c r="J279" s="2057"/>
      <c r="K279" s="2062"/>
      <c r="L279" s="2146" t="s">
        <v>311</v>
      </c>
      <c r="M279" s="625"/>
      <c r="N279" s="618"/>
      <c r="O279" s="1908"/>
      <c r="P279" s="1908"/>
      <c r="AH279" s="1915">
        <v>0</v>
      </c>
    </row>
    <row s="14077" customFormat="1" customHeight="1" ht="18.75" hidden="1">
      <c r="A280" s="2064"/>
      <c r="B280" s="2064"/>
      <c r="C280" s="653" t="s">
        <v>1153</v>
      </c>
      <c r="D280" s="2746"/>
      <c r="E280" s="2488"/>
      <c r="F280" s="2667"/>
      <c r="G280" s="2711"/>
      <c r="H280" s="1784"/>
      <c r="I280" s="935" t="s">
        <v>1152</v>
      </c>
      <c r="J280" s="855"/>
      <c r="K280" s="1784"/>
      <c r="L280" s="498"/>
      <c r="M280" s="625"/>
      <c r="N280" s="618"/>
      <c r="O280" s="1908"/>
      <c r="P280" s="1908"/>
      <c r="AH280" s="1915">
        <v>0</v>
      </c>
    </row>
    <row s="14077" customFormat="1" customHeight="1" ht="0.75" hidden="1">
      <c r="A281" s="2064"/>
      <c r="B281" s="2064"/>
      <c r="C281" s="653" t="s">
        <v>1162</v>
      </c>
      <c r="D281" s="2746"/>
      <c r="E281" s="2488"/>
      <c r="F281" s="2667"/>
      <c r="G281" s="684"/>
      <c r="H281" s="1784"/>
      <c r="I281" s="935"/>
      <c r="J281" s="855"/>
      <c r="K281" s="1784"/>
      <c r="L281" s="498"/>
      <c r="M281" s="625"/>
      <c r="N281" s="618"/>
      <c r="O281" s="1908"/>
      <c r="P281" s="1908"/>
      <c r="AH281" s="1915">
        <v>0</v>
      </c>
    </row>
    <row s="14077" customFormat="1" customHeight="1" ht="18.75" hidden="1">
      <c r="A282" s="2064" t="s">
        <v>186</v>
      </c>
      <c r="B282" s="2064" t="s">
        <v>187</v>
      </c>
      <c r="C282" s="653"/>
      <c r="D282" s="2746"/>
      <c r="E282" s="2488"/>
      <c r="F282" s="2667" t="str">
        <f>INDEX(PT_DIFFERENTIATION_VTAR,MATCH(A282,PT_DIFFERENTIATION_VTAR_ID,0))</f>
        <v>Тарифы на услуги по передаче тепловой энергии</v>
      </c>
      <c r="G282" s="2711" t="str">
        <f>INDEX(PT_DIFFERENTIATION_NTAR,MATCH(B282,PT_DIFFERENTIATION_NTAR_ID,0))</f>
        <v/>
      </c>
      <c r="H282" s="2146"/>
      <c r="I282" s="2023"/>
      <c r="J282" s="2057"/>
      <c r="K282" s="2062"/>
      <c r="L282" s="2146" t="s">
        <v>311</v>
      </c>
      <c r="M282" s="625"/>
      <c r="N282" s="618"/>
      <c r="O282" s="1908"/>
      <c r="P282" s="1908"/>
      <c r="AH282" s="1915">
        <v>0</v>
      </c>
    </row>
    <row s="14077" customFormat="1" customHeight="1" ht="18.75" hidden="1">
      <c r="A283" s="2064"/>
      <c r="B283" s="2064"/>
      <c r="C283" s="653" t="s">
        <v>1153</v>
      </c>
      <c r="D283" s="2746"/>
      <c r="E283" s="2488"/>
      <c r="F283" s="2667"/>
      <c r="G283" s="2711"/>
      <c r="H283" s="1784"/>
      <c r="I283" s="935" t="s">
        <v>1152</v>
      </c>
      <c r="J283" s="855"/>
      <c r="K283" s="1784"/>
      <c r="L283" s="498"/>
      <c r="M283" s="625"/>
      <c r="N283" s="618"/>
      <c r="O283" s="1908"/>
      <c r="P283" s="1908"/>
      <c r="AH283" s="1915">
        <v>0</v>
      </c>
    </row>
    <row s="14077" customFormat="1" customHeight="1" ht="0.75" hidden="1">
      <c r="A284" s="2064"/>
      <c r="B284" s="2064"/>
      <c r="C284" s="653" t="s">
        <v>1162</v>
      </c>
      <c r="D284" s="2746"/>
      <c r="E284" s="2488"/>
      <c r="F284" s="2667"/>
      <c r="G284" s="684"/>
      <c r="H284" s="1784"/>
      <c r="I284" s="935"/>
      <c r="J284" s="855"/>
      <c r="K284" s="1784"/>
      <c r="L284" s="498"/>
      <c r="M284" s="625"/>
      <c r="N284" s="618"/>
      <c r="O284" s="1908"/>
      <c r="P284" s="1908"/>
      <c r="AH284" s="1915">
        <v>0</v>
      </c>
    </row>
    <row s="14077" customFormat="1" customHeight="1" ht="18.75" hidden="1">
      <c r="A285" s="2064" t="s">
        <v>192</v>
      </c>
      <c r="B285" s="2064" t="s">
        <v>193</v>
      </c>
      <c r="C285" s="653"/>
      <c r="D285" s="2746"/>
      <c r="E285" s="2488"/>
      <c r="F285" s="2667" t="str">
        <f>INDEX(PT_DIFFERENTIATION_VTAR,MATCH(A285,PT_DIFFERENTIATION_VTAR_ID,0))</f>
        <v>Тарифы на услуги по передаче теплоносителя</v>
      </c>
      <c r="G285" s="2711" t="str">
        <f>INDEX(PT_DIFFERENTIATION_NTAR,MATCH(B285,PT_DIFFERENTIATION_NTAR_ID,0))</f>
        <v/>
      </c>
      <c r="H285" s="2146"/>
      <c r="I285" s="2023"/>
      <c r="J285" s="2057"/>
      <c r="K285" s="2062"/>
      <c r="L285" s="2146" t="s">
        <v>311</v>
      </c>
      <c r="M285" s="625"/>
      <c r="N285" s="618"/>
      <c r="O285" s="1908"/>
      <c r="P285" s="1908"/>
      <c r="AH285" s="1915">
        <v>0</v>
      </c>
    </row>
    <row s="14077" customFormat="1" customHeight="1" ht="18.75" hidden="1">
      <c r="A286" s="2064"/>
      <c r="B286" s="2064"/>
      <c r="C286" s="653" t="s">
        <v>1153</v>
      </c>
      <c r="D286" s="2746"/>
      <c r="E286" s="2488"/>
      <c r="F286" s="2667"/>
      <c r="G286" s="2711"/>
      <c r="H286" s="1784"/>
      <c r="I286" s="935" t="s">
        <v>1152</v>
      </c>
      <c r="J286" s="855"/>
      <c r="K286" s="1784"/>
      <c r="L286" s="498"/>
      <c r="M286" s="625"/>
      <c r="N286" s="618"/>
      <c r="O286" s="1908"/>
      <c r="P286" s="1908"/>
      <c r="AH286" s="1915">
        <v>0</v>
      </c>
    </row>
    <row s="14077" customFormat="1" customHeight="1" ht="0.75" hidden="1">
      <c r="A287" s="2064"/>
      <c r="B287" s="2064"/>
      <c r="C287" s="653" t="s">
        <v>1162</v>
      </c>
      <c r="D287" s="2746"/>
      <c r="E287" s="2488"/>
      <c r="F287" s="2667"/>
      <c r="G287" s="684"/>
      <c r="H287" s="1784"/>
      <c r="I287" s="935"/>
      <c r="J287" s="855"/>
      <c r="K287" s="1784"/>
      <c r="L287" s="498"/>
      <c r="M287" s="625"/>
      <c r="N287" s="618"/>
      <c r="O287" s="1908"/>
      <c r="P287" s="1908"/>
      <c r="AH287" s="1915">
        <v>0</v>
      </c>
    </row>
    <row s="14077" customFormat="1" customHeight="1" ht="18.75" hidden="1">
      <c r="A288" s="2064" t="s">
        <v>198</v>
      </c>
      <c r="B288" s="2064" t="s">
        <v>199</v>
      </c>
      <c r="C288" s="653"/>
      <c r="D288" s="2746"/>
      <c r="E288" s="2488"/>
      <c r="F288" s="2667" t="str">
        <f>INDEX(PT_DIFFERENTIATION_VTAR,MATCH(A288,PT_DIFFERENTIATION_VTAR_ID,0))</f>
        <v>Плата за услуги по поддержанию резервной тепловой мощности при отсутствии потребления тепловой энергии</v>
      </c>
      <c r="G288" s="2711" t="str">
        <f>INDEX(PT_DIFFERENTIATION_NTAR,MATCH(B288,PT_DIFFERENTIATION_NTAR_ID,0))</f>
        <v/>
      </c>
      <c r="H288" s="2146"/>
      <c r="I288" s="2023"/>
      <c r="J288" s="2057"/>
      <c r="K288" s="2062"/>
      <c r="L288" s="2146" t="s">
        <v>311</v>
      </c>
      <c r="M288" s="625"/>
      <c r="N288" s="618"/>
      <c r="O288" s="1908"/>
      <c r="P288" s="1908"/>
      <c r="AH288" s="1915">
        <v>0</v>
      </c>
    </row>
    <row s="14077" customFormat="1" customHeight="1" ht="18.75" hidden="1">
      <c r="A289" s="2064"/>
      <c r="B289" s="2064"/>
      <c r="C289" s="653" t="s">
        <v>1153</v>
      </c>
      <c r="D289" s="2746"/>
      <c r="E289" s="2488"/>
      <c r="F289" s="2667"/>
      <c r="G289" s="2711"/>
      <c r="H289" s="1784"/>
      <c r="I289" s="935" t="s">
        <v>1152</v>
      </c>
      <c r="J289" s="855"/>
      <c r="K289" s="1784"/>
      <c r="L289" s="498"/>
      <c r="M289" s="625"/>
      <c r="N289" s="618"/>
      <c r="O289" s="1908"/>
      <c r="P289" s="1908"/>
      <c r="AH289" s="1915">
        <v>0</v>
      </c>
    </row>
    <row s="14077" customFormat="1" customHeight="1" ht="0.75" hidden="1">
      <c r="A290" s="2064"/>
      <c r="B290" s="2064"/>
      <c r="C290" s="653" t="s">
        <v>1162</v>
      </c>
      <c r="D290" s="2746"/>
      <c r="E290" s="2488"/>
      <c r="F290" s="2667"/>
      <c r="G290" s="684"/>
      <c r="H290" s="1784"/>
      <c r="I290" s="935"/>
      <c r="J290" s="855"/>
      <c r="K290" s="1784"/>
      <c r="L290" s="498"/>
      <c r="M290" s="625"/>
      <c r="N290" s="618"/>
      <c r="O290" s="1908"/>
      <c r="P290" s="1908"/>
      <c r="AH290" s="1915">
        <v>0</v>
      </c>
    </row>
    <row s="14077" customFormat="1" customHeight="1" ht="18.75" hidden="1">
      <c r="A291" s="2064" t="s">
        <v>204</v>
      </c>
      <c r="B291" s="2064" t="s">
        <v>205</v>
      </c>
      <c r="C291" s="653"/>
      <c r="D291" s="2746"/>
      <c r="E291" s="2488"/>
      <c r="F291" s="2667" t="str">
        <f>INDEX(PT_DIFFERENTIATION_VTAR,MATCH(A291,PT_DIFFERENTIATION_VTAR_ID,0))</f>
        <v>Плата за подключение (технологическое присоединение) к системе теплоснабжения</v>
      </c>
      <c r="G291" s="2711" t="str">
        <f>INDEX(PT_DIFFERENTIATION_NTAR,MATCH(B291,PT_DIFFERENTIATION_NTAR_ID,0))</f>
        <v/>
      </c>
      <c r="H291" s="2146"/>
      <c r="I291" s="2023"/>
      <c r="J291" s="2057"/>
      <c r="K291" s="2062"/>
      <c r="L291" s="2146" t="s">
        <v>311</v>
      </c>
      <c r="M291" s="625"/>
      <c r="N291" s="618"/>
      <c r="O291" s="1908"/>
      <c r="P291" s="1908"/>
      <c r="AH291" s="1915">
        <v>0</v>
      </c>
    </row>
    <row s="14077" customFormat="1" customHeight="1" ht="18.75" hidden="1">
      <c r="A292" s="2064"/>
      <c r="B292" s="2064"/>
      <c r="C292" s="653" t="s">
        <v>1153</v>
      </c>
      <c r="D292" s="2746"/>
      <c r="E292" s="2488"/>
      <c r="F292" s="2667"/>
      <c r="G292" s="2711"/>
      <c r="H292" s="1784"/>
      <c r="I292" s="935" t="s">
        <v>1152</v>
      </c>
      <c r="J292" s="855"/>
      <c r="K292" s="1784"/>
      <c r="L292" s="498"/>
      <c r="M292" s="625"/>
      <c r="N292" s="618"/>
      <c r="O292" s="1908"/>
      <c r="P292" s="1908"/>
      <c r="AH292" s="1915">
        <v>0</v>
      </c>
    </row>
    <row s="14077" customFormat="1" customHeight="1" ht="0.75" hidden="1">
      <c r="A293" s="2064"/>
      <c r="B293" s="2064"/>
      <c r="C293" s="653" t="s">
        <v>1162</v>
      </c>
      <c r="D293" s="2746"/>
      <c r="E293" s="2488"/>
      <c r="F293" s="2667"/>
      <c r="G293" s="684"/>
      <c r="H293" s="1784"/>
      <c r="I293" s="935"/>
      <c r="J293" s="855"/>
      <c r="K293" s="1784"/>
      <c r="L293" s="498"/>
      <c r="M293" s="625"/>
      <c r="N293" s="618"/>
      <c r="O293" s="1908"/>
      <c r="P293" s="1908"/>
      <c r="AH293" s="1915">
        <v>0</v>
      </c>
    </row>
    <row s="14077" customFormat="1" customHeight="1" ht="18.75" hidden="1">
      <c r="A294" s="2064" t="s">
        <v>210</v>
      </c>
      <c r="B294" s="2064" t="s">
        <v>211</v>
      </c>
      <c r="C294" s="653"/>
      <c r="D294" s="2746"/>
      <c r="E294" s="2488"/>
      <c r="F294" s="2667" t="str">
        <f>INDEX(PT_DIFFERENTIATION_VTAR,MATCH(A294,PT_DIFFERENTIATION_VTAR_ID,0))</f>
        <v>Плата за подключение (технологическое присоединение) к системе теплоснабжения (индивидуальная)</v>
      </c>
      <c r="G294" s="2711" t="str">
        <f>INDEX(PT_DIFFERENTIATION_NTAR,MATCH(B294,PT_DIFFERENTIATION_NTAR_ID,0))</f>
        <v/>
      </c>
      <c r="H294" s="2273"/>
      <c r="I294" s="2023"/>
      <c r="J294" s="2057"/>
      <c r="K294" s="2062"/>
      <c r="L294" s="2273" t="s">
        <v>311</v>
      </c>
      <c r="M294" s="625"/>
      <c r="N294" s="618"/>
      <c r="O294" s="1908"/>
      <c r="P294" s="1908"/>
      <c r="AH294" s="1915">
        <v>0</v>
      </c>
    </row>
    <row s="14077" customFormat="1" customHeight="1" ht="18.75" hidden="1">
      <c r="A295" s="2064"/>
      <c r="B295" s="2064"/>
      <c r="C295" s="653" t="s">
        <v>1153</v>
      </c>
      <c r="D295" s="2746"/>
      <c r="E295" s="2488"/>
      <c r="F295" s="2667"/>
      <c r="G295" s="2711"/>
      <c r="H295" s="1784"/>
      <c r="I295" s="935" t="s">
        <v>1152</v>
      </c>
      <c r="J295" s="855"/>
      <c r="K295" s="1784"/>
      <c r="L295" s="498"/>
      <c r="M295" s="625"/>
      <c r="N295" s="618"/>
      <c r="O295" s="1908"/>
      <c r="P295" s="1908"/>
      <c r="AH295" s="1915">
        <v>0</v>
      </c>
    </row>
    <row s="14077" customFormat="1" customHeight="1" ht="0.75" hidden="1">
      <c r="A296" s="2064"/>
      <c r="B296" s="2064"/>
      <c r="C296" s="653" t="s">
        <v>1162</v>
      </c>
      <c r="D296" s="2746"/>
      <c r="E296" s="2488"/>
      <c r="F296" s="2667"/>
      <c r="G296" s="684"/>
      <c r="H296" s="1784"/>
      <c r="I296" s="935"/>
      <c r="J296" s="855"/>
      <c r="K296" s="1784"/>
      <c r="L296" s="498"/>
      <c r="M296" s="625"/>
      <c r="N296" s="618"/>
      <c r="O296" s="1908"/>
      <c r="P296" s="1908"/>
      <c r="AH296" s="1915">
        <v>0</v>
      </c>
    </row>
    <row s="14077" customFormat="1" customHeight="1" ht="18.75" hidden="1">
      <c r="A297" s="2064" t="s">
        <v>230</v>
      </c>
      <c r="B297" s="2064" t="s">
        <v>231</v>
      </c>
      <c r="C297" s="653"/>
      <c r="D297" s="2746"/>
      <c r="E297" s="2488"/>
      <c r="F297" s="2667" t="str">
        <f>INDEX(PT_DIFFERENTIATION_VTAR,MATCH(A297,PT_DIFFERENTIATION_VTAR_ID,0))</f>
        <v>Тариф на питьевую воду (питьевое водоснабжение)</v>
      </c>
      <c r="G297" s="2711" t="str">
        <f>INDEX(PT_DIFFERENTIATION_NTAR,MATCH(B297,PT_DIFFERENTIATION_NTAR_ID,0))</f>
        <v/>
      </c>
      <c r="H297" s="2146"/>
      <c r="I297" s="2023"/>
      <c r="J297" s="2057"/>
      <c r="K297" s="2062"/>
      <c r="L297" s="2146" t="s">
        <v>311</v>
      </c>
      <c r="M297" s="625"/>
      <c r="N297" s="618"/>
      <c r="O297" s="1908"/>
      <c r="P297" s="1908"/>
      <c r="AH297" s="1915">
        <v>0</v>
      </c>
    </row>
    <row s="14077" customFormat="1" customHeight="1" ht="18.75" hidden="1">
      <c r="A298" s="2064"/>
      <c r="B298" s="2064"/>
      <c r="C298" s="653" t="s">
        <v>1153</v>
      </c>
      <c r="D298" s="2746"/>
      <c r="E298" s="2488"/>
      <c r="F298" s="2667"/>
      <c r="G298" s="2711"/>
      <c r="H298" s="1784"/>
      <c r="I298" s="935" t="s">
        <v>1152</v>
      </c>
      <c r="J298" s="855"/>
      <c r="K298" s="1784"/>
      <c r="L298" s="498"/>
      <c r="M298" s="625"/>
      <c r="N298" s="618"/>
      <c r="O298" s="1908"/>
      <c r="P298" s="1908"/>
      <c r="AH298" s="1915">
        <v>0</v>
      </c>
    </row>
    <row s="14077" customFormat="1" customHeight="1" ht="0.75" hidden="1">
      <c r="A299" s="2064"/>
      <c r="B299" s="2064"/>
      <c r="C299" s="653" t="s">
        <v>1162</v>
      </c>
      <c r="D299" s="2746"/>
      <c r="E299" s="2488"/>
      <c r="F299" s="2667"/>
      <c r="G299" s="684"/>
      <c r="H299" s="1784"/>
      <c r="I299" s="935"/>
      <c r="J299" s="855"/>
      <c r="K299" s="1784"/>
      <c r="L299" s="498"/>
      <c r="M299" s="625"/>
      <c r="N299" s="618"/>
      <c r="O299" s="1908"/>
      <c r="P299" s="1908"/>
      <c r="AH299" s="1915">
        <v>0</v>
      </c>
    </row>
    <row s="14077" customFormat="1" customHeight="1" ht="18.75" hidden="1">
      <c r="A300" s="2064" t="s">
        <v>235</v>
      </c>
      <c r="B300" s="2064" t="s">
        <v>236</v>
      </c>
      <c r="C300" s="653"/>
      <c r="D300" s="2746"/>
      <c r="E300" s="2488"/>
      <c r="F300" s="2667" t="str">
        <f>INDEX(PT_DIFFERENTIATION_VTAR,MATCH(A300,PT_DIFFERENTIATION_VTAR_ID,0))</f>
        <v>Тариф на техническую воду</v>
      </c>
      <c r="G300" s="2711" t="str">
        <f>INDEX(PT_DIFFERENTIATION_NTAR,MATCH(B300,PT_DIFFERENTIATION_NTAR_ID,0))</f>
        <v/>
      </c>
      <c r="H300" s="2146"/>
      <c r="I300" s="2023"/>
      <c r="J300" s="2057"/>
      <c r="K300" s="2062"/>
      <c r="L300" s="2146" t="s">
        <v>311</v>
      </c>
      <c r="M300" s="625"/>
      <c r="N300" s="618"/>
      <c r="O300" s="1908"/>
      <c r="P300" s="1908"/>
      <c r="AH300" s="1915">
        <v>0</v>
      </c>
    </row>
    <row s="14077" customFormat="1" customHeight="1" ht="18.75" hidden="1">
      <c r="A301" s="2064"/>
      <c r="B301" s="2064"/>
      <c r="C301" s="653" t="s">
        <v>1153</v>
      </c>
      <c r="D301" s="2746"/>
      <c r="E301" s="2488"/>
      <c r="F301" s="2667"/>
      <c r="G301" s="2711"/>
      <c r="H301" s="1784"/>
      <c r="I301" s="935" t="s">
        <v>1152</v>
      </c>
      <c r="J301" s="855"/>
      <c r="K301" s="1784"/>
      <c r="L301" s="498"/>
      <c r="M301" s="625"/>
      <c r="N301" s="618"/>
      <c r="O301" s="1908"/>
      <c r="P301" s="1908"/>
      <c r="AH301" s="1915">
        <v>0</v>
      </c>
    </row>
    <row s="14077" customFormat="1" customHeight="1" ht="0.75" hidden="1">
      <c r="A302" s="2064"/>
      <c r="B302" s="2064"/>
      <c r="C302" s="653" t="s">
        <v>1162</v>
      </c>
      <c r="D302" s="2746"/>
      <c r="E302" s="2488"/>
      <c r="F302" s="2667"/>
      <c r="G302" s="684"/>
      <c r="H302" s="1784"/>
      <c r="I302" s="935"/>
      <c r="J302" s="855"/>
      <c r="K302" s="1784"/>
      <c r="L302" s="498"/>
      <c r="M302" s="625"/>
      <c r="N302" s="618"/>
      <c r="O302" s="1908"/>
      <c r="P302" s="1908"/>
      <c r="AH302" s="1915">
        <v>0</v>
      </c>
    </row>
    <row s="14077" customFormat="1" customHeight="1" ht="18.75" hidden="1">
      <c r="A303" s="2064" t="s">
        <v>240</v>
      </c>
      <c r="B303" s="2064" t="s">
        <v>241</v>
      </c>
      <c r="C303" s="653"/>
      <c r="D303" s="2746"/>
      <c r="E303" s="2488"/>
      <c r="F303" s="2667" t="str">
        <f>INDEX(PT_DIFFERENTIATION_VTAR,MATCH(A303,PT_DIFFERENTIATION_VTAR_ID,0))</f>
        <v>Тариф на транспортировку воды</v>
      </c>
      <c r="G303" s="2711" t="str">
        <f>INDEX(PT_DIFFERENTIATION_NTAR,MATCH(B303,PT_DIFFERENTIATION_NTAR_ID,0))</f>
        <v/>
      </c>
      <c r="H303" s="2146"/>
      <c r="I303" s="2023"/>
      <c r="J303" s="2057"/>
      <c r="K303" s="2062"/>
      <c r="L303" s="2146" t="s">
        <v>311</v>
      </c>
      <c r="M303" s="625"/>
      <c r="N303" s="618"/>
      <c r="O303" s="1908"/>
      <c r="P303" s="1908"/>
      <c r="AH303" s="1915">
        <v>0</v>
      </c>
    </row>
    <row s="14077" customFormat="1" customHeight="1" ht="18.75" hidden="1">
      <c r="A304" s="2064"/>
      <c r="B304" s="2064"/>
      <c r="C304" s="653" t="s">
        <v>1153</v>
      </c>
      <c r="D304" s="2746"/>
      <c r="E304" s="2488"/>
      <c r="F304" s="2667"/>
      <c r="G304" s="2711"/>
      <c r="H304" s="1784"/>
      <c r="I304" s="935" t="s">
        <v>1152</v>
      </c>
      <c r="J304" s="855"/>
      <c r="K304" s="1784"/>
      <c r="L304" s="498"/>
      <c r="M304" s="625"/>
      <c r="N304" s="618"/>
      <c r="O304" s="1908"/>
      <c r="P304" s="1908"/>
      <c r="AH304" s="1915">
        <v>0</v>
      </c>
    </row>
    <row s="14077" customFormat="1" customHeight="1" ht="0.75" hidden="1">
      <c r="A305" s="2064"/>
      <c r="B305" s="2064"/>
      <c r="C305" s="653" t="s">
        <v>1162</v>
      </c>
      <c r="D305" s="2746"/>
      <c r="E305" s="2488"/>
      <c r="F305" s="2667"/>
      <c r="G305" s="684"/>
      <c r="H305" s="1784"/>
      <c r="I305" s="935"/>
      <c r="J305" s="855"/>
      <c r="K305" s="1784"/>
      <c r="L305" s="498"/>
      <c r="M305" s="625"/>
      <c r="N305" s="618"/>
      <c r="O305" s="1908"/>
      <c r="P305" s="1908"/>
      <c r="AH305" s="1915">
        <v>0</v>
      </c>
    </row>
    <row s="14077" customFormat="1" customHeight="1" ht="18.75" hidden="1">
      <c r="A306" s="2064" t="s">
        <v>245</v>
      </c>
      <c r="B306" s="2064" t="s">
        <v>246</v>
      </c>
      <c r="C306" s="653"/>
      <c r="D306" s="2746"/>
      <c r="E306" s="2488"/>
      <c r="F306" s="2667" t="str">
        <f>INDEX(PT_DIFFERENTIATION_VTAR,MATCH(A306,PT_DIFFERENTIATION_VTAR_ID,0))</f>
        <v>Тариф на подвоз воды</v>
      </c>
      <c r="G306" s="2711" t="str">
        <f>INDEX(PT_DIFFERENTIATION_NTAR,MATCH(B306,PT_DIFFERENTIATION_NTAR_ID,0))</f>
        <v/>
      </c>
      <c r="H306" s="2146"/>
      <c r="I306" s="2023"/>
      <c r="J306" s="2057"/>
      <c r="K306" s="2062"/>
      <c r="L306" s="2146" t="s">
        <v>311</v>
      </c>
      <c r="M306" s="625"/>
      <c r="N306" s="618"/>
      <c r="O306" s="1908"/>
      <c r="P306" s="1908"/>
      <c r="AH306" s="1915">
        <v>0</v>
      </c>
    </row>
    <row s="14077" customFormat="1" customHeight="1" ht="18.75" hidden="1">
      <c r="A307" s="2064"/>
      <c r="B307" s="2064"/>
      <c r="C307" s="653" t="s">
        <v>1153</v>
      </c>
      <c r="D307" s="2746"/>
      <c r="E307" s="2488"/>
      <c r="F307" s="2667"/>
      <c r="G307" s="2711"/>
      <c r="H307" s="1784"/>
      <c r="I307" s="935" t="s">
        <v>1152</v>
      </c>
      <c r="J307" s="855"/>
      <c r="K307" s="1784"/>
      <c r="L307" s="498"/>
      <c r="M307" s="625"/>
      <c r="N307" s="618"/>
      <c r="O307" s="1908"/>
      <c r="P307" s="1908"/>
      <c r="AH307" s="1915">
        <v>0</v>
      </c>
    </row>
    <row s="14077" customFormat="1" customHeight="1" ht="0.75" hidden="1">
      <c r="A308" s="2064"/>
      <c r="B308" s="2064"/>
      <c r="C308" s="653" t="s">
        <v>1162</v>
      </c>
      <c r="D308" s="2746"/>
      <c r="E308" s="2488"/>
      <c r="F308" s="2667"/>
      <c r="G308" s="684"/>
      <c r="H308" s="1784"/>
      <c r="I308" s="935"/>
      <c r="J308" s="855"/>
      <c r="K308" s="1784"/>
      <c r="L308" s="498"/>
      <c r="M308" s="625"/>
      <c r="N308" s="618"/>
      <c r="O308" s="1908"/>
      <c r="P308" s="1908"/>
      <c r="AH308" s="1915">
        <v>0</v>
      </c>
    </row>
    <row s="14077" customFormat="1" customHeight="1" ht="18.75" hidden="1">
      <c r="A309" s="2064" t="s">
        <v>250</v>
      </c>
      <c r="B309" s="2064" t="s">
        <v>251</v>
      </c>
      <c r="C309" s="653"/>
      <c r="D309" s="2746"/>
      <c r="E309" s="2488"/>
      <c r="F309" s="2667"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2711" t="str">
        <f>INDEX(PT_DIFFERENTIATION_NTAR,MATCH(B309,PT_DIFFERENTIATION_NTAR_ID,0))</f>
        <v/>
      </c>
      <c r="H309" s="2146"/>
      <c r="I309" s="2023"/>
      <c r="J309" s="2057"/>
      <c r="K309" s="2062"/>
      <c r="L309" s="2146" t="s">
        <v>311</v>
      </c>
      <c r="M309" s="625"/>
      <c r="N309" s="618"/>
      <c r="O309" s="1908"/>
      <c r="P309" s="1908"/>
      <c r="AH309" s="1915">
        <v>0</v>
      </c>
    </row>
    <row s="14077" customFormat="1" customHeight="1" ht="18.75" hidden="1">
      <c r="A310" s="2064"/>
      <c r="B310" s="2064"/>
      <c r="C310" s="653" t="s">
        <v>1153</v>
      </c>
      <c r="D310" s="2746"/>
      <c r="E310" s="2488"/>
      <c r="F310" s="2667"/>
      <c r="G310" s="2711"/>
      <c r="H310" s="1784"/>
      <c r="I310" s="935" t="s">
        <v>1152</v>
      </c>
      <c r="J310" s="855"/>
      <c r="K310" s="1784"/>
      <c r="L310" s="498"/>
      <c r="M310" s="625"/>
      <c r="N310" s="618"/>
      <c r="O310" s="1908"/>
      <c r="P310" s="1908"/>
      <c r="AH310" s="1915">
        <v>0</v>
      </c>
    </row>
    <row s="14077" customFormat="1" customHeight="1" ht="0.75" hidden="1">
      <c r="A311" s="2064"/>
      <c r="B311" s="2064"/>
      <c r="C311" s="653" t="s">
        <v>1162</v>
      </c>
      <c r="D311" s="2746"/>
      <c r="E311" s="2488"/>
      <c r="F311" s="2667"/>
      <c r="G311" s="684"/>
      <c r="H311" s="1784"/>
      <c r="I311" s="935"/>
      <c r="J311" s="855"/>
      <c r="K311" s="1784"/>
      <c r="L311" s="498"/>
      <c r="M311" s="625"/>
      <c r="N311" s="618"/>
      <c r="O311" s="1908"/>
      <c r="P311" s="1908"/>
      <c r="AH311" s="1915">
        <v>0</v>
      </c>
    </row>
    <row s="14077" customFormat="1" customHeight="1" ht="18.75" hidden="1">
      <c r="A312" s="2064" t="s">
        <v>255</v>
      </c>
      <c r="B312" s="2064" t="s">
        <v>256</v>
      </c>
      <c r="C312" s="653"/>
      <c r="D312" s="2746"/>
      <c r="E312" s="2488"/>
      <c r="F312" s="2667" t="str">
        <f>INDEX(PT_DIFFERENTIATION_VTAR,MATCH(A312,PT_DIFFERENTIATION_VTAR_ID,0))</f>
        <v>Тариф на горячую воду (горячее водоснабжение)</v>
      </c>
      <c r="G312" s="2711" t="str">
        <f>INDEX(PT_DIFFERENTIATION_NTAR,MATCH(B312,PT_DIFFERENTIATION_NTAR_ID,0))</f>
        <v/>
      </c>
      <c r="H312" s="2146"/>
      <c r="I312" s="2023"/>
      <c r="J312" s="2057"/>
      <c r="K312" s="2062"/>
      <c r="L312" s="2146" t="s">
        <v>311</v>
      </c>
      <c r="M312" s="625"/>
      <c r="N312" s="618"/>
      <c r="O312" s="1908"/>
      <c r="P312" s="1908"/>
      <c r="AH312" s="1915">
        <v>0</v>
      </c>
    </row>
    <row s="14077" customFormat="1" customHeight="1" ht="18.75" hidden="1">
      <c r="A313" s="2064"/>
      <c r="B313" s="2064"/>
      <c r="C313" s="653" t="s">
        <v>1153</v>
      </c>
      <c r="D313" s="2746"/>
      <c r="E313" s="2488"/>
      <c r="F313" s="2667"/>
      <c r="G313" s="2711"/>
      <c r="H313" s="1784"/>
      <c r="I313" s="935" t="s">
        <v>1152</v>
      </c>
      <c r="J313" s="855"/>
      <c r="K313" s="1784"/>
      <c r="L313" s="498"/>
      <c r="M313" s="625"/>
      <c r="N313" s="618"/>
      <c r="O313" s="1908"/>
      <c r="P313" s="1908"/>
      <c r="AH313" s="1915">
        <v>0</v>
      </c>
    </row>
    <row s="14077" customFormat="1" customHeight="1" ht="0.75" hidden="1">
      <c r="A314" s="2064"/>
      <c r="B314" s="2064"/>
      <c r="C314" s="653" t="s">
        <v>1162</v>
      </c>
      <c r="D314" s="2746"/>
      <c r="E314" s="2488"/>
      <c r="F314" s="2667"/>
      <c r="G314" s="684"/>
      <c r="H314" s="1784"/>
      <c r="I314" s="935"/>
      <c r="J314" s="855"/>
      <c r="K314" s="1784"/>
      <c r="L314" s="498"/>
      <c r="M314" s="625"/>
      <c r="N314" s="618"/>
      <c r="O314" s="1908"/>
      <c r="P314" s="1908"/>
      <c r="AH314" s="1915">
        <v>0</v>
      </c>
    </row>
    <row s="14077" customFormat="1" customHeight="1" ht="18.75" hidden="1">
      <c r="A315" s="2064" t="s">
        <v>260</v>
      </c>
      <c r="B315" s="2064" t="s">
        <v>261</v>
      </c>
      <c r="C315" s="653"/>
      <c r="D315" s="2746"/>
      <c r="E315" s="2488"/>
      <c r="F315" s="2667" t="str">
        <f>INDEX(PT_DIFFERENTIATION_VTAR,MATCH(A315,PT_DIFFERENTIATION_VTAR_ID,0))</f>
        <v>Тариф на транспортировку горячей воды</v>
      </c>
      <c r="G315" s="2711" t="str">
        <f>INDEX(PT_DIFFERENTIATION_NTAR,MATCH(B315,PT_DIFFERENTIATION_NTAR_ID,0))</f>
        <v/>
      </c>
      <c r="H315" s="2146"/>
      <c r="I315" s="2023"/>
      <c r="J315" s="2057"/>
      <c r="K315" s="2062"/>
      <c r="L315" s="2146" t="s">
        <v>311</v>
      </c>
      <c r="M315" s="625"/>
      <c r="N315" s="618"/>
      <c r="O315" s="1908"/>
      <c r="P315" s="1908"/>
      <c r="AH315" s="1915">
        <v>0</v>
      </c>
    </row>
    <row s="14077" customFormat="1" customHeight="1" ht="18.75" hidden="1">
      <c r="A316" s="2064"/>
      <c r="B316" s="2064"/>
      <c r="C316" s="653" t="s">
        <v>1153</v>
      </c>
      <c r="D316" s="2746"/>
      <c r="E316" s="2488"/>
      <c r="F316" s="2667"/>
      <c r="G316" s="2711"/>
      <c r="H316" s="1784"/>
      <c r="I316" s="935" t="s">
        <v>1152</v>
      </c>
      <c r="J316" s="855"/>
      <c r="K316" s="1784"/>
      <c r="L316" s="498"/>
      <c r="M316" s="625"/>
      <c r="N316" s="618"/>
      <c r="O316" s="1908"/>
      <c r="P316" s="1908"/>
      <c r="AH316" s="1915">
        <v>0</v>
      </c>
    </row>
    <row s="14077" customFormat="1" customHeight="1" ht="0.75" hidden="1">
      <c r="A317" s="2064"/>
      <c r="B317" s="2064"/>
      <c r="C317" s="653" t="s">
        <v>1162</v>
      </c>
      <c r="D317" s="2746"/>
      <c r="E317" s="2488"/>
      <c r="F317" s="2667"/>
      <c r="G317" s="684"/>
      <c r="H317" s="1784"/>
      <c r="I317" s="935"/>
      <c r="J317" s="855"/>
      <c r="K317" s="1784"/>
      <c r="L317" s="498"/>
      <c r="M317" s="625"/>
      <c r="N317" s="618"/>
      <c r="O317" s="1908"/>
      <c r="P317" s="1908"/>
      <c r="AH317" s="1915">
        <v>0</v>
      </c>
    </row>
    <row s="14077" customFormat="1" customHeight="1" ht="18.75" hidden="1">
      <c r="A318" s="2064" t="s">
        <v>265</v>
      </c>
      <c r="B318" s="2064" t="s">
        <v>266</v>
      </c>
      <c r="C318" s="653"/>
      <c r="D318" s="2746"/>
      <c r="E318" s="2488"/>
      <c r="F318" s="2667" t="str">
        <f>INDEX(PT_DIFFERENTIATION_VTAR,MATCH(A318,PT_DIFFERENTIATION_VTAR_ID,0))</f>
        <v>Тариф на подключение (технологическое присоединение) к централизованной системе горячего водоснабжения</v>
      </c>
      <c r="G318" s="2711" t="str">
        <f>INDEX(PT_DIFFERENTIATION_NTAR,MATCH(B318,PT_DIFFERENTIATION_NTAR_ID,0))</f>
        <v/>
      </c>
      <c r="H318" s="2146"/>
      <c r="I318" s="2023"/>
      <c r="J318" s="2057"/>
      <c r="K318" s="2062"/>
      <c r="L318" s="2146" t="s">
        <v>311</v>
      </c>
      <c r="M318" s="625"/>
      <c r="N318" s="618"/>
      <c r="O318" s="1908"/>
      <c r="P318" s="1908"/>
      <c r="AH318" s="1915">
        <v>0</v>
      </c>
    </row>
    <row s="14077" customFormat="1" customHeight="1" ht="18.75" hidden="1">
      <c r="A319" s="2064"/>
      <c r="B319" s="2064"/>
      <c r="C319" s="653" t="s">
        <v>1153</v>
      </c>
      <c r="D319" s="2746"/>
      <c r="E319" s="2488"/>
      <c r="F319" s="2667"/>
      <c r="G319" s="2711"/>
      <c r="H319" s="1784"/>
      <c r="I319" s="935" t="s">
        <v>1152</v>
      </c>
      <c r="J319" s="855"/>
      <c r="K319" s="1784"/>
      <c r="L319" s="498"/>
      <c r="M319" s="625"/>
      <c r="N319" s="618"/>
      <c r="O319" s="1908"/>
      <c r="P319" s="1908"/>
      <c r="AH319" s="1915">
        <v>0</v>
      </c>
    </row>
    <row s="14077" customFormat="1" customHeight="1" ht="0.75" hidden="1">
      <c r="A320" s="2064"/>
      <c r="B320" s="2064"/>
      <c r="C320" s="653" t="s">
        <v>1162</v>
      </c>
      <c r="D320" s="2746"/>
      <c r="E320" s="2488"/>
      <c r="F320" s="2667"/>
      <c r="G320" s="684"/>
      <c r="H320" s="1784"/>
      <c r="I320" s="935"/>
      <c r="J320" s="855"/>
      <c r="K320" s="1784"/>
      <c r="L320" s="498"/>
      <c r="M320" s="625"/>
      <c r="N320" s="618"/>
      <c r="O320" s="1908"/>
      <c r="P320" s="1908"/>
      <c r="AH320" s="1915">
        <v>0</v>
      </c>
    </row>
    <row s="14077" customFormat="1" customHeight="1" ht="18.75" hidden="1">
      <c r="A321" s="2064" t="s">
        <v>270</v>
      </c>
      <c r="B321" s="2064" t="s">
        <v>271</v>
      </c>
      <c r="C321" s="653"/>
      <c r="D321" s="2746"/>
      <c r="E321" s="2488"/>
      <c r="F321" s="2667" t="str">
        <f>INDEX(PT_DIFFERENTIATION_VTAR,MATCH(A321,PT_DIFFERENTIATION_VTAR_ID,0))</f>
        <v>Тариф на водоотведение</v>
      </c>
      <c r="G321" s="2711" t="str">
        <f>INDEX(PT_DIFFERENTIATION_NTAR,MATCH(B321,PT_DIFFERENTIATION_NTAR_ID,0))</f>
        <v/>
      </c>
      <c r="H321" s="2146"/>
      <c r="I321" s="2023"/>
      <c r="J321" s="2057"/>
      <c r="K321" s="2062"/>
      <c r="L321" s="2146" t="s">
        <v>311</v>
      </c>
      <c r="M321" s="625"/>
      <c r="N321" s="618"/>
      <c r="O321" s="1908"/>
      <c r="P321" s="1908"/>
      <c r="AH321" s="1915">
        <v>0</v>
      </c>
    </row>
    <row s="14077" customFormat="1" customHeight="1" ht="18.75" hidden="1">
      <c r="A322" s="2064"/>
      <c r="B322" s="2064"/>
      <c r="C322" s="653" t="s">
        <v>1153</v>
      </c>
      <c r="D322" s="2746"/>
      <c r="E322" s="2488"/>
      <c r="F322" s="2667"/>
      <c r="G322" s="2711"/>
      <c r="H322" s="1784"/>
      <c r="I322" s="935" t="s">
        <v>1152</v>
      </c>
      <c r="J322" s="855"/>
      <c r="K322" s="1784"/>
      <c r="L322" s="498"/>
      <c r="M322" s="625"/>
      <c r="N322" s="618"/>
      <c r="O322" s="1908"/>
      <c r="P322" s="1908"/>
      <c r="AH322" s="1915">
        <v>0</v>
      </c>
    </row>
    <row s="14077" customFormat="1" customHeight="1" ht="0.75" hidden="1">
      <c r="A323" s="2064"/>
      <c r="B323" s="2064"/>
      <c r="C323" s="653" t="s">
        <v>1162</v>
      </c>
      <c r="D323" s="2746"/>
      <c r="E323" s="2488"/>
      <c r="F323" s="2667"/>
      <c r="G323" s="684"/>
      <c r="H323" s="1784"/>
      <c r="I323" s="935"/>
      <c r="J323" s="855"/>
      <c r="K323" s="1784"/>
      <c r="L323" s="498"/>
      <c r="M323" s="625"/>
      <c r="N323" s="618"/>
      <c r="O323" s="1908"/>
      <c r="P323" s="1908"/>
      <c r="AH323" s="1915">
        <v>0</v>
      </c>
    </row>
    <row s="14077" customFormat="1" customHeight="1" ht="18.75" hidden="1">
      <c r="A324" s="2064" t="s">
        <v>275</v>
      </c>
      <c r="B324" s="2064" t="s">
        <v>276</v>
      </c>
      <c r="C324" s="653"/>
      <c r="D324" s="2746"/>
      <c r="E324" s="2488"/>
      <c r="F324" s="2667" t="str">
        <f>INDEX(PT_DIFFERENTIATION_VTAR,MATCH(A324,PT_DIFFERENTIATION_VTAR_ID,0))</f>
        <v>Тариф на транспортировку сточных вод</v>
      </c>
      <c r="G324" s="2711" t="str">
        <f>INDEX(PT_DIFFERENTIATION_NTAR,MATCH(B324,PT_DIFFERENTIATION_NTAR_ID,0))</f>
        <v/>
      </c>
      <c r="H324" s="2146"/>
      <c r="I324" s="2023"/>
      <c r="J324" s="2057"/>
      <c r="K324" s="2062"/>
      <c r="L324" s="2146" t="s">
        <v>311</v>
      </c>
      <c r="M324" s="625"/>
      <c r="N324" s="618"/>
      <c r="O324" s="1908"/>
      <c r="P324" s="1908"/>
      <c r="AH324" s="1915">
        <v>0</v>
      </c>
    </row>
    <row s="14077" customFormat="1" customHeight="1" ht="18.75" hidden="1">
      <c r="A325" s="2064"/>
      <c r="B325" s="2064"/>
      <c r="C325" s="653" t="s">
        <v>1153</v>
      </c>
      <c r="D325" s="2746"/>
      <c r="E325" s="2488"/>
      <c r="F325" s="2667"/>
      <c r="G325" s="2711"/>
      <c r="H325" s="1784"/>
      <c r="I325" s="935" t="s">
        <v>1152</v>
      </c>
      <c r="J325" s="855"/>
      <c r="K325" s="1784"/>
      <c r="L325" s="498"/>
      <c r="M325" s="625"/>
      <c r="N325" s="618"/>
      <c r="O325" s="1908"/>
      <c r="P325" s="1908"/>
      <c r="AH325" s="1915">
        <v>0</v>
      </c>
    </row>
    <row s="14077" customFormat="1" customHeight="1" ht="0.75" hidden="1">
      <c r="A326" s="2064"/>
      <c r="B326" s="2064"/>
      <c r="C326" s="653" t="s">
        <v>1162</v>
      </c>
      <c r="D326" s="2746"/>
      <c r="E326" s="2488"/>
      <c r="F326" s="2667"/>
      <c r="G326" s="684"/>
      <c r="H326" s="1784"/>
      <c r="I326" s="935"/>
      <c r="J326" s="855"/>
      <c r="K326" s="1784"/>
      <c r="L326" s="498"/>
      <c r="M326" s="625"/>
      <c r="N326" s="618"/>
      <c r="O326" s="1908"/>
      <c r="P326" s="1908"/>
      <c r="AH326" s="1915">
        <v>0</v>
      </c>
    </row>
    <row s="14077" customFormat="1" customHeight="1" ht="18.75" hidden="1">
      <c r="A327" s="2064" t="s">
        <v>280</v>
      </c>
      <c r="B327" s="2064" t="s">
        <v>281</v>
      </c>
      <c r="C327" s="653"/>
      <c r="D327" s="2746"/>
      <c r="E327" s="2488"/>
      <c r="F327" s="2667" t="str">
        <f>INDEX(PT_DIFFERENTIATION_VTAR,MATCH(A327,PT_DIFFERENTIATION_VTAR_ID,0))</f>
        <v>Тариф на подключение (технологическое присоединение) к централизованной системе водоотведения</v>
      </c>
      <c r="G327" s="2711" t="str">
        <f>INDEX(PT_DIFFERENTIATION_NTAR,MATCH(B327,PT_DIFFERENTIATION_NTAR_ID,0))</f>
        <v/>
      </c>
      <c r="H327" s="2146"/>
      <c r="I327" s="2023"/>
      <c r="J327" s="2057"/>
      <c r="K327" s="2062"/>
      <c r="L327" s="2146" t="s">
        <v>311</v>
      </c>
      <c r="M327" s="625"/>
      <c r="N327" s="618"/>
      <c r="O327" s="1908"/>
      <c r="P327" s="1908"/>
      <c r="AH327" s="1915">
        <v>0</v>
      </c>
    </row>
    <row s="14077" customFormat="1" customHeight="1" ht="18.75" hidden="1">
      <c r="A328" s="2064"/>
      <c r="B328" s="2064"/>
      <c r="C328" s="653" t="s">
        <v>1153</v>
      </c>
      <c r="D328" s="2746"/>
      <c r="E328" s="2488"/>
      <c r="F328" s="2667"/>
      <c r="G328" s="2711"/>
      <c r="H328" s="1784"/>
      <c r="I328" s="935" t="s">
        <v>1152</v>
      </c>
      <c r="J328" s="855"/>
      <c r="K328" s="1784"/>
      <c r="L328" s="498"/>
      <c r="M328" s="625"/>
      <c r="N328" s="618"/>
      <c r="O328" s="1908"/>
      <c r="P328" s="1908"/>
      <c r="AH328" s="1915">
        <v>0</v>
      </c>
    </row>
    <row s="14077" customFormat="1" customHeight="1" ht="1.05">
      <c r="A329" s="2064"/>
      <c r="B329" s="2064"/>
      <c r="C329" s="653" t="s">
        <v>1162</v>
      </c>
      <c r="D329" s="2746"/>
      <c r="E329" s="2488"/>
      <c r="F329" s="2667"/>
      <c r="G329" s="684"/>
      <c r="H329" s="1784"/>
      <c r="I329" s="935"/>
      <c r="J329" s="855"/>
      <c r="K329" s="1784"/>
      <c r="L329" s="498"/>
      <c r="M329" s="625"/>
      <c r="N329" s="618"/>
      <c r="O329" s="1908"/>
      <c r="P329" s="1908"/>
      <c r="AH329" s="1915">
        <v>1</v>
      </c>
    </row>
    <row s="16016" customFormat="1" customHeight="1" ht="3">
      <c r="A330" s="2064"/>
      <c r="B330" s="2064"/>
      <c r="C330" s="2065"/>
      <c r="E330" s="686"/>
      <c r="F330" s="686"/>
      <c r="G330" s="686"/>
      <c r="H330" s="686"/>
      <c r="I330" s="686"/>
      <c r="J330" s="686"/>
      <c r="K330" s="686"/>
      <c r="L330" s="686"/>
      <c r="M330" s="686"/>
      <c r="O330" s="480"/>
      <c r="P330" s="480"/>
      <c r="AH330" s="424">
        <v>3</v>
      </c>
    </row>
    <row customHeight="1" ht="26.25">
      <c r="E331" s="486"/>
      <c r="F331" s="2569"/>
      <c r="G331" s="2569"/>
      <c r="H331" s="2569"/>
      <c r="I331" s="2569"/>
      <c r="J331" s="2569"/>
      <c r="K331" s="2569"/>
      <c r="L331" s="2569"/>
      <c r="M331" s="2569"/>
      <c r="AH331" s="658">
        <v>25</v>
      </c>
    </row>
    <row customHeight="1" ht="14.25" hidden="1">
      <c r="A332" s="2063" t="s">
        <v>83</v>
      </c>
      <c r="B332" s="2063">
        <v>0</v>
      </c>
      <c r="C332" s="653">
        <v>0</v>
      </c>
      <c r="D332" s="628">
        <v>3</v>
      </c>
      <c r="E332" s="658">
        <v>6</v>
      </c>
      <c r="F332" s="658">
        <v>46</v>
      </c>
      <c r="G332" s="658">
        <v>35</v>
      </c>
      <c r="H332" s="658">
        <v>3</v>
      </c>
      <c r="I332" s="658">
        <v>11</v>
      </c>
      <c r="J332" s="658">
        <v>11</v>
      </c>
      <c r="K332" s="658">
        <v>35</v>
      </c>
      <c r="L332" s="658">
        <v>35</v>
      </c>
      <c r="M332" s="658">
        <v>84</v>
      </c>
      <c r="N332" s="658">
        <v>10</v>
      </c>
      <c r="O332" s="634">
        <v>10</v>
      </c>
      <c r="P332" s="634">
        <v>10</v>
      </c>
      <c r="Q332" s="658">
        <v>10</v>
      </c>
      <c r="R332" s="658">
        <v>10</v>
      </c>
      <c r="S332" s="658">
        <v>10</v>
      </c>
      <c r="T332" s="658">
        <v>10</v>
      </c>
      <c r="U332" s="658">
        <v>10</v>
      </c>
      <c r="V332" s="658">
        <v>10</v>
      </c>
      <c r="W332" s="658">
        <v>10</v>
      </c>
      <c r="X332" s="658">
        <v>10</v>
      </c>
      <c r="Y332" s="658">
        <v>10</v>
      </c>
      <c r="Z332" s="658">
        <v>10</v>
      </c>
      <c r="AA332" s="658">
        <v>10</v>
      </c>
      <c r="AB332" s="658">
        <v>10</v>
      </c>
      <c r="AC332" s="658">
        <v>10</v>
      </c>
      <c r="AD332" s="658">
        <v>10</v>
      </c>
      <c r="AE332" s="658">
        <v>10</v>
      </c>
      <c r="AF332" s="658">
        <v>10</v>
      </c>
      <c r="AG332" s="658">
        <v>10</v>
      </c>
      <c r="AH332" s="658">
        <v>14</v>
      </c>
    </row>
  </sheetData>
  <sheetProtection formatColumns="0" formatRows="0" autoFilter="0" sort="0" insertRows="0" insertColumns="1" deleteRows="0" deleteColumns="0"/>
  <mergeCells count="428">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114:D116"/>
    <mergeCell ref="E114:E116"/>
    <mergeCell ref="F114:F116"/>
    <mergeCell ref="D102:D104"/>
    <mergeCell ref="E102:E104"/>
    <mergeCell ref="F102:F104"/>
    <mergeCell ref="D105:D107"/>
    <mergeCell ref="E105:E107"/>
    <mergeCell ref="F105:F107"/>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35:D137"/>
    <mergeCell ref="E135:E137"/>
    <mergeCell ref="F135:F137"/>
    <mergeCell ref="D138:D140"/>
    <mergeCell ref="E138:E140"/>
    <mergeCell ref="F138:F140"/>
    <mergeCell ref="D129:D131"/>
    <mergeCell ref="E129:E131"/>
    <mergeCell ref="F129:F131"/>
    <mergeCell ref="D132:D134"/>
    <mergeCell ref="E132:E134"/>
    <mergeCell ref="F132:F134"/>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F154:F156"/>
    <mergeCell ref="D157:D159"/>
    <mergeCell ref="E157:E159"/>
    <mergeCell ref="F157:F159"/>
    <mergeCell ref="D166:D168"/>
    <mergeCell ref="E166:E168"/>
    <mergeCell ref="F166:F168"/>
    <mergeCell ref="D169:D171"/>
    <mergeCell ref="E169:E171"/>
    <mergeCell ref="F169:F171"/>
    <mergeCell ref="D190:D192"/>
    <mergeCell ref="E190:E192"/>
    <mergeCell ref="F190:F192"/>
    <mergeCell ref="D181:D183"/>
    <mergeCell ref="E181:E183"/>
    <mergeCell ref="F181:F183"/>
    <mergeCell ref="D184:D186"/>
    <mergeCell ref="E184:E186"/>
    <mergeCell ref="F184:F186"/>
    <mergeCell ref="D175:D177"/>
    <mergeCell ref="E175:E177"/>
    <mergeCell ref="F175:F177"/>
    <mergeCell ref="D178:D180"/>
    <mergeCell ref="E178:E180"/>
    <mergeCell ref="F178:F180"/>
    <mergeCell ref="G178:G179"/>
    <mergeCell ref="D187:D189"/>
    <mergeCell ref="E187:E189"/>
    <mergeCell ref="F187:F189"/>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239:D241"/>
    <mergeCell ref="E239:E241"/>
    <mergeCell ref="F239:F241"/>
    <mergeCell ref="G233:G234"/>
    <mergeCell ref="D245:D247"/>
    <mergeCell ref="E245:E247"/>
    <mergeCell ref="F245:F247"/>
    <mergeCell ref="D242:D244"/>
    <mergeCell ref="E242:E244"/>
    <mergeCell ref="F242:F244"/>
    <mergeCell ref="D230:D232"/>
    <mergeCell ref="E230:E232"/>
    <mergeCell ref="F230:F232"/>
    <mergeCell ref="D236:D238"/>
    <mergeCell ref="E236:E238"/>
    <mergeCell ref="F236:F238"/>
    <mergeCell ref="D233:D235"/>
    <mergeCell ref="E233:E235"/>
    <mergeCell ref="F233:F235"/>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G60:G61"/>
    <mergeCell ref="G63:G64"/>
    <mergeCell ref="G66:G67"/>
    <mergeCell ref="G69:G70"/>
    <mergeCell ref="G72:G73"/>
    <mergeCell ref="G75:G76"/>
    <mergeCell ref="G78:G79"/>
    <mergeCell ref="G81:G82"/>
    <mergeCell ref="G87:G88"/>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63:J63 I66:J66 I69:J69 I72:J72 I75:J75 I78:J78 I209:J209 I212:J212 I215:J215 I218:J218 I221:J221 I224:J224 I227:J227 I230:J230 I236:J236 I239:J239 I242:J242 I245:J245 I248:J248 I251:J251 I254:J254 I257:J257 I260:J260 I8:J8 I81:J81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294:J29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formula1>900</formula1>
    </dataValidation>
    <dataValidation type="textLength" operator="lessThanOrEqual" allowBlank="1" showInputMessage="1" showErrorMessage="1" errorTitle="Ошибка" error="Допускается ввод не более 900 символов!" sqref="M148:M149 M209:M210 M23 M87:M88 M270:M271">
      <formula1>900</formula1>
    </dataValidation>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formula1>-9.99999999999999E+23</formula1>
      <formula2>9.99999999999999E+23</formula2>
    </dataValidation>
  </dataValidations>
  <hyperlinks>
    <hyperlink ref="L85" r:id="rId2" xr:uid="{A07E3AA8-2162-0878-1418-31BCF7732918}"/>
  </hyperlink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B39BE78-D848-1478-22B8-E85547AC1B46}" mc:Ignorable="x14ac xr xr2 xr3">
  <sheetPr>
    <tabColor theme="6" tint="0.4"/>
  </sheetPr>
  <dimension ref="A1:R17"/>
  <sheetViews>
    <sheetView topLeftCell="A1" showGridLines="0" zoomScale="90" workbookViewId="0">
      <selection activeCell="G14" sqref="G14"/>
    </sheetView>
  </sheetViews>
  <sheetFormatPr defaultColWidth="10.57421875" customHeight="1" defaultRowHeight="14.25"/>
  <cols>
    <col min="1" max="1" style="14976" width="9.140625" hidden="1" customWidth="1"/>
    <col min="2" max="2" style="14157" width="9.140625" hidden="1" customWidth="1"/>
    <col min="3" max="3" style="14977" width="3.00390625" customWidth="1"/>
    <col min="4" max="4" style="14077" width="6.00390625" customWidth="1"/>
    <col min="5" max="5" style="14077" width="53.00390625" customWidth="1"/>
    <col min="6" max="7" style="14077" width="35.00390625" customWidth="1"/>
    <col min="8" max="8" style="14077" width="89.00390625" customWidth="1"/>
    <col min="9" max="9" style="14077" width="10.00390625" customWidth="1"/>
    <col min="10" max="11" style="14247" width="10.00390625" customWidth="1"/>
    <col min="12" max="17" style="14077" width="10.00390625" customWidth="1"/>
    <col min="18" max="18" style="14077" width="10.57421875" hidden="1"/>
  </cols>
  <sheetData>
    <row customHeight="1" ht="22.5" hidden="1">
      <c r="N1" s="539"/>
      <c r="O1" s="539"/>
      <c r="Q1" s="539"/>
      <c r="R1" s="658" t="s">
        <v>14</v>
      </c>
    </row>
    <row s="14077" customFormat="1" customHeight="1" ht="18.75" hidden="1">
      <c r="A2" s="386"/>
      <c r="B2" s="1444"/>
      <c r="C2" s="2014" t="s">
        <v>454</v>
      </c>
      <c r="D2" s="1957"/>
      <c r="E2" s="1966"/>
      <c r="F2" s="541"/>
      <c r="G2" s="1445"/>
      <c r="H2" s="658"/>
      <c r="I2" s="1908"/>
      <c r="J2" s="1908"/>
      <c r="R2" s="1915">
        <v>0</v>
      </c>
    </row>
    <row customHeight="1" ht="14.25" hidden="1">
      <c r="R3" s="658">
        <v>0</v>
      </c>
    </row>
    <row customHeight="1" ht="6.3">
      <c r="C4" s="660"/>
      <c r="D4" s="647"/>
      <c r="E4" s="647"/>
      <c r="F4" s="647"/>
      <c r="G4" s="369"/>
      <c r="H4" s="369"/>
      <c r="R4" s="658">
        <v>6</v>
      </c>
    </row>
    <row customHeight="1" ht="34.5">
      <c r="C5" s="660"/>
      <c r="D5" s="2738" t="str">
        <f>PURCH_NAME_FORM</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E5" s="2739"/>
      <c r="F5" s="2739"/>
      <c r="G5" s="2740"/>
      <c r="H5" s="550"/>
      <c r="R5" s="658">
        <v>33</v>
      </c>
    </row>
    <row s="14077" customFormat="1" customHeight="1" ht="18">
      <c r="A6" s="1953"/>
      <c r="B6" s="1444"/>
      <c r="C6" s="660"/>
      <c r="D6" s="2741" t="str">
        <f>IF(org=0,"Не определено",org)</f>
        <v>МУП г. Азова "Теплоэнерго"</v>
      </c>
      <c r="E6" s="2742"/>
      <c r="F6" s="2742"/>
      <c r="G6" s="2743"/>
      <c r="H6" s="550"/>
      <c r="J6" s="1908"/>
      <c r="K6" s="1908"/>
      <c r="R6" s="1915">
        <v>17</v>
      </c>
    </row>
    <row customHeight="1" ht="14.699999999999998">
      <c r="C7" s="660"/>
      <c r="D7" s="647"/>
      <c r="E7" s="673"/>
      <c r="F7" s="673"/>
      <c r="G7" s="1036"/>
      <c r="H7" s="477"/>
      <c r="R7" s="658">
        <v>14</v>
      </c>
    </row>
    <row customHeight="1" ht="14.699999999999998">
      <c r="C8" s="660"/>
      <c r="D8" s="2493" t="s">
        <v>305</v>
      </c>
      <c r="E8" s="2493"/>
      <c r="F8" s="2493"/>
      <c r="G8" s="2493"/>
      <c r="H8" s="2673" t="s">
        <v>306</v>
      </c>
      <c r="R8" s="658">
        <v>14</v>
      </c>
    </row>
    <row customHeight="1" ht="24">
      <c r="C9" s="660"/>
      <c r="D9" s="670" t="s">
        <v>89</v>
      </c>
      <c r="E9" s="392" t="s">
        <v>307</v>
      </c>
      <c r="F9" s="392" t="s">
        <v>308</v>
      </c>
      <c r="G9" s="392" t="s">
        <v>395</v>
      </c>
      <c r="H9" s="2673"/>
      <c r="R9" s="658">
        <v>23</v>
      </c>
    </row>
    <row customHeight="1" ht="67.5">
      <c r="A10" s="627"/>
      <c r="C10" s="660"/>
      <c r="D10" s="431" t="s">
        <v>110</v>
      </c>
      <c r="E10" s="2170"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0" s="541" t="s">
        <v>1163</v>
      </c>
      <c r="G10" s="497" t="s">
        <v>1164</v>
      </c>
      <c r="H10" s="2453" t="s">
        <v>1165</v>
      </c>
      <c r="R10" s="658">
        <v>14</v>
      </c>
    </row>
    <row customHeight="1" ht="67.5">
      <c r="A11" s="627"/>
      <c r="C11" s="660"/>
      <c r="D11" s="431" t="s">
        <v>111</v>
      </c>
      <c r="E11" s="2170"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1" s="541" t="s">
        <v>1166</v>
      </c>
      <c r="G11" s="4933" t="s">
        <v>1167</v>
      </c>
      <c r="H11" s="2454"/>
      <c r="R11" s="658">
        <v>14</v>
      </c>
    </row>
    <row customHeight="1" ht="35.25">
      <c r="A12" s="386"/>
      <c r="C12" s="671"/>
      <c r="D12" s="431" t="s">
        <v>91</v>
      </c>
      <c r="E12" s="672" t="str">
        <f>"Сведения о планировании закупочных процедур"&amp;IF(TEMPLATE_SPHERE="TKO"," &lt;1&gt;","")</f>
        <v>Сведения о планировании закупочных процедур</v>
      </c>
      <c r="F12" s="541" t="s">
        <v>1168</v>
      </c>
      <c r="G12" s="497" t="s">
        <v>1169</v>
      </c>
      <c r="H12" s="2454"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товаров и (или) оказания услуг организацией, информация по ним указывается в отдельных строках.</v>
      </c>
      <c r="I12" s="634"/>
      <c r="K12" s="658"/>
      <c r="R12" s="658">
        <v>14</v>
      </c>
    </row>
    <row customHeight="1" ht="24">
      <c r="A13" s="386"/>
      <c r="C13" s="671"/>
      <c r="D13" s="431" t="s">
        <v>92</v>
      </c>
      <c r="E13" s="672" t="str">
        <f>"Сведения о результатах проведения закупочных процедур"&amp;IF(TEMPLATE_SPHERE="TKO"," &lt;1&gt;","")</f>
        <v>Сведения о результатах проведения закупочных процедур</v>
      </c>
      <c r="F13" s="541" t="s">
        <v>1170</v>
      </c>
      <c r="G13" s="4933" t="s">
        <v>1171</v>
      </c>
      <c r="H13" s="2454"/>
      <c r="I13" s="634"/>
      <c r="K13" s="658"/>
      <c r="R13" s="658">
        <v>14</v>
      </c>
    </row>
    <row customHeight="1" ht="14.699999999999998">
      <c r="A14" s="627"/>
      <c r="C14" s="660"/>
      <c r="D14" s="631"/>
      <c r="E14" s="679" t="s">
        <v>327</v>
      </c>
      <c r="F14" s="633"/>
      <c r="G14" s="485"/>
      <c r="H14" s="2455"/>
      <c r="R14" s="658">
        <v>14</v>
      </c>
    </row>
    <row s="14077" customFormat="1" customHeight="1" ht="14.699999999999998">
      <c r="A15" s="627"/>
      <c r="B15" s="1444"/>
      <c r="C15" s="660"/>
      <c r="D15" s="680"/>
      <c r="E15" s="1961"/>
      <c r="F15" s="1962"/>
      <c r="G15" s="1963"/>
      <c r="H15" s="1964"/>
      <c r="J15" s="1908"/>
      <c r="K15" s="1908"/>
      <c r="R15" s="1915">
        <v>14</v>
      </c>
    </row>
    <row customHeight="1" ht="14.699999999999998">
      <c r="D16" s="1965"/>
      <c r="E16" s="2669"/>
      <c r="F16" s="2669"/>
      <c r="G16" s="2669"/>
      <c r="H16" s="2669"/>
      <c r="R16" s="658">
        <v>14</v>
      </c>
    </row>
    <row customHeight="1" ht="22.5" hidden="1">
      <c r="A17" s="648" t="s">
        <v>83</v>
      </c>
      <c r="B17" s="430">
        <v>0</v>
      </c>
      <c r="C17" s="628">
        <v>3</v>
      </c>
      <c r="D17" s="658">
        <v>6</v>
      </c>
      <c r="E17" s="658">
        <v>53</v>
      </c>
      <c r="F17" s="658">
        <v>35</v>
      </c>
      <c r="G17" s="658">
        <v>35</v>
      </c>
      <c r="H17" s="658">
        <v>89</v>
      </c>
      <c r="I17" s="658">
        <v>10</v>
      </c>
      <c r="J17" s="634">
        <v>10</v>
      </c>
      <c r="K17" s="634">
        <v>10</v>
      </c>
      <c r="L17" s="658">
        <v>10</v>
      </c>
      <c r="M17" s="658">
        <v>10</v>
      </c>
      <c r="N17" s="658">
        <v>10</v>
      </c>
      <c r="O17" s="658">
        <v>10</v>
      </c>
      <c r="P17" s="658">
        <v>10</v>
      </c>
      <c r="Q17" s="658">
        <v>10</v>
      </c>
      <c r="R17" s="658">
        <v>23</v>
      </c>
    </row>
  </sheetData>
  <sheetProtection formatColumns="0" formatRows="0" autoFilter="0" sort="0" insertRows="0" insertColumns="1" deleteRows="0" deleteColumns="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formula1>900</formula1>
    </dataValidation>
    <dataValidation type="textLength" operator="lessThanOrEqual" allowBlank="1" showInputMessage="1" showErrorMessage="1" errorTitle="Ошибка" error="Допускается ввод не более 900 символов!" sqref="H10 E13 E2:F2 F10:F13">
      <formula1>900</formula1>
    </dataValidation>
  </dataValidations>
  <hyperlinks>
    <hyperlink ref="G11" r:id="rId2" xr:uid="{51B586B8-63ED-E6AA-E6DA-E311A62585DF}"/>
    <hyperlink ref="G13" r:id="rId3" xr:uid="{A6592CC4-22E6-DC0D-ED08-A8F6CF9D7528}"/>
  </hyperlink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8C8B008-4EFB-15F8-1968-C2186448CC98}" mc:Ignorable="x14ac xr xr2 xr3">
  <sheetPr>
    <tabColor rgb="FFCCCCFF"/>
  </sheetPr>
  <dimension ref="A1:AR146"/>
  <sheetViews>
    <sheetView topLeftCell="A1" showGridLines="0" zoomScale="90" workbookViewId="0">
      <selection activeCell="S18" sqref="S18:S19"/>
    </sheetView>
  </sheetViews>
  <sheetFormatPr defaultColWidth="9.140625" customHeight="1" defaultRowHeight="11.25"/>
  <cols>
    <col min="1" max="2" style="14247" width="3.7109375" hidden="1" customWidth="1"/>
    <col min="3" max="3" style="14284" width="3.00390625" customWidth="1"/>
    <col min="4" max="4" style="14284" width="6.00390625" customWidth="1"/>
    <col min="5" max="5" style="14284" width="42.00390625" customWidth="1"/>
    <col min="6" max="6" style="14284" width="15.00390625" customWidth="1"/>
    <col min="7" max="7" style="14284" width="42.00390625" customWidth="1"/>
    <col min="8" max="8" style="14284" width="3.00390625" customWidth="1"/>
    <col min="9" max="9" style="14284" width="5.00390625" customWidth="1"/>
    <col min="10" max="10" style="14284" width="47.00390625" customWidth="1"/>
    <col min="11" max="12" style="14284" width="3.00390625" customWidth="1"/>
    <col min="13" max="13" style="14284" width="5.00390625" customWidth="1"/>
    <col min="14" max="14" style="14284" width="28.00390625" customWidth="1"/>
    <col min="15" max="16" style="14284" width="3.00390625" customWidth="1"/>
    <col min="17" max="17" style="14284" width="5.00390625" customWidth="1"/>
    <col min="18" max="18" style="14284" width="34.00390625" customWidth="1"/>
    <col min="19" max="20" style="14284" width="3.7109375" customWidth="1"/>
    <col min="21" max="21" style="14284" width="5.7109375" customWidth="1"/>
    <col min="22" max="22" style="14284" width="34.421875" customWidth="1"/>
    <col min="23" max="23" style="14284" width="30.00390625" customWidth="1"/>
    <col min="24" max="24" style="14284" width="3.00390625" customWidth="1"/>
    <col min="25" max="28" style="14336" width="9.8515625" hidden="1" customWidth="1"/>
    <col min="29" max="29" style="14336" width="27.00390625" hidden="1" customWidth="1"/>
    <col min="30" max="30" style="14336" width="10.57421875" hidden="1" customWidth="1"/>
    <col min="31" max="31" style="14336" width="10.7109375" hidden="1" customWidth="1"/>
    <col min="32" max="32" style="14336" width="10.00390625" hidden="1" customWidth="1"/>
    <col min="33" max="33" style="14336" width="12.8515625" hidden="1" customWidth="1"/>
    <col min="34" max="34" style="14336" width="24.421875" hidden="1" customWidth="1"/>
    <col min="35" max="35" style="14336" width="15.8515625" hidden="1" customWidth="1"/>
    <col min="36" max="36" style="14336" width="19.421875" hidden="1" customWidth="1"/>
    <col min="37" max="37" style="14336" width="11.00390625" hidden="1" customWidth="1"/>
    <col min="38" max="38" style="14336" width="23.57421875" hidden="1" customWidth="1"/>
    <col min="39" max="39" style="14336" width="23.8515625" hidden="1" customWidth="1"/>
    <col min="40" max="40" style="14336" width="25.28125" hidden="1" customWidth="1"/>
    <col min="41" max="41" style="14336" width="16.8515625" hidden="1" customWidth="1"/>
    <col min="42" max="42" style="14336" width="29.57421875" hidden="1" customWidth="1"/>
    <col min="43" max="43" style="14336" width="29.8515625" hidden="1" customWidth="1"/>
    <col min="44" max="44" style="14284" width="9.140625" hidden="1"/>
  </cols>
  <sheetData>
    <row customHeight="1" ht="11.25" hidden="1">
      <c r="A1" s="440"/>
      <c r="AR1" s="388" t="s">
        <v>14</v>
      </c>
    </row>
    <row customHeight="1" ht="11.25" hidden="1">
      <c r="AR2" s="388">
        <v>0</v>
      </c>
    </row>
    <row customHeight="1" ht="11.25" hidden="1">
      <c r="AR3" s="388">
        <v>0</v>
      </c>
    </row>
    <row customHeight="1" ht="3">
      <c r="AR4" s="388">
        <v>3</v>
      </c>
    </row>
    <row s="14255" customFormat="1" customHeight="1" ht="30.45">
      <c r="A5" s="438"/>
      <c r="B5" s="438"/>
      <c r="D5" s="2441"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теплоснабжения, в отношении которых предлагаются различные тарифы в сфере  теплоснабжения и горячего водоснабжения с использованием открытых систем теплоснабжения (информация раскрывается отдельно по каждой системе  теплоснабжения)</v>
      </c>
      <c r="E5" s="2442"/>
      <c r="F5" s="2442"/>
      <c r="G5" s="2442"/>
      <c r="H5" s="2442"/>
      <c r="I5" s="2442"/>
      <c r="J5" s="2443"/>
      <c r="K5" s="549"/>
      <c r="L5" s="426"/>
      <c r="M5" s="426"/>
      <c r="N5" s="426"/>
      <c r="O5" s="426"/>
      <c r="P5" s="426"/>
      <c r="Q5" s="426"/>
      <c r="R5" s="426"/>
      <c r="S5" s="574"/>
      <c r="T5" s="574"/>
      <c r="U5" s="574"/>
      <c r="V5" s="574"/>
      <c r="W5" s="426"/>
      <c r="Y5" s="1544"/>
      <c r="Z5" s="1544"/>
      <c r="AA5" s="1544"/>
      <c r="AB5" s="1544"/>
      <c r="AC5" s="1544"/>
      <c r="AD5" s="1544"/>
      <c r="AE5" s="1544"/>
      <c r="AF5" s="1544"/>
      <c r="AG5" s="1544"/>
      <c r="AH5" s="1544"/>
      <c r="AI5" s="1544"/>
      <c r="AJ5" s="1544"/>
      <c r="AK5" s="1544"/>
      <c r="AL5" s="1544"/>
      <c r="AM5" s="1544"/>
      <c r="AN5" s="1544"/>
      <c r="AO5" s="1544"/>
      <c r="AP5" s="1544"/>
      <c r="AQ5" s="1544"/>
      <c r="AR5" s="395">
        <v>29</v>
      </c>
    </row>
    <row s="14255" customFormat="1" customHeight="1" ht="14.699999999999998">
      <c r="A6" s="869"/>
      <c r="B6" s="869"/>
      <c r="C6" s="869"/>
      <c r="D6" s="2447" t="str">
        <f>IF(org=0,"Не определено",org)</f>
        <v>МУП г. Азова "Теплоэнерго"</v>
      </c>
      <c r="E6" s="2447"/>
      <c r="F6" s="2447"/>
      <c r="G6" s="2447"/>
      <c r="H6" s="2447"/>
      <c r="I6" s="2447"/>
      <c r="J6" s="2447"/>
      <c r="K6" s="870"/>
      <c r="L6" s="870"/>
      <c r="M6" s="870"/>
      <c r="N6" s="870"/>
      <c r="O6" s="1154"/>
      <c r="P6" s="1154"/>
      <c r="Q6" s="1154"/>
      <c r="R6" s="1154"/>
      <c r="S6" s="1154"/>
      <c r="T6" s="1154"/>
      <c r="U6" s="1154"/>
      <c r="V6" s="1154"/>
      <c r="W6" s="1154"/>
      <c r="X6" s="870"/>
      <c r="Y6" s="1545"/>
      <c r="Z6" s="1545"/>
      <c r="AA6" s="1545"/>
      <c r="AB6" s="1545"/>
      <c r="AC6" s="1545"/>
      <c r="AD6" s="1545"/>
      <c r="AE6" s="1545"/>
      <c r="AF6" s="1545"/>
      <c r="AG6" s="1545"/>
      <c r="AH6" s="1545"/>
      <c r="AI6" s="1545"/>
      <c r="AJ6" s="1545"/>
      <c r="AK6" s="1545"/>
      <c r="AL6" s="1545"/>
      <c r="AM6" s="1545"/>
      <c r="AN6" s="1545"/>
      <c r="AO6" s="1545"/>
      <c r="AP6" s="1545"/>
      <c r="AQ6" s="1545"/>
      <c r="AR6" s="871">
        <v>14</v>
      </c>
    </row>
    <row s="14349" customFormat="1" customHeight="1" ht="11.549999999999999">
      <c r="A7" s="495"/>
      <c r="B7" s="495"/>
      <c r="D7" s="2444"/>
      <c r="E7" s="2445"/>
      <c r="F7" s="2445"/>
      <c r="G7" s="2445"/>
      <c r="H7" s="2445"/>
      <c r="I7" s="2445"/>
      <c r="J7" s="2446"/>
      <c r="S7" s="583"/>
      <c r="T7" s="583"/>
      <c r="U7" s="583"/>
      <c r="V7" s="583"/>
      <c r="Y7" s="1546"/>
      <c r="Z7" s="1546"/>
      <c r="AA7" s="1546"/>
      <c r="AB7" s="1546"/>
      <c r="AC7" s="1546"/>
      <c r="AD7" s="1546"/>
      <c r="AE7" s="1546"/>
      <c r="AF7" s="1546"/>
      <c r="AG7" s="1546"/>
      <c r="AH7" s="1546"/>
      <c r="AI7" s="1546"/>
      <c r="AJ7" s="1546"/>
      <c r="AK7" s="1546"/>
      <c r="AL7" s="1546"/>
      <c r="AM7" s="1546"/>
      <c r="AN7" s="1546"/>
      <c r="AO7" s="1546"/>
      <c r="AP7" s="1546"/>
      <c r="AQ7" s="1546"/>
      <c r="AR7" s="560">
        <v>11</v>
      </c>
    </row>
    <row s="14255" customFormat="1" customHeight="1" ht="1.05">
      <c r="A8" s="438"/>
      <c r="B8" s="438"/>
      <c r="D8" s="496"/>
      <c r="E8" s="496"/>
      <c r="F8" s="496"/>
      <c r="G8" s="496"/>
      <c r="H8" s="496"/>
      <c r="I8" s="496"/>
      <c r="J8" s="496"/>
      <c r="K8" s="496"/>
      <c r="L8" s="496"/>
      <c r="M8" s="496"/>
      <c r="N8" s="496"/>
      <c r="O8" s="496"/>
      <c r="P8" s="496"/>
      <c r="Q8" s="496"/>
      <c r="R8" s="496"/>
      <c r="S8" s="496"/>
      <c r="T8" s="496"/>
      <c r="U8" s="496"/>
      <c r="V8" s="496"/>
      <c r="W8" s="496"/>
      <c r="X8" s="416"/>
      <c r="Y8" s="1544"/>
      <c r="Z8" s="1544"/>
      <c r="AA8" s="1544"/>
      <c r="AB8" s="1544"/>
      <c r="AC8" s="1544"/>
      <c r="AD8" s="1544"/>
      <c r="AE8" s="1544"/>
      <c r="AF8" s="1544"/>
      <c r="AG8" s="1544"/>
      <c r="AH8" s="1544"/>
      <c r="AI8" s="1544"/>
      <c r="AJ8" s="1544"/>
      <c r="AK8" s="1544"/>
      <c r="AL8" s="1544"/>
      <c r="AM8" s="1544"/>
      <c r="AN8" s="1544"/>
      <c r="AO8" s="1544"/>
      <c r="AP8" s="1544"/>
      <c r="AQ8" s="1544"/>
      <c r="AR8" s="395">
        <v>1</v>
      </c>
    </row>
    <row customHeight="1" ht="28.5">
      <c r="D9" s="2411" t="s">
        <v>89</v>
      </c>
      <c r="E9" s="2385" t="s">
        <v>123</v>
      </c>
      <c r="F9" s="2387"/>
      <c r="G9" s="2411" t="s">
        <v>106</v>
      </c>
      <c r="H9" s="2411" t="s">
        <v>89</v>
      </c>
      <c r="I9" s="2411"/>
      <c r="J9" s="2411" t="s">
        <v>124</v>
      </c>
      <c r="K9" s="2439" t="s">
        <v>125</v>
      </c>
      <c r="L9" s="2439"/>
      <c r="M9" s="2439"/>
      <c r="N9" s="2439"/>
      <c r="O9" s="2439" t="s">
        <v>126</v>
      </c>
      <c r="P9" s="2439"/>
      <c r="Q9" s="2439"/>
      <c r="R9" s="2439"/>
      <c r="S9" s="2439" t="s">
        <v>127</v>
      </c>
      <c r="T9" s="2439"/>
      <c r="U9" s="2439"/>
      <c r="V9" s="2439"/>
      <c r="W9" s="2411" t="s">
        <v>128</v>
      </c>
      <c r="AR9" s="388">
        <v>27</v>
      </c>
    </row>
    <row customHeight="1" ht="31.5">
      <c r="D10" s="2411"/>
      <c r="E10" s="1568" t="s">
        <v>90</v>
      </c>
      <c r="F10" s="1568" t="s">
        <v>129</v>
      </c>
      <c r="G10" s="2411"/>
      <c r="H10" s="2411"/>
      <c r="I10" s="2411"/>
      <c r="J10" s="2411"/>
      <c r="K10" s="394" t="s">
        <v>109</v>
      </c>
      <c r="L10" s="2411" t="s">
        <v>89</v>
      </c>
      <c r="M10" s="2411"/>
      <c r="N10" s="394" t="s">
        <v>130</v>
      </c>
      <c r="O10" s="394" t="s">
        <v>109</v>
      </c>
      <c r="P10" s="2411" t="s">
        <v>89</v>
      </c>
      <c r="Q10" s="2411"/>
      <c r="R10" s="394" t="s">
        <v>130</v>
      </c>
      <c r="S10" s="567" t="s">
        <v>109</v>
      </c>
      <c r="T10" s="2411" t="s">
        <v>89</v>
      </c>
      <c r="U10" s="2411"/>
      <c r="V10" s="567" t="s">
        <v>90</v>
      </c>
      <c r="W10" s="2411"/>
      <c r="Z10" s="1543" t="s">
        <v>131</v>
      </c>
      <c r="AA10" s="1543" t="s">
        <v>132</v>
      </c>
      <c r="AB10" s="1543" t="s">
        <v>133</v>
      </c>
      <c r="AC10" s="1543" t="s">
        <v>134</v>
      </c>
      <c r="AD10" s="1543" t="s">
        <v>135</v>
      </c>
      <c r="AE10" s="1543" t="s">
        <v>136</v>
      </c>
      <c r="AF10" s="1543" t="s">
        <v>137</v>
      </c>
      <c r="AG10" s="1543" t="s">
        <v>138</v>
      </c>
      <c r="AH10" s="1543" t="s">
        <v>139</v>
      </c>
      <c r="AI10" s="1543" t="s">
        <v>140</v>
      </c>
      <c r="AJ10" s="1543" t="s">
        <v>141</v>
      </c>
      <c r="AK10" s="1543" t="s">
        <v>142</v>
      </c>
      <c r="AL10" s="1543" t="s">
        <v>143</v>
      </c>
      <c r="AM10" s="1543" t="s">
        <v>144</v>
      </c>
      <c r="AN10" s="1543" t="s">
        <v>145</v>
      </c>
      <c r="AO10" s="1543" t="s">
        <v>146</v>
      </c>
      <c r="AP10" s="1543" t="s">
        <v>147</v>
      </c>
      <c r="AQ10" s="1543" t="s">
        <v>148</v>
      </c>
      <c r="AR10" s="388">
        <v>30</v>
      </c>
    </row>
    <row s="14247" customFormat="1" customHeight="1" ht="12" hidden="1">
      <c r="D11" s="1533" t="s">
        <v>110</v>
      </c>
      <c r="E11" s="1533" t="s">
        <v>111</v>
      </c>
      <c r="F11" s="1533"/>
      <c r="G11" s="1533" t="s">
        <v>91</v>
      </c>
      <c r="H11" s="2440" t="s">
        <v>112</v>
      </c>
      <c r="I11" s="2440"/>
      <c r="J11" s="1533" t="s">
        <v>93</v>
      </c>
      <c r="K11" s="1533" t="s">
        <v>94</v>
      </c>
      <c r="L11" s="2440" t="s">
        <v>113</v>
      </c>
      <c r="M11" s="2440"/>
      <c r="N11" s="1533" t="s">
        <v>149</v>
      </c>
      <c r="O11" s="1533" t="s">
        <v>150</v>
      </c>
      <c r="P11" s="2440" t="s">
        <v>151</v>
      </c>
      <c r="Q11" s="2440"/>
      <c r="R11" s="1533" t="s">
        <v>152</v>
      </c>
      <c r="S11" s="1533" t="s">
        <v>151</v>
      </c>
      <c r="T11" s="2440" t="s">
        <v>152</v>
      </c>
      <c r="U11" s="2440"/>
      <c r="V11" s="1533" t="s">
        <v>153</v>
      </c>
      <c r="W11" s="1533" t="s">
        <v>154</v>
      </c>
      <c r="Y11" s="1543"/>
      <c r="Z11" s="1543"/>
      <c r="AA11" s="1543"/>
      <c r="AB11" s="1543"/>
      <c r="AC11" s="1543"/>
      <c r="AD11" s="1543"/>
      <c r="AE11" s="1543"/>
      <c r="AF11" s="1543"/>
      <c r="AG11" s="1543"/>
      <c r="AH11" s="1543"/>
      <c r="AI11" s="1543"/>
      <c r="AJ11" s="1543"/>
      <c r="AK11" s="1543"/>
      <c r="AL11" s="1543"/>
      <c r="AM11" s="1543"/>
      <c r="AN11" s="1543"/>
      <c r="AO11" s="1543"/>
      <c r="AP11" s="1543"/>
      <c r="AQ11" s="1543"/>
      <c r="AR11" s="561">
        <v>0</v>
      </c>
    </row>
    <row customHeight="1" ht="14.25" hidden="1">
      <c r="C12" s="493"/>
      <c r="D12" s="1566">
        <v>0</v>
      </c>
      <c r="E12" s="534"/>
      <c r="F12" s="534"/>
      <c r="G12" s="534"/>
      <c r="H12" s="535"/>
      <c r="I12" s="535"/>
      <c r="J12" s="442"/>
      <c r="K12" s="396"/>
      <c r="L12" s="442"/>
      <c r="M12" s="442"/>
      <c r="N12" s="536"/>
      <c r="O12" s="396"/>
      <c r="P12" s="442"/>
      <c r="Q12" s="442"/>
      <c r="R12" s="537"/>
      <c r="S12" s="568"/>
      <c r="T12" s="576"/>
      <c r="U12" s="576"/>
      <c r="V12" s="580"/>
      <c r="W12" s="396"/>
      <c r="X12" s="425"/>
      <c r="AR12" s="388">
        <v>0</v>
      </c>
    </row>
    <row s="14284" customFormat="1" customHeight="1" ht="17.25">
      <c r="A13" s="605"/>
      <c r="C13" s="493"/>
      <c r="D13" s="2419">
        <v>1</v>
      </c>
      <c r="E13" s="2427" t="s">
        <v>155</v>
      </c>
      <c r="F13" s="2429" t="s">
        <v>19</v>
      </c>
      <c r="G13" s="2427"/>
      <c r="H13" s="2432"/>
      <c r="I13" s="2434"/>
      <c r="J13" s="2436"/>
      <c r="K13" s="2421"/>
      <c r="L13" s="2421"/>
      <c r="M13" s="2421"/>
      <c r="N13" s="2423"/>
      <c r="O13" s="2421"/>
      <c r="P13" s="2421"/>
      <c r="Q13" s="2421"/>
      <c r="R13" s="2426"/>
      <c r="S13" s="2421"/>
      <c r="T13" s="1704"/>
      <c r="U13" s="1704"/>
      <c r="V13" s="1703"/>
      <c r="W13" s="1580"/>
      <c r="Y13" s="1551"/>
      <c r="Z13" s="1551"/>
      <c r="AA13" s="1551"/>
      <c r="AB13" s="1551"/>
      <c r="AC13" s="1551" t="s">
        <v>156</v>
      </c>
      <c r="AD13" s="1551" t="s">
        <v>157</v>
      </c>
      <c r="AE13" s="1551" t="s">
        <v>158</v>
      </c>
      <c r="AF13" s="1551" t="s">
        <v>159</v>
      </c>
      <c r="AG13" s="1551" t="s">
        <v>160</v>
      </c>
      <c r="AH13" s="1551"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551" t="str">
        <f>IF($G$13=0,"",$G$13)</f>
        <v/>
      </c>
      <c r="AJ13" s="1551" t="str">
        <f>IF($J$13=0,"",$J$13)</f>
        <v/>
      </c>
      <c r="AK13" s="1551" t="str">
        <f>IF($K$13="нет","без дифференциации",IF($N$13=0,"",$N$13))</f>
        <v/>
      </c>
      <c r="AL13" s="1551" t="str">
        <f>IF($O$13="нет","без дифференциации",IF($R$13=0,"",$R$13))</f>
        <v/>
      </c>
      <c r="AM13" s="1551" t="str">
        <f>IF($S$13="нет","без дифференциации",IF($V$13=0,"",$V$13))</f>
        <v/>
      </c>
      <c r="AN13" s="1551">
        <f>$I$13</f>
        <v>0</v>
      </c>
      <c r="AO13" s="1551" t="str">
        <f>$I$13&amp;"."&amp;$M$13</f>
        <v>.</v>
      </c>
      <c r="AP13" s="1551" t="str">
        <f>$I$13&amp;"."&amp;$M$13&amp;"."&amp;$Q$13</f>
        <v>..</v>
      </c>
      <c r="AQ13" s="1551" t="str">
        <f>$I$13&amp;"."&amp;$M$13&amp;"."&amp;$Q$13&amp;"."&amp;$U$13</f>
        <v>...</v>
      </c>
      <c r="AR13" s="1034">
        <v>0</v>
      </c>
    </row>
    <row s="14284" customFormat="1" customHeight="1" ht="17.25">
      <c r="A14" s="605"/>
      <c r="C14" s="604"/>
      <c r="D14" s="2419"/>
      <c r="E14" s="2427"/>
      <c r="F14" s="2430"/>
      <c r="G14" s="2427"/>
      <c r="H14" s="2433"/>
      <c r="I14" s="2435"/>
      <c r="J14" s="2437"/>
      <c r="K14" s="2422"/>
      <c r="L14" s="2422"/>
      <c r="M14" s="2422"/>
      <c r="N14" s="2424"/>
      <c r="O14" s="2422"/>
      <c r="P14" s="2422"/>
      <c r="Q14" s="2422"/>
      <c r="R14" s="2425"/>
      <c r="S14" s="2422"/>
      <c r="T14" s="1581"/>
      <c r="U14" s="1581"/>
      <c r="V14" s="1581"/>
      <c r="W14" s="1582"/>
      <c r="Y14" s="1543"/>
      <c r="Z14" s="1543"/>
      <c r="AA14" s="1543"/>
      <c r="AB14" s="1543"/>
      <c r="AC14" s="1543"/>
      <c r="AD14" s="1543"/>
      <c r="AE14" s="1543"/>
      <c r="AF14" s="1543"/>
      <c r="AG14" s="1543"/>
      <c r="AH14" s="1543"/>
      <c r="AI14" s="1543"/>
      <c r="AJ14" s="1543"/>
      <c r="AK14" s="1543"/>
      <c r="AL14" s="1543"/>
      <c r="AM14" s="1543"/>
      <c r="AN14" s="1543"/>
      <c r="AO14" s="1543"/>
      <c r="AP14" s="1543"/>
      <c r="AQ14" s="1543"/>
      <c r="AR14" s="1034">
        <v>0</v>
      </c>
    </row>
    <row s="14284" customFormat="1" customHeight="1" ht="17.25">
      <c r="A15" s="605"/>
      <c r="C15" s="493"/>
      <c r="D15" s="2419"/>
      <c r="E15" s="2427"/>
      <c r="F15" s="2430"/>
      <c r="G15" s="2427"/>
      <c r="H15" s="2433"/>
      <c r="I15" s="2435"/>
      <c r="J15" s="2438"/>
      <c r="K15" s="2422"/>
      <c r="L15" s="2422"/>
      <c r="M15" s="2422"/>
      <c r="N15" s="2425"/>
      <c r="O15" s="2422"/>
      <c r="P15" s="1702"/>
      <c r="Q15" s="1581"/>
      <c r="R15" s="1581"/>
      <c r="S15" s="613"/>
      <c r="T15" s="613"/>
      <c r="U15" s="613"/>
      <c r="V15" s="613"/>
      <c r="W15" s="1582"/>
      <c r="Y15" s="1551"/>
      <c r="Z15" s="1551"/>
      <c r="AA15" s="1551"/>
      <c r="AB15" s="1551"/>
      <c r="AC15" s="1551"/>
      <c r="AD15" s="1551"/>
      <c r="AE15" s="1551"/>
      <c r="AF15" s="1551"/>
      <c r="AG15" s="1551"/>
      <c r="AH15" s="1551"/>
      <c r="AI15" s="1551"/>
      <c r="AJ15" s="1551"/>
      <c r="AK15" s="1551"/>
      <c r="AL15" s="1551"/>
      <c r="AM15" s="1551"/>
      <c r="AN15" s="1551"/>
      <c r="AO15" s="1551"/>
      <c r="AP15" s="1551"/>
      <c r="AQ15" s="1551"/>
      <c r="AR15" s="1701">
        <v>0</v>
      </c>
    </row>
    <row s="14284" customFormat="1" customHeight="1" ht="17.25">
      <c r="A16" s="605"/>
      <c r="C16" s="604"/>
      <c r="D16" s="2419"/>
      <c r="E16" s="2427"/>
      <c r="F16" s="2430"/>
      <c r="G16" s="2427"/>
      <c r="H16" s="2433"/>
      <c r="I16" s="2435"/>
      <c r="J16" s="2438"/>
      <c r="K16" s="2422"/>
      <c r="L16" s="1581"/>
      <c r="M16" s="1581"/>
      <c r="N16" s="1581"/>
      <c r="O16" s="1581"/>
      <c r="P16" s="1581"/>
      <c r="Q16" s="1581"/>
      <c r="R16" s="1581"/>
      <c r="S16" s="613"/>
      <c r="T16" s="613"/>
      <c r="U16" s="613"/>
      <c r="V16" s="613"/>
      <c r="W16" s="1582"/>
      <c r="Y16" s="1543"/>
      <c r="Z16" s="1543"/>
      <c r="AA16" s="1543"/>
      <c r="AB16" s="1543"/>
      <c r="AC16" s="1543"/>
      <c r="AD16" s="1543"/>
      <c r="AE16" s="1543"/>
      <c r="AF16" s="1543"/>
      <c r="AG16" s="1543"/>
      <c r="AH16" s="1543"/>
      <c r="AI16" s="1543"/>
      <c r="AJ16" s="1543"/>
      <c r="AK16" s="1543"/>
      <c r="AL16" s="1543"/>
      <c r="AM16" s="1543"/>
      <c r="AN16" s="1543"/>
      <c r="AO16" s="1543"/>
      <c r="AP16" s="1543"/>
      <c r="AQ16" s="1543"/>
      <c r="AR16" s="1701">
        <v>0</v>
      </c>
    </row>
    <row s="14284" customFormat="1" customHeight="1" ht="17.25">
      <c r="A17" s="605"/>
      <c r="C17" s="604"/>
      <c r="D17" s="2420"/>
      <c r="E17" s="2428"/>
      <c r="F17" s="2431"/>
      <c r="G17" s="2428"/>
      <c r="H17" s="1583"/>
      <c r="I17" s="1584"/>
      <c r="J17" s="1584"/>
      <c r="K17" s="1584"/>
      <c r="L17" s="1584"/>
      <c r="M17" s="1584"/>
      <c r="N17" s="1584"/>
      <c r="O17" s="1584"/>
      <c r="P17" s="1584"/>
      <c r="Q17" s="1584"/>
      <c r="R17" s="1584"/>
      <c r="S17" s="1585"/>
      <c r="T17" s="1585"/>
      <c r="U17" s="1585"/>
      <c r="V17" s="1585"/>
      <c r="W17" s="1586"/>
      <c r="Y17" s="1543"/>
      <c r="Z17" s="1543"/>
      <c r="AA17" s="1543"/>
      <c r="AB17" s="1543"/>
      <c r="AC17" s="1543"/>
      <c r="AD17" s="1543"/>
      <c r="AE17" s="1543"/>
      <c r="AF17" s="1543"/>
      <c r="AG17" s="1543"/>
      <c r="AH17" s="1543"/>
      <c r="AI17" s="1543"/>
      <c r="AJ17" s="1543"/>
      <c r="AK17" s="1543"/>
      <c r="AL17" s="1543"/>
      <c r="AM17" s="1543"/>
      <c r="AN17" s="1543"/>
      <c r="AO17" s="1543"/>
      <c r="AP17" s="1543"/>
      <c r="AQ17" s="1543"/>
      <c r="AR17" s="1034">
        <v>0</v>
      </c>
    </row>
    <row s="14284" customFormat="1" customHeight="1" ht="17.25">
      <c r="A18" s="605"/>
      <c r="C18" s="493"/>
      <c r="D18" s="2419">
        <v>2</v>
      </c>
      <c r="E18" s="3330" t="s">
        <v>161</v>
      </c>
      <c r="F18" s="2429" t="s">
        <v>67</v>
      </c>
      <c r="G18" s="3331" t="str">
        <f>INDEX(VD_NAME_LIST,MATCH("4190064",VD_ID_LIST,0))&amp;"; "&amp;INDEX(VD_NAME_LIST,MATCH("4190068",VD_ID_LIST,0))&amp;"; "&amp;INDEX(VD_NAME_LIST,MATCH("4190070",VD_ID_LIST,0))</f>
        <v>Производство тепловой энергии. Некомбинированная выработка; Передача. Тепловая энергия; Сбыт. Тепловая энергия</v>
      </c>
      <c r="H18" s="3332"/>
      <c r="I18" s="3332">
        <v>1</v>
      </c>
      <c r="J18" s="3333" t="s">
        <v>162</v>
      </c>
      <c r="K18" s="3334" t="s">
        <v>67</v>
      </c>
      <c r="L18" s="3335"/>
      <c r="M18" s="3335" t="s">
        <v>110</v>
      </c>
      <c r="N18" s="3336" t="str">
        <f>IF(Z18="","",INDEX(TERRITORY_MR_LIST,MATCH(Z18,TERRITORY_LIST_ID,0)))</f>
        <v>Территория 1</v>
      </c>
      <c r="O18" s="3334" t="s">
        <v>19</v>
      </c>
      <c r="P18" s="3335"/>
      <c r="Q18" s="3335" t="s">
        <v>110</v>
      </c>
      <c r="R18" s="3337" t="s">
        <v>28</v>
      </c>
      <c r="S18" s="3338" t="s">
        <v>19</v>
      </c>
      <c r="T18" s="3335"/>
      <c r="U18" s="3335" t="s">
        <v>110</v>
      </c>
      <c r="V18" s="3337" t="s">
        <v>28</v>
      </c>
      <c r="W18" s="3333"/>
      <c r="X18" s="1551"/>
      <c r="Y18" s="1551"/>
      <c r="Z18" s="1551" t="s">
        <v>99</v>
      </c>
      <c r="AA18" s="1551"/>
      <c r="AB18" s="1551" t="s">
        <v>163</v>
      </c>
      <c r="AC18" s="1551" t="s">
        <v>164</v>
      </c>
      <c r="AD18" s="1551" t="s">
        <v>165</v>
      </c>
      <c r="AE18" s="1551" t="s">
        <v>166</v>
      </c>
      <c r="AF18" s="1551" t="s">
        <v>167</v>
      </c>
      <c r="AG18" s="1551" t="s">
        <v>168</v>
      </c>
      <c r="AH18" s="1551" t="str">
        <f>IF($E$18=0,"",$E$18)</f>
        <v>Тарифы на тепловую энергию (мощность), поставляемую теплоснабжающими организациями потребителям, другим теплоснабжающим организациям</v>
      </c>
      <c r="AI18" s="1551" t="str">
        <f>IF($G$18=0,"",$G$18)</f>
        <v>Производство тепловой энергии. Некомбинированная выработка; Передача. Тепловая энергия; Сбыт. Тепловая энергия</v>
      </c>
      <c r="AJ18" s="1551" t="str">
        <f>IF($J$18=0,"",$J$18)</f>
        <v>Тариф на тепловую энергию</v>
      </c>
      <c r="AK18" s="1551" t="str">
        <f>IF($K$18="нет","без дифференциации",IF($N$18=0,"",$N$18))</f>
        <v>Территория 1</v>
      </c>
      <c r="AL18" s="1551" t="str">
        <f>IF($O$18="нет","без дифференциации",IF($R$18=0,"",$R$18))</f>
        <v>без дифференциации</v>
      </c>
      <c r="AM18" s="1551" t="str">
        <f>IF($S$18="нет","без дифференциации",IF($V$18=0,"",$V$18))</f>
        <v>без дифференциации</v>
      </c>
      <c r="AN18" s="2056">
        <f>$I$18</f>
        <v>1</v>
      </c>
      <c r="AO18" s="1551" t="str">
        <f>$I$18&amp;"."&amp;$M$18</f>
        <v>1.1</v>
      </c>
      <c r="AP18" s="1543" t="str">
        <f>$I$18&amp;"."&amp;$M$18&amp;"."&amp;$Q$18</f>
        <v>1.1.1</v>
      </c>
      <c r="AQ18" s="1543" t="str">
        <f>$I$18&amp;"."&amp;$M$18&amp;"."&amp;$Q$18&amp;"."&amp;$U$18</f>
        <v>1.1.1.1</v>
      </c>
      <c r="AR18" s="1567">
        <v>0</v>
      </c>
    </row>
    <row s="14284" customFormat="1" customHeight="1" ht="17.25">
      <c r="A19" s="605"/>
      <c r="C19" s="604"/>
      <c r="D19" s="2419"/>
      <c r="E19" s="2448"/>
      <c r="F19" s="2430"/>
      <c r="G19" s="3331"/>
      <c r="H19" s="3332"/>
      <c r="I19" s="3332"/>
      <c r="J19" s="3333"/>
      <c r="K19" s="3342"/>
      <c r="L19" s="3335"/>
      <c r="M19" s="3335"/>
      <c r="N19" s="3336"/>
      <c r="O19" s="3342"/>
      <c r="P19" s="3335"/>
      <c r="Q19" s="3335"/>
      <c r="R19" s="3337" t="s">
        <v>28</v>
      </c>
      <c r="S19" s="3338"/>
      <c r="T19" s="3343"/>
      <c r="U19" s="3344"/>
      <c r="V19" s="3345" t="s">
        <v>169</v>
      </c>
      <c r="W19" s="3346"/>
      <c r="X19" s="1543"/>
      <c r="Y19" s="1543"/>
      <c r="Z19" s="1543"/>
      <c r="AA19" s="1543"/>
      <c r="AB19" s="1543"/>
      <c r="AC19" s="1543"/>
      <c r="AD19" s="1543"/>
      <c r="AE19" s="1543"/>
      <c r="AF19" s="1543"/>
      <c r="AG19" s="1543"/>
      <c r="AH19" s="1543"/>
      <c r="AI19" s="1543"/>
      <c r="AJ19" s="1543"/>
      <c r="AK19" s="1543"/>
      <c r="AL19" s="1543"/>
      <c r="AM19" s="1543"/>
      <c r="AN19" s="1543"/>
      <c r="AO19" s="1543"/>
      <c r="AP19" s="1543"/>
      <c r="AQ19" s="1543"/>
      <c r="AR19" s="1567">
        <v>0</v>
      </c>
    </row>
    <row s="14284" customFormat="1" customHeight="1" ht="17.25">
      <c r="A20" s="605"/>
      <c r="C20" s="604"/>
      <c r="D20" s="2420"/>
      <c r="E20" s="2449"/>
      <c r="F20" s="2430"/>
      <c r="G20" s="3348"/>
      <c r="H20" s="3349"/>
      <c r="I20" s="3349"/>
      <c r="J20" s="3350"/>
      <c r="K20" s="3342"/>
      <c r="L20" s="3349"/>
      <c r="M20" s="3349"/>
      <c r="N20" s="3351"/>
      <c r="O20" s="3352"/>
      <c r="P20" s="3353"/>
      <c r="Q20" s="3354"/>
      <c r="R20" s="3355" t="s">
        <v>170</v>
      </c>
      <c r="S20" s="3356"/>
      <c r="T20" s="3357"/>
      <c r="U20" s="3358"/>
      <c r="V20" s="3359"/>
      <c r="W20" s="3360"/>
      <c r="X20" s="1543"/>
      <c r="Y20" s="1543"/>
      <c r="Z20" s="1543"/>
      <c r="AA20" s="1543"/>
      <c r="AB20" s="1543"/>
      <c r="AC20" s="1543"/>
      <c r="AD20" s="1543"/>
      <c r="AE20" s="1543"/>
      <c r="AF20" s="1543"/>
      <c r="AG20" s="1543"/>
      <c r="AH20" s="1543"/>
      <c r="AI20" s="1543"/>
      <c r="AJ20" s="1543"/>
      <c r="AK20" s="1543"/>
      <c r="AL20" s="1543"/>
      <c r="AM20" s="1543"/>
      <c r="AN20" s="1543"/>
      <c r="AO20" s="1543"/>
      <c r="AP20" s="1543"/>
      <c r="AQ20" s="1543"/>
      <c r="AR20" s="1567">
        <v>0</v>
      </c>
    </row>
    <row s="14284" customFormat="1" customHeight="1" ht="17.25">
      <c r="A21" s="605"/>
      <c r="C21" s="604"/>
      <c r="D21" s="2420"/>
      <c r="E21" s="2449"/>
      <c r="F21" s="2430"/>
      <c r="G21" s="3348"/>
      <c r="H21" s="3349"/>
      <c r="I21" s="3349"/>
      <c r="J21" s="3350"/>
      <c r="K21" s="3352"/>
      <c r="L21" s="3361"/>
      <c r="M21" s="3362"/>
      <c r="N21" s="3363" t="s">
        <v>171</v>
      </c>
      <c r="O21" s="3364"/>
      <c r="P21" s="3365"/>
      <c r="Q21" s="3366"/>
      <c r="R21" s="3367"/>
      <c r="S21" s="3368"/>
      <c r="T21" s="3369"/>
      <c r="U21" s="3370"/>
      <c r="V21" s="3371"/>
      <c r="W21" s="3372"/>
      <c r="X21" s="1543"/>
      <c r="Y21" s="1543"/>
      <c r="Z21" s="1543"/>
      <c r="AA21" s="1543"/>
      <c r="AB21" s="1543"/>
      <c r="AC21" s="1543"/>
      <c r="AD21" s="1543"/>
      <c r="AE21" s="1543"/>
      <c r="AF21" s="1543"/>
      <c r="AG21" s="1543"/>
      <c r="AH21" s="1543"/>
      <c r="AI21" s="1543"/>
      <c r="AJ21" s="1543"/>
      <c r="AK21" s="1543"/>
      <c r="AL21" s="1543"/>
      <c r="AM21" s="1543"/>
      <c r="AN21" s="1543"/>
      <c r="AO21" s="1543"/>
      <c r="AP21" s="1543"/>
      <c r="AQ21" s="1543"/>
      <c r="AR21" s="1567">
        <v>0</v>
      </c>
    </row>
    <row s="14284" customFormat="1" customHeight="1" ht="17.25">
      <c r="A22" s="605"/>
      <c r="C22" s="604"/>
      <c r="D22" s="2420"/>
      <c r="E22" s="2449"/>
      <c r="F22" s="2431"/>
      <c r="G22" s="3348"/>
      <c r="H22" s="3373"/>
      <c r="I22" s="3374"/>
      <c r="J22" s="3375" t="s">
        <v>172</v>
      </c>
      <c r="K22" s="3376"/>
      <c r="L22" s="3377"/>
      <c r="M22" s="3378"/>
      <c r="N22" s="3379"/>
      <c r="O22" s="3380"/>
      <c r="P22" s="3381"/>
      <c r="Q22" s="3382"/>
      <c r="R22" s="3383"/>
      <c r="S22" s="3384"/>
      <c r="T22" s="3385"/>
      <c r="U22" s="3386"/>
      <c r="V22" s="3387"/>
      <c r="W22" s="3388"/>
      <c r="X22" s="1543"/>
      <c r="Y22" s="1543"/>
      <c r="Z22" s="1543"/>
      <c r="AA22" s="1543"/>
      <c r="AB22" s="1543"/>
      <c r="AC22" s="1543"/>
      <c r="AD22" s="1543"/>
      <c r="AE22" s="1543"/>
      <c r="AF22" s="1543"/>
      <c r="AG22" s="1543"/>
      <c r="AH22" s="1543"/>
      <c r="AI22" s="1543"/>
      <c r="AJ22" s="1543"/>
      <c r="AK22" s="1543"/>
      <c r="AL22" s="1543"/>
      <c r="AM22" s="1543"/>
      <c r="AN22" s="1543"/>
      <c r="AO22" s="1543"/>
      <c r="AP22" s="1543"/>
      <c r="AQ22" s="1543"/>
      <c r="AR22" s="1567">
        <v>0</v>
      </c>
    </row>
    <row s="14284" customFormat="1" customHeight="1" ht="17.25" hidden="1">
      <c r="A23" s="605"/>
      <c r="C23" s="493"/>
      <c r="D23" s="2419">
        <v>2</v>
      </c>
      <c r="E23" s="2427" t="s">
        <v>161</v>
      </c>
      <c r="F23" s="2429" t="s">
        <v>19</v>
      </c>
      <c r="G23" s="2427"/>
      <c r="H23" s="2432"/>
      <c r="I23" s="2434"/>
      <c r="J23" s="2436"/>
      <c r="K23" s="2421"/>
      <c r="L23" s="2421"/>
      <c r="M23" s="2421"/>
      <c r="N23" s="2423"/>
      <c r="O23" s="2421"/>
      <c r="P23" s="2421"/>
      <c r="Q23" s="2421"/>
      <c r="R23" s="2426"/>
      <c r="S23" s="2421"/>
      <c r="T23" s="2282"/>
      <c r="U23" s="2282"/>
      <c r="V23" s="2284"/>
      <c r="W23" s="1580"/>
      <c r="X23" s="1551"/>
      <c r="Y23" s="1551"/>
      <c r="Z23" s="1551" t="s">
        <v>28</v>
      </c>
      <c r="AA23" s="1551" t="s">
        <v>28</v>
      </c>
      <c r="AB23" s="1551" t="s">
        <v>28</v>
      </c>
      <c r="AC23" s="1551" t="s">
        <v>28</v>
      </c>
      <c r="AD23" s="1551" t="s">
        <v>28</v>
      </c>
      <c r="AE23" s="1551" t="s">
        <v>28</v>
      </c>
      <c r="AF23" s="1551" t="s">
        <v>28</v>
      </c>
      <c r="AG23" s="1551" t="s">
        <v>28</v>
      </c>
      <c r="AH23" s="1551" t="s">
        <v>28</v>
      </c>
      <c r="AI23" s="1551" t="s">
        <v>28</v>
      </c>
      <c r="AJ23" s="1551" t="s">
        <v>28</v>
      </c>
      <c r="AK23" s="1551" t="s">
        <v>28</v>
      </c>
      <c r="AL23" s="1551" t="s">
        <v>28</v>
      </c>
      <c r="AM23" s="1551" t="s">
        <v>28</v>
      </c>
      <c r="AN23" s="2056" t="s">
        <v>28</v>
      </c>
      <c r="AO23" s="1551" t="s">
        <v>28</v>
      </c>
      <c r="AP23" s="1550" t="s">
        <v>28</v>
      </c>
      <c r="AQ23" s="1550" t="s">
        <v>28</v>
      </c>
      <c r="AR23" s="1751">
        <v>0</v>
      </c>
    </row>
    <row s="14284" customFormat="1" customHeight="1" ht="17.25" hidden="1">
      <c r="A24" s="605"/>
      <c r="C24" s="604"/>
      <c r="D24" s="2419"/>
      <c r="E24" s="2427"/>
      <c r="F24" s="2430"/>
      <c r="G24" s="2427"/>
      <c r="H24" s="2433"/>
      <c r="I24" s="2435"/>
      <c r="J24" s="2437"/>
      <c r="K24" s="2422"/>
      <c r="L24" s="2422"/>
      <c r="M24" s="2422"/>
      <c r="N24" s="2424"/>
      <c r="O24" s="2422"/>
      <c r="P24" s="2422"/>
      <c r="Q24" s="2422"/>
      <c r="R24" s="2425"/>
      <c r="S24" s="2422"/>
      <c r="T24" s="2287"/>
      <c r="U24" s="2287"/>
      <c r="V24" s="2287"/>
      <c r="W24" s="2288"/>
      <c r="X24" s="1550"/>
      <c r="Y24" s="1550"/>
      <c r="Z24" s="1550"/>
      <c r="AA24" s="1550"/>
      <c r="AB24" s="1550"/>
      <c r="AC24" s="1550"/>
      <c r="AD24" s="1550"/>
      <c r="AE24" s="1550"/>
      <c r="AF24" s="1550"/>
      <c r="AG24" s="1550"/>
      <c r="AH24" s="1550"/>
      <c r="AI24" s="1550"/>
      <c r="AJ24" s="1550"/>
      <c r="AK24" s="1550"/>
      <c r="AL24" s="1550"/>
      <c r="AM24" s="1550"/>
      <c r="AN24" s="1550"/>
      <c r="AO24" s="1550"/>
      <c r="AP24" s="1550"/>
      <c r="AQ24" s="1550"/>
      <c r="AR24" s="1751">
        <v>0</v>
      </c>
    </row>
    <row s="14284" customFormat="1" customHeight="1" ht="17.25" hidden="1">
      <c r="A25" s="605"/>
      <c r="C25" s="604"/>
      <c r="D25" s="2420"/>
      <c r="E25" s="2428"/>
      <c r="F25" s="2430"/>
      <c r="G25" s="2428"/>
      <c r="H25" s="2433"/>
      <c r="I25" s="2435"/>
      <c r="J25" s="2438"/>
      <c r="K25" s="2422"/>
      <c r="L25" s="2422"/>
      <c r="M25" s="2422"/>
      <c r="N25" s="2425"/>
      <c r="O25" s="2422"/>
      <c r="P25" s="2283"/>
      <c r="Q25" s="2287"/>
      <c r="R25" s="2287"/>
      <c r="S25" s="613"/>
      <c r="T25" s="613"/>
      <c r="U25" s="613"/>
      <c r="V25" s="613"/>
      <c r="W25" s="2288"/>
      <c r="X25" s="1550"/>
      <c r="Y25" s="1550"/>
      <c r="Z25" s="1550"/>
      <c r="AA25" s="1550"/>
      <c r="AB25" s="1550"/>
      <c r="AC25" s="1550"/>
      <c r="AD25" s="1550"/>
      <c r="AE25" s="1550"/>
      <c r="AF25" s="1550"/>
      <c r="AG25" s="1550"/>
      <c r="AH25" s="1550"/>
      <c r="AI25" s="1550"/>
      <c r="AJ25" s="1550"/>
      <c r="AK25" s="1550"/>
      <c r="AL25" s="1550"/>
      <c r="AM25" s="1550"/>
      <c r="AN25" s="1550"/>
      <c r="AO25" s="1550"/>
      <c r="AP25" s="1550"/>
      <c r="AQ25" s="1550"/>
      <c r="AR25" s="1751">
        <v>0</v>
      </c>
    </row>
    <row s="14284" customFormat="1" customHeight="1" ht="17.25" hidden="1">
      <c r="A26" s="605"/>
      <c r="C26" s="604"/>
      <c r="D26" s="2420"/>
      <c r="E26" s="2428"/>
      <c r="F26" s="2430"/>
      <c r="G26" s="2428"/>
      <c r="H26" s="2433"/>
      <c r="I26" s="2435"/>
      <c r="J26" s="2438"/>
      <c r="K26" s="2422"/>
      <c r="L26" s="2287"/>
      <c r="M26" s="2287"/>
      <c r="N26" s="2287"/>
      <c r="O26" s="2287"/>
      <c r="P26" s="2287"/>
      <c r="Q26" s="2287"/>
      <c r="R26" s="2287"/>
      <c r="S26" s="613"/>
      <c r="T26" s="613"/>
      <c r="U26" s="613"/>
      <c r="V26" s="613"/>
      <c r="W26" s="2288"/>
      <c r="X26" s="1550"/>
      <c r="Y26" s="1550"/>
      <c r="Z26" s="1550"/>
      <c r="AA26" s="1550"/>
      <c r="AB26" s="1550"/>
      <c r="AC26" s="1550"/>
      <c r="AD26" s="1550"/>
      <c r="AE26" s="1550"/>
      <c r="AF26" s="1550"/>
      <c r="AG26" s="1550"/>
      <c r="AH26" s="1550"/>
      <c r="AI26" s="1550"/>
      <c r="AJ26" s="1550"/>
      <c r="AK26" s="1550"/>
      <c r="AL26" s="1550"/>
      <c r="AM26" s="1550"/>
      <c r="AN26" s="1550"/>
      <c r="AO26" s="1550"/>
      <c r="AP26" s="1550"/>
      <c r="AQ26" s="1550"/>
      <c r="AR26" s="1751">
        <v>0</v>
      </c>
    </row>
    <row s="14284" customFormat="1" customHeight="1" ht="17.25" hidden="1">
      <c r="A27" s="605"/>
      <c r="C27" s="604"/>
      <c r="D27" s="2420"/>
      <c r="E27" s="2428"/>
      <c r="F27" s="2431"/>
      <c r="G27" s="2428"/>
      <c r="H27" s="1583"/>
      <c r="I27" s="2285"/>
      <c r="J27" s="2285"/>
      <c r="K27" s="2285"/>
      <c r="L27" s="2285"/>
      <c r="M27" s="2285"/>
      <c r="N27" s="2285"/>
      <c r="O27" s="2285"/>
      <c r="P27" s="2285"/>
      <c r="Q27" s="2285"/>
      <c r="R27" s="2285"/>
      <c r="S27" s="1585"/>
      <c r="T27" s="1585"/>
      <c r="U27" s="1585"/>
      <c r="V27" s="1585"/>
      <c r="W27" s="2286"/>
      <c r="X27" s="1550"/>
      <c r="Y27" s="1550"/>
      <c r="Z27" s="1550"/>
      <c r="AA27" s="1550"/>
      <c r="AB27" s="1550"/>
      <c r="AC27" s="1550"/>
      <c r="AD27" s="1550"/>
      <c r="AE27" s="1550"/>
      <c r="AF27" s="1550"/>
      <c r="AG27" s="1550"/>
      <c r="AH27" s="1550"/>
      <c r="AI27" s="1550"/>
      <c r="AJ27" s="1550"/>
      <c r="AK27" s="1550"/>
      <c r="AL27" s="1550"/>
      <c r="AM27" s="1550"/>
      <c r="AN27" s="1550"/>
      <c r="AO27" s="1550"/>
      <c r="AP27" s="1550"/>
      <c r="AQ27" s="1550"/>
      <c r="AR27" s="1751">
        <v>0</v>
      </c>
    </row>
    <row s="14284" customFormat="1" customHeight="1" ht="17.25">
      <c r="A28" s="605"/>
      <c r="C28" s="493"/>
      <c r="D28" s="2419">
        <v>3</v>
      </c>
      <c r="E28" s="2427" t="s">
        <v>173</v>
      </c>
      <c r="F28" s="2429" t="s">
        <v>19</v>
      </c>
      <c r="G28" s="2427"/>
      <c r="H28" s="2432"/>
      <c r="I28" s="2434"/>
      <c r="J28" s="2436"/>
      <c r="K28" s="2421"/>
      <c r="L28" s="2421"/>
      <c r="M28" s="2421"/>
      <c r="N28" s="2423"/>
      <c r="O28" s="2421"/>
      <c r="P28" s="2421"/>
      <c r="Q28" s="2421"/>
      <c r="R28" s="2426"/>
      <c r="S28" s="2421"/>
      <c r="T28" s="1704"/>
      <c r="U28" s="1704"/>
      <c r="V28" s="1703"/>
      <c r="W28" s="1580"/>
      <c r="X28" s="1551"/>
      <c r="Y28" s="1551"/>
      <c r="Z28" s="1551"/>
      <c r="AA28" s="1551"/>
      <c r="AB28" s="1551"/>
      <c r="AC28" s="1551" t="s">
        <v>174</v>
      </c>
      <c r="AD28" s="1551" t="s">
        <v>175</v>
      </c>
      <c r="AE28" s="1551" t="s">
        <v>176</v>
      </c>
      <c r="AF28" s="1551" t="s">
        <v>177</v>
      </c>
      <c r="AG28" s="1551" t="s">
        <v>178</v>
      </c>
      <c r="AH28" s="1551" t="str">
        <f>IF($E$28=0,"",$E$28)</f>
        <v>Тарифы на теплоноситель, поставляемый теплоснабжающими организациями потребителям, другим теплоснабжающим организациям</v>
      </c>
      <c r="AI28" s="1551" t="str">
        <f>IF($G$28=0,"",$G$28)</f>
        <v/>
      </c>
      <c r="AJ28" s="1551" t="str">
        <f>IF($J$28=0,"",$J$28)</f>
        <v/>
      </c>
      <c r="AK28" s="1551" t="str">
        <f>IF($K$28="нет","без дифференциации",IF($N$28=0,"",$N$28))</f>
        <v/>
      </c>
      <c r="AL28" s="1551" t="str">
        <f>IF($O$28="нет","без дифференциации",IF($R$28=0,"",$R$28))</f>
        <v/>
      </c>
      <c r="AM28" s="1551" t="str">
        <f>IF($S$28="нет","без дифференциации",IF($V$28=0,"",$V$28))</f>
        <v/>
      </c>
      <c r="AN28" s="2056">
        <f>$I$28</f>
        <v>0</v>
      </c>
      <c r="AO28" s="1551" t="str">
        <f>$I$28&amp;"."&amp;$M$28</f>
        <v>.</v>
      </c>
      <c r="AP28" s="1543" t="str">
        <f>$I$28&amp;"."&amp;$M$28&amp;"."&amp;$Q$28</f>
        <v>..</v>
      </c>
      <c r="AQ28" s="1543" t="str">
        <f>$I$28&amp;"."&amp;$M$28&amp;"."&amp;$Q$28&amp;"."&amp;$U$28</f>
        <v>...</v>
      </c>
      <c r="AR28" s="1567">
        <v>0</v>
      </c>
    </row>
    <row s="14284" customFormat="1" customHeight="1" ht="17.25">
      <c r="A29" s="605"/>
      <c r="C29" s="604"/>
      <c r="D29" s="2419"/>
      <c r="E29" s="2427"/>
      <c r="F29" s="2430"/>
      <c r="G29" s="2427"/>
      <c r="H29" s="2433"/>
      <c r="I29" s="2435"/>
      <c r="J29" s="2437"/>
      <c r="K29" s="2422"/>
      <c r="L29" s="2422"/>
      <c r="M29" s="2422"/>
      <c r="N29" s="2424"/>
      <c r="O29" s="2422"/>
      <c r="P29" s="2422"/>
      <c r="Q29" s="2422"/>
      <c r="R29" s="2425"/>
      <c r="S29" s="2422"/>
      <c r="T29" s="1581"/>
      <c r="U29" s="1581"/>
      <c r="V29" s="1581"/>
      <c r="W29" s="1582"/>
      <c r="X29" s="1543"/>
      <c r="Y29" s="1543"/>
      <c r="Z29" s="1543"/>
      <c r="AA29" s="1543"/>
      <c r="AB29" s="1543"/>
      <c r="AC29" s="1543"/>
      <c r="AD29" s="1543"/>
      <c r="AE29" s="1543"/>
      <c r="AF29" s="1543"/>
      <c r="AG29" s="1543"/>
      <c r="AH29" s="1543"/>
      <c r="AI29" s="1543"/>
      <c r="AJ29" s="1543"/>
      <c r="AK29" s="1543"/>
      <c r="AL29" s="1543"/>
      <c r="AM29" s="1543"/>
      <c r="AN29" s="1543"/>
      <c r="AO29" s="1543"/>
      <c r="AP29" s="1543"/>
      <c r="AQ29" s="1543"/>
      <c r="AR29" s="1567">
        <v>0</v>
      </c>
    </row>
    <row s="14284" customFormat="1" customHeight="1" ht="17.25">
      <c r="A30" s="605"/>
      <c r="C30" s="604"/>
      <c r="D30" s="2420"/>
      <c r="E30" s="2428"/>
      <c r="F30" s="2430"/>
      <c r="G30" s="2428"/>
      <c r="H30" s="2433"/>
      <c r="I30" s="2435"/>
      <c r="J30" s="2438"/>
      <c r="K30" s="2422"/>
      <c r="L30" s="2422"/>
      <c r="M30" s="2422"/>
      <c r="N30" s="2425"/>
      <c r="O30" s="2422"/>
      <c r="P30" s="1702"/>
      <c r="Q30" s="1581"/>
      <c r="R30" s="1581"/>
      <c r="S30" s="613"/>
      <c r="T30" s="613"/>
      <c r="U30" s="613"/>
      <c r="V30" s="613"/>
      <c r="W30" s="1582"/>
      <c r="X30" s="1543"/>
      <c r="Y30" s="1543"/>
      <c r="Z30" s="1543"/>
      <c r="AA30" s="1543"/>
      <c r="AB30" s="1543"/>
      <c r="AC30" s="1543"/>
      <c r="AD30" s="1543"/>
      <c r="AE30" s="1543"/>
      <c r="AF30" s="1543"/>
      <c r="AG30" s="1543"/>
      <c r="AH30" s="1543"/>
      <c r="AI30" s="1543"/>
      <c r="AJ30" s="1543"/>
      <c r="AK30" s="1543"/>
      <c r="AL30" s="1543"/>
      <c r="AM30" s="1543"/>
      <c r="AN30" s="1543"/>
      <c r="AO30" s="1543"/>
      <c r="AP30" s="1543"/>
      <c r="AQ30" s="1543"/>
      <c r="AR30" s="1567">
        <v>0</v>
      </c>
    </row>
    <row s="14284" customFormat="1" customHeight="1" ht="17.25">
      <c r="A31" s="605"/>
      <c r="C31" s="604"/>
      <c r="D31" s="2420"/>
      <c r="E31" s="2428"/>
      <c r="F31" s="2430"/>
      <c r="G31" s="2428"/>
      <c r="H31" s="2433"/>
      <c r="I31" s="2435"/>
      <c r="J31" s="2438"/>
      <c r="K31" s="2422"/>
      <c r="L31" s="1581"/>
      <c r="M31" s="1581"/>
      <c r="N31" s="1581"/>
      <c r="O31" s="1581"/>
      <c r="P31" s="1581"/>
      <c r="Q31" s="1581"/>
      <c r="R31" s="1581"/>
      <c r="S31" s="613"/>
      <c r="T31" s="613"/>
      <c r="U31" s="613"/>
      <c r="V31" s="613"/>
      <c r="W31" s="1582"/>
      <c r="X31" s="1543"/>
      <c r="Y31" s="1543"/>
      <c r="Z31" s="1543"/>
      <c r="AA31" s="1543"/>
      <c r="AB31" s="1543"/>
      <c r="AC31" s="1543"/>
      <c r="AD31" s="1543"/>
      <c r="AE31" s="1543"/>
      <c r="AF31" s="1543"/>
      <c r="AG31" s="1543"/>
      <c r="AH31" s="1543"/>
      <c r="AI31" s="1543"/>
      <c r="AJ31" s="1543"/>
      <c r="AK31" s="1543"/>
      <c r="AL31" s="1543"/>
      <c r="AM31" s="1543"/>
      <c r="AN31" s="1543"/>
      <c r="AO31" s="1543"/>
      <c r="AP31" s="1543"/>
      <c r="AQ31" s="1543"/>
      <c r="AR31" s="1567">
        <v>0</v>
      </c>
    </row>
    <row s="14284" customFormat="1" customHeight="1" ht="17.25">
      <c r="A32" s="605"/>
      <c r="C32" s="604"/>
      <c r="D32" s="2420"/>
      <c r="E32" s="2428"/>
      <c r="F32" s="2431"/>
      <c r="G32" s="2428"/>
      <c r="H32" s="1583"/>
      <c r="I32" s="1584"/>
      <c r="J32" s="1584"/>
      <c r="K32" s="1584"/>
      <c r="L32" s="1584"/>
      <c r="M32" s="1584"/>
      <c r="N32" s="1584"/>
      <c r="O32" s="1584"/>
      <c r="P32" s="1584"/>
      <c r="Q32" s="1584"/>
      <c r="R32" s="1584"/>
      <c r="S32" s="1585"/>
      <c r="T32" s="1585"/>
      <c r="U32" s="1585"/>
      <c r="V32" s="1585"/>
      <c r="W32" s="1586"/>
      <c r="X32" s="1543"/>
      <c r="Y32" s="1543"/>
      <c r="Z32" s="1543"/>
      <c r="AA32" s="1543"/>
      <c r="AB32" s="1543"/>
      <c r="AC32" s="1543"/>
      <c r="AD32" s="1543"/>
      <c r="AE32" s="1543"/>
      <c r="AF32" s="1543"/>
      <c r="AG32" s="1543"/>
      <c r="AH32" s="1543"/>
      <c r="AI32" s="1543"/>
      <c r="AJ32" s="1543"/>
      <c r="AK32" s="1543"/>
      <c r="AL32" s="1543"/>
      <c r="AM32" s="1543"/>
      <c r="AN32" s="1543"/>
      <c r="AO32" s="1543"/>
      <c r="AP32" s="1543"/>
      <c r="AQ32" s="1543"/>
      <c r="AR32" s="1567">
        <v>0</v>
      </c>
    </row>
    <row s="14284" customFormat="1" customHeight="1" ht="17.25">
      <c r="A33" s="605"/>
      <c r="C33" s="493"/>
      <c r="D33" s="2419">
        <v>4</v>
      </c>
      <c r="E33" s="2427" t="s">
        <v>179</v>
      </c>
      <c r="F33" s="2429" t="s">
        <v>19</v>
      </c>
      <c r="G33" s="2427"/>
      <c r="H33" s="2432"/>
      <c r="I33" s="2434"/>
      <c r="J33" s="2436"/>
      <c r="K33" s="2421"/>
      <c r="L33" s="2421"/>
      <c r="M33" s="2421"/>
      <c r="N33" s="2423"/>
      <c r="O33" s="2421"/>
      <c r="P33" s="2421"/>
      <c r="Q33" s="2421"/>
      <c r="R33" s="2426"/>
      <c r="S33" s="2421"/>
      <c r="T33" s="1704"/>
      <c r="U33" s="1704"/>
      <c r="V33" s="1703"/>
      <c r="W33" s="1580"/>
      <c r="X33" s="1551"/>
      <c r="Y33" s="1551"/>
      <c r="Z33" s="1551"/>
      <c r="AA33" s="1551"/>
      <c r="AB33" s="1551"/>
      <c r="AC33" s="1551" t="s">
        <v>180</v>
      </c>
      <c r="AD33" s="1551" t="s">
        <v>181</v>
      </c>
      <c r="AE33" s="1551" t="s">
        <v>182</v>
      </c>
      <c r="AF33" s="1551" t="s">
        <v>183</v>
      </c>
      <c r="AG33" s="1551" t="s">
        <v>184</v>
      </c>
      <c r="AH33" s="1551"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551" t="str">
        <f>IF($G$33=0,"",$G$33)</f>
        <v/>
      </c>
      <c r="AJ33" s="1551" t="str">
        <f>IF($J$33=0,"",$J$33)</f>
        <v/>
      </c>
      <c r="AK33" s="1551" t="str">
        <f>IF($K$33="нет","без дифференциации",IF($N$33=0,"",$N$33))</f>
        <v/>
      </c>
      <c r="AL33" s="1551" t="str">
        <f>IF($O$33="нет","без дифференциации",IF($R$33=0,"",$R$33))</f>
        <v/>
      </c>
      <c r="AM33" s="1551" t="str">
        <f>IF($S$33="нет","без дифференциации",IF($V$33=0,"",$V$33))</f>
        <v/>
      </c>
      <c r="AN33" s="2056">
        <f>$I$33</f>
        <v>0</v>
      </c>
      <c r="AO33" s="1551" t="str">
        <f>$I$33&amp;"."&amp;$M$33</f>
        <v>.</v>
      </c>
      <c r="AP33" s="1543" t="str">
        <f>$I$33&amp;"."&amp;$M$33&amp;"."&amp;$Q$33</f>
        <v>..</v>
      </c>
      <c r="AQ33" s="1543" t="str">
        <f>$I$33&amp;"."&amp;$M$33&amp;"."&amp;$Q$33&amp;"."&amp;$U$33</f>
        <v>...</v>
      </c>
      <c r="AR33" s="1567">
        <v>0</v>
      </c>
    </row>
    <row s="14284" customFormat="1" customHeight="1" ht="17.25">
      <c r="A34" s="605"/>
      <c r="C34" s="604"/>
      <c r="D34" s="2419"/>
      <c r="E34" s="2427"/>
      <c r="F34" s="2430"/>
      <c r="G34" s="2427"/>
      <c r="H34" s="2433"/>
      <c r="I34" s="2435"/>
      <c r="J34" s="2437"/>
      <c r="K34" s="2422"/>
      <c r="L34" s="2422"/>
      <c r="M34" s="2422"/>
      <c r="N34" s="2424"/>
      <c r="O34" s="2422"/>
      <c r="P34" s="2422"/>
      <c r="Q34" s="2422"/>
      <c r="R34" s="2425"/>
      <c r="S34" s="2422"/>
      <c r="T34" s="1581"/>
      <c r="U34" s="1581"/>
      <c r="V34" s="1581"/>
      <c r="W34" s="1582"/>
      <c r="X34" s="1543"/>
      <c r="Y34" s="1543"/>
      <c r="Z34" s="1543"/>
      <c r="AA34" s="1543"/>
      <c r="AB34" s="1543"/>
      <c r="AC34" s="1543"/>
      <c r="AD34" s="1543"/>
      <c r="AE34" s="1543"/>
      <c r="AF34" s="1543"/>
      <c r="AG34" s="1543"/>
      <c r="AH34" s="1543"/>
      <c r="AI34" s="1543"/>
      <c r="AJ34" s="1543"/>
      <c r="AK34" s="1543"/>
      <c r="AL34" s="1543"/>
      <c r="AM34" s="1543"/>
      <c r="AN34" s="1543"/>
      <c r="AO34" s="1543"/>
      <c r="AP34" s="1543"/>
      <c r="AQ34" s="1543"/>
      <c r="AR34" s="1567">
        <v>0</v>
      </c>
    </row>
    <row s="14284" customFormat="1" customHeight="1" ht="17.25">
      <c r="A35" s="605"/>
      <c r="C35" s="604"/>
      <c r="D35" s="2420"/>
      <c r="E35" s="2428"/>
      <c r="F35" s="2430"/>
      <c r="G35" s="2428"/>
      <c r="H35" s="2433"/>
      <c r="I35" s="2435"/>
      <c r="J35" s="2438"/>
      <c r="K35" s="2422"/>
      <c r="L35" s="2422"/>
      <c r="M35" s="2422"/>
      <c r="N35" s="2425"/>
      <c r="O35" s="2422"/>
      <c r="P35" s="1702"/>
      <c r="Q35" s="1581"/>
      <c r="R35" s="1581"/>
      <c r="S35" s="613"/>
      <c r="T35" s="613"/>
      <c r="U35" s="613"/>
      <c r="V35" s="613"/>
      <c r="W35" s="1582"/>
      <c r="X35" s="1543"/>
      <c r="Y35" s="1543"/>
      <c r="Z35" s="1543"/>
      <c r="AA35" s="1543"/>
      <c r="AB35" s="1543"/>
      <c r="AC35" s="1543"/>
      <c r="AD35" s="1543"/>
      <c r="AE35" s="1543"/>
      <c r="AF35" s="1543"/>
      <c r="AG35" s="1543"/>
      <c r="AH35" s="1543"/>
      <c r="AI35" s="1543"/>
      <c r="AJ35" s="1543"/>
      <c r="AK35" s="1543"/>
      <c r="AL35" s="1543"/>
      <c r="AM35" s="1543"/>
      <c r="AN35" s="1543"/>
      <c r="AO35" s="1543"/>
      <c r="AP35" s="1543"/>
      <c r="AQ35" s="1543"/>
      <c r="AR35" s="1567">
        <v>0</v>
      </c>
    </row>
    <row s="14284" customFormat="1" customHeight="1" ht="17.25">
      <c r="A36" s="605"/>
      <c r="C36" s="604"/>
      <c r="D36" s="2420"/>
      <c r="E36" s="2428"/>
      <c r="F36" s="2430"/>
      <c r="G36" s="2428"/>
      <c r="H36" s="2433"/>
      <c r="I36" s="2435"/>
      <c r="J36" s="2438"/>
      <c r="K36" s="2422"/>
      <c r="L36" s="1581"/>
      <c r="M36" s="1581"/>
      <c r="N36" s="1581"/>
      <c r="O36" s="1581"/>
      <c r="P36" s="1581"/>
      <c r="Q36" s="1581"/>
      <c r="R36" s="1581"/>
      <c r="S36" s="613"/>
      <c r="T36" s="613"/>
      <c r="U36" s="613"/>
      <c r="V36" s="613"/>
      <c r="W36" s="1582"/>
      <c r="X36" s="1543"/>
      <c r="Y36" s="1543"/>
      <c r="Z36" s="1543"/>
      <c r="AA36" s="1543"/>
      <c r="AB36" s="1543"/>
      <c r="AC36" s="1543"/>
      <c r="AD36" s="1543"/>
      <c r="AE36" s="1543"/>
      <c r="AF36" s="1543"/>
      <c r="AG36" s="1543"/>
      <c r="AH36" s="1543"/>
      <c r="AI36" s="1543"/>
      <c r="AJ36" s="1543"/>
      <c r="AK36" s="1543"/>
      <c r="AL36" s="1543"/>
      <c r="AM36" s="1543"/>
      <c r="AN36" s="1543"/>
      <c r="AO36" s="1543"/>
      <c r="AP36" s="1543"/>
      <c r="AQ36" s="1543"/>
      <c r="AR36" s="1567">
        <v>0</v>
      </c>
    </row>
    <row s="14284" customFormat="1" customHeight="1" ht="17.25">
      <c r="A37" s="605"/>
      <c r="C37" s="604"/>
      <c r="D37" s="2420"/>
      <c r="E37" s="2428"/>
      <c r="F37" s="2431"/>
      <c r="G37" s="2428"/>
      <c r="H37" s="1583"/>
      <c r="I37" s="1584"/>
      <c r="J37" s="1584"/>
      <c r="K37" s="1584"/>
      <c r="L37" s="1584"/>
      <c r="M37" s="1584"/>
      <c r="N37" s="1584"/>
      <c r="O37" s="1584"/>
      <c r="P37" s="1584"/>
      <c r="Q37" s="1584"/>
      <c r="R37" s="1584"/>
      <c r="S37" s="1585"/>
      <c r="T37" s="1585"/>
      <c r="U37" s="1585"/>
      <c r="V37" s="1585"/>
      <c r="W37" s="1586"/>
      <c r="X37" s="1543"/>
      <c r="Y37" s="1543"/>
      <c r="Z37" s="1543"/>
      <c r="AA37" s="1543"/>
      <c r="AB37" s="1543"/>
      <c r="AC37" s="1543"/>
      <c r="AD37" s="1543"/>
      <c r="AE37" s="1543"/>
      <c r="AF37" s="1543"/>
      <c r="AG37" s="1543"/>
      <c r="AH37" s="1543"/>
      <c r="AI37" s="1543"/>
      <c r="AJ37" s="1543"/>
      <c r="AK37" s="1543"/>
      <c r="AL37" s="1543"/>
      <c r="AM37" s="1543"/>
      <c r="AN37" s="1543"/>
      <c r="AO37" s="1543"/>
      <c r="AP37" s="1543"/>
      <c r="AQ37" s="1543"/>
      <c r="AR37" s="1567">
        <v>0</v>
      </c>
    </row>
    <row s="14284" customFormat="1" customHeight="1" ht="17.25">
      <c r="A38" s="605"/>
      <c r="C38" s="493"/>
      <c r="D38" s="2419">
        <v>5</v>
      </c>
      <c r="E38" s="2427" t="s">
        <v>185</v>
      </c>
      <c r="F38" s="2429" t="s">
        <v>19</v>
      </c>
      <c r="G38" s="2427"/>
      <c r="H38" s="2432"/>
      <c r="I38" s="2434"/>
      <c r="J38" s="2436"/>
      <c r="K38" s="2421"/>
      <c r="L38" s="2421"/>
      <c r="M38" s="2421"/>
      <c r="N38" s="2423"/>
      <c r="O38" s="2421"/>
      <c r="P38" s="2421"/>
      <c r="Q38" s="2421"/>
      <c r="R38" s="2426"/>
      <c r="S38" s="2421"/>
      <c r="T38" s="1704"/>
      <c r="U38" s="1704"/>
      <c r="V38" s="1703"/>
      <c r="W38" s="1580"/>
      <c r="X38" s="1551"/>
      <c r="Y38" s="1551"/>
      <c r="Z38" s="1551"/>
      <c r="AA38" s="1551"/>
      <c r="AB38" s="1551"/>
      <c r="AC38" s="1551" t="s">
        <v>186</v>
      </c>
      <c r="AD38" s="1551" t="s">
        <v>187</v>
      </c>
      <c r="AE38" s="1551" t="s">
        <v>188</v>
      </c>
      <c r="AF38" s="1551" t="s">
        <v>189</v>
      </c>
      <c r="AG38" s="1551" t="s">
        <v>190</v>
      </c>
      <c r="AH38" s="1551" t="str">
        <f>IF($E$38=0,"",$E$38)</f>
        <v>Тарифы на услуги по передаче тепловой энергии</v>
      </c>
      <c r="AI38" s="1551" t="str">
        <f>IF($G$38=0,"",$G$38)</f>
        <v/>
      </c>
      <c r="AJ38" s="1551" t="str">
        <f>IF($J$38=0,"",$J$38)</f>
        <v/>
      </c>
      <c r="AK38" s="1551" t="str">
        <f>IF($K$38="нет","без дифференциации",IF($N$38=0,"",$N$38))</f>
        <v/>
      </c>
      <c r="AL38" s="1551" t="str">
        <f>IF($O$38="нет","без дифференциации",IF($R$38=0,"",$R$38))</f>
        <v/>
      </c>
      <c r="AM38" s="1551" t="str">
        <f>IF($S$38="нет","без дифференциации",IF($V$38=0,"",$V$38))</f>
        <v/>
      </c>
      <c r="AN38" s="2056">
        <f>$I$38</f>
        <v>0</v>
      </c>
      <c r="AO38" s="1551" t="str">
        <f>$I$38&amp;"."&amp;$M$38</f>
        <v>.</v>
      </c>
      <c r="AP38" s="1543" t="str">
        <f>$I$38&amp;"."&amp;$M$38&amp;"."&amp;$Q$38</f>
        <v>..</v>
      </c>
      <c r="AQ38" s="1543" t="str">
        <f>$I$38&amp;"."&amp;$M$38&amp;"."&amp;$Q$38&amp;"."&amp;$U$38</f>
        <v>...</v>
      </c>
      <c r="AR38" s="1567">
        <v>0</v>
      </c>
    </row>
    <row s="14284" customFormat="1" customHeight="1" ht="17.25">
      <c r="A39" s="605"/>
      <c r="C39" s="604"/>
      <c r="D39" s="2419"/>
      <c r="E39" s="2427"/>
      <c r="F39" s="2430"/>
      <c r="G39" s="2427"/>
      <c r="H39" s="2433"/>
      <c r="I39" s="2435"/>
      <c r="J39" s="2437"/>
      <c r="K39" s="2422"/>
      <c r="L39" s="2422"/>
      <c r="M39" s="2422"/>
      <c r="N39" s="2424"/>
      <c r="O39" s="2422"/>
      <c r="P39" s="2422"/>
      <c r="Q39" s="2422"/>
      <c r="R39" s="2425"/>
      <c r="S39" s="2422"/>
      <c r="T39" s="1581"/>
      <c r="U39" s="1581"/>
      <c r="V39" s="1581"/>
      <c r="W39" s="1582"/>
      <c r="X39" s="1543"/>
      <c r="Y39" s="1543"/>
      <c r="Z39" s="1543"/>
      <c r="AA39" s="1543"/>
      <c r="AB39" s="1543"/>
      <c r="AC39" s="1543"/>
      <c r="AD39" s="1543"/>
      <c r="AE39" s="1543"/>
      <c r="AF39" s="1543"/>
      <c r="AG39" s="1543"/>
      <c r="AH39" s="1543"/>
      <c r="AI39" s="1543"/>
      <c r="AJ39" s="1543"/>
      <c r="AK39" s="1543"/>
      <c r="AL39" s="1543"/>
      <c r="AM39" s="1543"/>
      <c r="AN39" s="1543"/>
      <c r="AO39" s="1543"/>
      <c r="AP39" s="1543"/>
      <c r="AQ39" s="1543"/>
      <c r="AR39" s="1567">
        <v>0</v>
      </c>
    </row>
    <row s="14284" customFormat="1" customHeight="1" ht="17.25">
      <c r="A40" s="605"/>
      <c r="C40" s="604"/>
      <c r="D40" s="2420"/>
      <c r="E40" s="2428"/>
      <c r="F40" s="2430"/>
      <c r="G40" s="2428"/>
      <c r="H40" s="2433"/>
      <c r="I40" s="2435"/>
      <c r="J40" s="2438"/>
      <c r="K40" s="2422"/>
      <c r="L40" s="2422"/>
      <c r="M40" s="2422"/>
      <c r="N40" s="2425"/>
      <c r="O40" s="2422"/>
      <c r="P40" s="1702"/>
      <c r="Q40" s="1581"/>
      <c r="R40" s="1581"/>
      <c r="S40" s="613"/>
      <c r="T40" s="613"/>
      <c r="U40" s="613"/>
      <c r="V40" s="613"/>
      <c r="W40" s="1582"/>
      <c r="X40" s="1543"/>
      <c r="Y40" s="1543"/>
      <c r="Z40" s="1543"/>
      <c r="AA40" s="1543"/>
      <c r="AB40" s="1543"/>
      <c r="AC40" s="1543"/>
      <c r="AD40" s="1543"/>
      <c r="AE40" s="1543"/>
      <c r="AF40" s="1543"/>
      <c r="AG40" s="1543"/>
      <c r="AH40" s="1543"/>
      <c r="AI40" s="1543"/>
      <c r="AJ40" s="1543"/>
      <c r="AK40" s="1543"/>
      <c r="AL40" s="1543"/>
      <c r="AM40" s="1543"/>
      <c r="AN40" s="1543"/>
      <c r="AO40" s="1543"/>
      <c r="AP40" s="1543"/>
      <c r="AQ40" s="1543"/>
      <c r="AR40" s="1567">
        <v>0</v>
      </c>
    </row>
    <row s="14284" customFormat="1" customHeight="1" ht="17.25">
      <c r="A41" s="605"/>
      <c r="C41" s="604"/>
      <c r="D41" s="2420"/>
      <c r="E41" s="2428"/>
      <c r="F41" s="2430"/>
      <c r="G41" s="2428"/>
      <c r="H41" s="2433"/>
      <c r="I41" s="2435"/>
      <c r="J41" s="2438"/>
      <c r="K41" s="2422"/>
      <c r="L41" s="1581"/>
      <c r="M41" s="1581"/>
      <c r="N41" s="1581"/>
      <c r="O41" s="1581"/>
      <c r="P41" s="1581"/>
      <c r="Q41" s="1581"/>
      <c r="R41" s="1581"/>
      <c r="S41" s="613"/>
      <c r="T41" s="613"/>
      <c r="U41" s="613"/>
      <c r="V41" s="613"/>
      <c r="W41" s="1582"/>
      <c r="X41" s="1543"/>
      <c r="Y41" s="1543"/>
      <c r="Z41" s="1543"/>
      <c r="AA41" s="1543"/>
      <c r="AB41" s="1543"/>
      <c r="AC41" s="1543"/>
      <c r="AD41" s="1543"/>
      <c r="AE41" s="1543"/>
      <c r="AF41" s="1543"/>
      <c r="AG41" s="1543"/>
      <c r="AH41" s="1543"/>
      <c r="AI41" s="1543"/>
      <c r="AJ41" s="1543"/>
      <c r="AK41" s="1543"/>
      <c r="AL41" s="1543"/>
      <c r="AM41" s="1543"/>
      <c r="AN41" s="1543"/>
      <c r="AO41" s="1543"/>
      <c r="AP41" s="1543"/>
      <c r="AQ41" s="1543"/>
      <c r="AR41" s="1567">
        <v>0</v>
      </c>
    </row>
    <row s="14284" customFormat="1" customHeight="1" ht="17.25">
      <c r="A42" s="605"/>
      <c r="C42" s="604"/>
      <c r="D42" s="2420"/>
      <c r="E42" s="2428"/>
      <c r="F42" s="2431"/>
      <c r="G42" s="2428"/>
      <c r="H42" s="1583"/>
      <c r="I42" s="1584"/>
      <c r="J42" s="1584"/>
      <c r="K42" s="1584"/>
      <c r="L42" s="1584"/>
      <c r="M42" s="1584"/>
      <c r="N42" s="1584"/>
      <c r="O42" s="1584"/>
      <c r="P42" s="1584"/>
      <c r="Q42" s="1584"/>
      <c r="R42" s="1584"/>
      <c r="S42" s="1585"/>
      <c r="T42" s="1585"/>
      <c r="U42" s="1585"/>
      <c r="V42" s="1585"/>
      <c r="W42" s="1586"/>
      <c r="X42" s="1543"/>
      <c r="Y42" s="1543"/>
      <c r="Z42" s="1543"/>
      <c r="AA42" s="1543"/>
      <c r="AB42" s="1543"/>
      <c r="AC42" s="1543"/>
      <c r="AD42" s="1543"/>
      <c r="AE42" s="1543"/>
      <c r="AF42" s="1543"/>
      <c r="AG42" s="1543"/>
      <c r="AH42" s="1543"/>
      <c r="AI42" s="1543"/>
      <c r="AJ42" s="1543"/>
      <c r="AK42" s="1543"/>
      <c r="AL42" s="1543"/>
      <c r="AM42" s="1543"/>
      <c r="AN42" s="1543"/>
      <c r="AO42" s="1543"/>
      <c r="AP42" s="1543"/>
      <c r="AQ42" s="1543"/>
      <c r="AR42" s="1567">
        <v>0</v>
      </c>
    </row>
    <row s="14284" customFormat="1" customHeight="1" ht="17.25">
      <c r="A43" s="605"/>
      <c r="C43" s="493"/>
      <c r="D43" s="2419">
        <v>6</v>
      </c>
      <c r="E43" s="2427" t="s">
        <v>191</v>
      </c>
      <c r="F43" s="2429" t="s">
        <v>19</v>
      </c>
      <c r="G43" s="2427"/>
      <c r="H43" s="2432"/>
      <c r="I43" s="2434"/>
      <c r="J43" s="2436"/>
      <c r="K43" s="2421"/>
      <c r="L43" s="2421"/>
      <c r="M43" s="2421"/>
      <c r="N43" s="2423"/>
      <c r="O43" s="2421"/>
      <c r="P43" s="2421"/>
      <c r="Q43" s="2421"/>
      <c r="R43" s="2426"/>
      <c r="S43" s="2421"/>
      <c r="T43" s="1704"/>
      <c r="U43" s="1704"/>
      <c r="V43" s="1703"/>
      <c r="W43" s="1580"/>
      <c r="X43" s="1551"/>
      <c r="Y43" s="1551"/>
      <c r="Z43" s="1551"/>
      <c r="AA43" s="1551"/>
      <c r="AB43" s="1551"/>
      <c r="AC43" s="1551" t="s">
        <v>192</v>
      </c>
      <c r="AD43" s="1551" t="s">
        <v>193</v>
      </c>
      <c r="AE43" s="1551" t="s">
        <v>194</v>
      </c>
      <c r="AF43" s="1551" t="s">
        <v>195</v>
      </c>
      <c r="AG43" s="1551" t="s">
        <v>196</v>
      </c>
      <c r="AH43" s="1551" t="str">
        <f>IF($E$43=0,"",$E$43)</f>
        <v>Тарифы на услуги по передаче теплоносителя</v>
      </c>
      <c r="AI43" s="1551" t="str">
        <f>IF($G$43=0,"",$G$43)</f>
        <v/>
      </c>
      <c r="AJ43" s="1551" t="str">
        <f>IF($J$43=0,"",$J$43)</f>
        <v/>
      </c>
      <c r="AK43" s="1551" t="str">
        <f>IF($K$43="нет","без дифференциации",IF($N$43=0,"",$N$43))</f>
        <v/>
      </c>
      <c r="AL43" s="1551" t="str">
        <f>IF($O$43="нет","без дифференциации",IF($R$43=0,"",$R$43))</f>
        <v/>
      </c>
      <c r="AM43" s="1551" t="str">
        <f>IF($S$43="нет","без дифференциации",IF($V$43=0,"",$V$43))</f>
        <v/>
      </c>
      <c r="AN43" s="2056">
        <f>$I$43</f>
        <v>0</v>
      </c>
      <c r="AO43" s="1551" t="str">
        <f>$I$43&amp;"."&amp;$M$43</f>
        <v>.</v>
      </c>
      <c r="AP43" s="1543" t="str">
        <f>$I$43&amp;"."&amp;$M$43&amp;"."&amp;$Q$43</f>
        <v>..</v>
      </c>
      <c r="AQ43" s="1543" t="str">
        <f>$I$43&amp;"."&amp;$M$43&amp;"."&amp;$Q$43&amp;"."&amp;$U$43</f>
        <v>...</v>
      </c>
      <c r="AR43" s="1567">
        <v>0</v>
      </c>
    </row>
    <row s="14284" customFormat="1" customHeight="1" ht="17.25">
      <c r="A44" s="605"/>
      <c r="C44" s="604"/>
      <c r="D44" s="2419"/>
      <c r="E44" s="2427"/>
      <c r="F44" s="2430"/>
      <c r="G44" s="2427"/>
      <c r="H44" s="2433"/>
      <c r="I44" s="2435"/>
      <c r="J44" s="2437"/>
      <c r="K44" s="2422"/>
      <c r="L44" s="2422"/>
      <c r="M44" s="2422"/>
      <c r="N44" s="2424"/>
      <c r="O44" s="2422"/>
      <c r="P44" s="2422"/>
      <c r="Q44" s="2422"/>
      <c r="R44" s="2425"/>
      <c r="S44" s="2422"/>
      <c r="T44" s="1581"/>
      <c r="U44" s="1581"/>
      <c r="V44" s="1581"/>
      <c r="W44" s="1582"/>
      <c r="X44" s="1543"/>
      <c r="Y44" s="1543"/>
      <c r="Z44" s="1543"/>
      <c r="AA44" s="1543"/>
      <c r="AB44" s="1543"/>
      <c r="AC44" s="1543"/>
      <c r="AD44" s="1543"/>
      <c r="AE44" s="1543"/>
      <c r="AF44" s="1543"/>
      <c r="AG44" s="1543"/>
      <c r="AH44" s="1543"/>
      <c r="AI44" s="1543"/>
      <c r="AJ44" s="1543"/>
      <c r="AK44" s="1543"/>
      <c r="AL44" s="1543"/>
      <c r="AM44" s="1543"/>
      <c r="AN44" s="1543"/>
      <c r="AO44" s="1543"/>
      <c r="AP44" s="1543"/>
      <c r="AQ44" s="1543"/>
      <c r="AR44" s="1567">
        <v>0</v>
      </c>
    </row>
    <row s="14284" customFormat="1" customHeight="1" ht="17.25">
      <c r="A45" s="605"/>
      <c r="C45" s="604"/>
      <c r="D45" s="2420"/>
      <c r="E45" s="2428"/>
      <c r="F45" s="2430"/>
      <c r="G45" s="2428"/>
      <c r="H45" s="2433"/>
      <c r="I45" s="2435"/>
      <c r="J45" s="2438"/>
      <c r="K45" s="2422"/>
      <c r="L45" s="2422"/>
      <c r="M45" s="2422"/>
      <c r="N45" s="2425"/>
      <c r="O45" s="2422"/>
      <c r="P45" s="1702"/>
      <c r="Q45" s="1581"/>
      <c r="R45" s="1581"/>
      <c r="S45" s="613"/>
      <c r="T45" s="613"/>
      <c r="U45" s="613"/>
      <c r="V45" s="613"/>
      <c r="W45" s="1582"/>
      <c r="X45" s="1543"/>
      <c r="Y45" s="1543"/>
      <c r="Z45" s="1543"/>
      <c r="AA45" s="1543"/>
      <c r="AB45" s="1543"/>
      <c r="AC45" s="1543"/>
      <c r="AD45" s="1543"/>
      <c r="AE45" s="1543"/>
      <c r="AF45" s="1543"/>
      <c r="AG45" s="1543"/>
      <c r="AH45" s="1543"/>
      <c r="AI45" s="1543"/>
      <c r="AJ45" s="1543"/>
      <c r="AK45" s="1543"/>
      <c r="AL45" s="1543"/>
      <c r="AM45" s="1543"/>
      <c r="AN45" s="1543"/>
      <c r="AO45" s="1543"/>
      <c r="AP45" s="1543"/>
      <c r="AQ45" s="1543"/>
      <c r="AR45" s="1567">
        <v>0</v>
      </c>
    </row>
    <row s="14284" customFormat="1" customHeight="1" ht="17.25">
      <c r="A46" s="605"/>
      <c r="C46" s="493"/>
      <c r="D46" s="2420"/>
      <c r="E46" s="2428"/>
      <c r="F46" s="2430"/>
      <c r="G46" s="2428"/>
      <c r="H46" s="2433"/>
      <c r="I46" s="2435"/>
      <c r="J46" s="2438"/>
      <c r="K46" s="2422"/>
      <c r="L46" s="1581"/>
      <c r="M46" s="1581"/>
      <c r="N46" s="1581"/>
      <c r="O46" s="1581"/>
      <c r="P46" s="1581"/>
      <c r="Q46" s="1581"/>
      <c r="R46" s="1581"/>
      <c r="S46" s="613"/>
      <c r="T46" s="613"/>
      <c r="U46" s="613"/>
      <c r="V46" s="613"/>
      <c r="W46" s="1582"/>
      <c r="Y46" s="1551"/>
      <c r="Z46" s="1551"/>
      <c r="AA46" s="1551"/>
      <c r="AB46" s="1551"/>
      <c r="AC46" s="1551"/>
      <c r="AD46" s="1551"/>
      <c r="AE46" s="1551"/>
      <c r="AF46" s="1551"/>
      <c r="AG46" s="1551"/>
      <c r="AH46" s="1551"/>
      <c r="AI46" s="1551"/>
      <c r="AJ46" s="1551"/>
      <c r="AK46" s="1551"/>
      <c r="AL46" s="1551"/>
      <c r="AM46" s="1551"/>
      <c r="AN46" s="1551"/>
      <c r="AO46" s="1551"/>
      <c r="AP46" s="1551"/>
      <c r="AQ46" s="1551"/>
      <c r="AR46" s="1610">
        <v>0</v>
      </c>
    </row>
    <row s="14284" customFormat="1" customHeight="1" ht="17.25">
      <c r="A47" s="605"/>
      <c r="C47" s="604"/>
      <c r="D47" s="2420"/>
      <c r="E47" s="2428"/>
      <c r="F47" s="2431"/>
      <c r="G47" s="2428"/>
      <c r="H47" s="1583"/>
      <c r="I47" s="1584"/>
      <c r="J47" s="1584"/>
      <c r="K47" s="1584"/>
      <c r="L47" s="1584"/>
      <c r="M47" s="1584"/>
      <c r="N47" s="1584"/>
      <c r="O47" s="1584"/>
      <c r="P47" s="1584"/>
      <c r="Q47" s="1584"/>
      <c r="R47" s="1584"/>
      <c r="S47" s="1585"/>
      <c r="T47" s="1585"/>
      <c r="U47" s="1585"/>
      <c r="V47" s="1585"/>
      <c r="W47" s="1586"/>
      <c r="X47" s="1543"/>
      <c r="Y47" s="1543"/>
      <c r="Z47" s="1543"/>
      <c r="AA47" s="1543"/>
      <c r="AB47" s="1543"/>
      <c r="AC47" s="1543"/>
      <c r="AD47" s="1543"/>
      <c r="AE47" s="1543"/>
      <c r="AF47" s="1543"/>
      <c r="AG47" s="1543"/>
      <c r="AH47" s="1543"/>
      <c r="AI47" s="1543"/>
      <c r="AJ47" s="1543"/>
      <c r="AK47" s="1543"/>
      <c r="AL47" s="1543"/>
      <c r="AM47" s="1543"/>
      <c r="AN47" s="1543"/>
      <c r="AO47" s="1543"/>
      <c r="AP47" s="1543"/>
      <c r="AQ47" s="1543"/>
      <c r="AR47" s="1567">
        <v>0</v>
      </c>
    </row>
    <row s="14284" customFormat="1" customHeight="1" ht="17.25">
      <c r="A48" s="605"/>
      <c r="C48" s="493"/>
      <c r="D48" s="2450">
        <v>7</v>
      </c>
      <c r="E48" s="2453" t="s">
        <v>197</v>
      </c>
      <c r="F48" s="2429" t="s">
        <v>19</v>
      </c>
      <c r="G48" s="2453"/>
      <c r="H48" s="2432"/>
      <c r="I48" s="2434"/>
      <c r="J48" s="2436"/>
      <c r="K48" s="2421"/>
      <c r="L48" s="2421"/>
      <c r="M48" s="2421"/>
      <c r="N48" s="2423"/>
      <c r="O48" s="2421"/>
      <c r="P48" s="2421"/>
      <c r="Q48" s="2421"/>
      <c r="R48" s="2426"/>
      <c r="S48" s="2421"/>
      <c r="T48" s="1704"/>
      <c r="U48" s="1704"/>
      <c r="V48" s="1703"/>
      <c r="W48" s="1580"/>
      <c r="X48" s="1551"/>
      <c r="Y48" s="1551"/>
      <c r="Z48" s="1551"/>
      <c r="AA48" s="1551"/>
      <c r="AB48" s="1551"/>
      <c r="AC48" s="1551" t="s">
        <v>198</v>
      </c>
      <c r="AD48" s="1551" t="s">
        <v>199</v>
      </c>
      <c r="AE48" s="1551" t="s">
        <v>200</v>
      </c>
      <c r="AF48" s="1551" t="s">
        <v>201</v>
      </c>
      <c r="AG48" s="1551" t="s">
        <v>202</v>
      </c>
      <c r="AH48" s="1551" t="str">
        <f>IF($E$48=0,"",$E$48)</f>
        <v>Плата за услуги по поддержанию резервной тепловой мощности при отсутствии потребления тепловой энергии</v>
      </c>
      <c r="AI48" s="1551" t="str">
        <f>IF($G$48=0,"",$G$48)</f>
        <v/>
      </c>
      <c r="AJ48" s="1551" t="str">
        <f>IF($J$48=0,"",$J$48)</f>
        <v/>
      </c>
      <c r="AK48" s="1551" t="str">
        <f>IF($K$48="нет","без дифференциации",IF($N$48=0,"",$N$48))</f>
        <v/>
      </c>
      <c r="AL48" s="1551" t="str">
        <f>IF($O$48="нет","без дифференциации",IF($R$48=0,"",$R$48))</f>
        <v/>
      </c>
      <c r="AM48" s="1551" t="str">
        <f>IF($S$48="нет","без дифференциации",IF($V$48=0,"",$V$48))</f>
        <v/>
      </c>
      <c r="AN48" s="2056">
        <f>$I$48</f>
        <v>0</v>
      </c>
      <c r="AO48" s="1551" t="str">
        <f>$I$48&amp;"."&amp;$M$48</f>
        <v>.</v>
      </c>
      <c r="AP48" s="1543" t="str">
        <f>$I$48&amp;"."&amp;$M$48&amp;"."&amp;$Q$48</f>
        <v>..</v>
      </c>
      <c r="AQ48" s="1543" t="str">
        <f>$I$48&amp;"."&amp;$M$48&amp;"."&amp;$Q$48&amp;"."&amp;$U$48</f>
        <v>...</v>
      </c>
      <c r="AR48" s="1592">
        <v>0</v>
      </c>
    </row>
    <row s="14284" customFormat="1" customHeight="1" ht="17.25">
      <c r="A49" s="605"/>
      <c r="C49" s="604"/>
      <c r="D49" s="2451"/>
      <c r="E49" s="2454"/>
      <c r="F49" s="2430"/>
      <c r="G49" s="2454"/>
      <c r="H49" s="2433"/>
      <c r="I49" s="2435"/>
      <c r="J49" s="2437"/>
      <c r="K49" s="2422"/>
      <c r="L49" s="2422"/>
      <c r="M49" s="2422"/>
      <c r="N49" s="2424"/>
      <c r="O49" s="2422"/>
      <c r="P49" s="2422"/>
      <c r="Q49" s="2422"/>
      <c r="R49" s="2425"/>
      <c r="S49" s="2422"/>
      <c r="T49" s="1581"/>
      <c r="U49" s="1581"/>
      <c r="V49" s="1581"/>
      <c r="W49" s="1582"/>
      <c r="X49" s="1543"/>
      <c r="Y49" s="1543"/>
      <c r="Z49" s="1543"/>
      <c r="AA49" s="1543"/>
      <c r="AB49" s="1543"/>
      <c r="AC49" s="1543"/>
      <c r="AD49" s="1543"/>
      <c r="AE49" s="1543"/>
      <c r="AF49" s="1543"/>
      <c r="AG49" s="1543"/>
      <c r="AH49" s="1543"/>
      <c r="AI49" s="1543"/>
      <c r="AJ49" s="1543"/>
      <c r="AK49" s="1543"/>
      <c r="AL49" s="1543"/>
      <c r="AM49" s="1543"/>
      <c r="AN49" s="1543"/>
      <c r="AO49" s="1543"/>
      <c r="AP49" s="1543"/>
      <c r="AQ49" s="1543"/>
      <c r="AR49" s="1592">
        <v>0</v>
      </c>
    </row>
    <row s="14284" customFormat="1" customHeight="1" ht="17.25">
      <c r="A50" s="605"/>
      <c r="C50" s="604"/>
      <c r="D50" s="2451"/>
      <c r="E50" s="2454"/>
      <c r="F50" s="2430"/>
      <c r="G50" s="2454"/>
      <c r="H50" s="2433"/>
      <c r="I50" s="2435"/>
      <c r="J50" s="2438"/>
      <c r="K50" s="2422"/>
      <c r="L50" s="2422"/>
      <c r="M50" s="2422"/>
      <c r="N50" s="2425"/>
      <c r="O50" s="2422"/>
      <c r="P50" s="1702"/>
      <c r="Q50" s="1581"/>
      <c r="R50" s="1581"/>
      <c r="S50" s="613"/>
      <c r="T50" s="613"/>
      <c r="U50" s="613"/>
      <c r="V50" s="613"/>
      <c r="W50" s="1582"/>
      <c r="X50" s="1543"/>
      <c r="Y50" s="1543"/>
      <c r="Z50" s="1543"/>
      <c r="AA50" s="1543"/>
      <c r="AB50" s="1543"/>
      <c r="AC50" s="1543"/>
      <c r="AD50" s="1543"/>
      <c r="AE50" s="1543"/>
      <c r="AF50" s="1543"/>
      <c r="AG50" s="1543"/>
      <c r="AH50" s="1543"/>
      <c r="AI50" s="1543"/>
      <c r="AJ50" s="1543"/>
      <c r="AK50" s="1543"/>
      <c r="AL50" s="1543"/>
      <c r="AM50" s="1543"/>
      <c r="AN50" s="1543"/>
      <c r="AO50" s="1543"/>
      <c r="AP50" s="1543"/>
      <c r="AQ50" s="1543"/>
      <c r="AR50" s="1592">
        <v>0</v>
      </c>
    </row>
    <row s="14284" customFormat="1" customHeight="1" ht="17.25">
      <c r="A51" s="605"/>
      <c r="C51" s="493"/>
      <c r="D51" s="2451"/>
      <c r="E51" s="2454"/>
      <c r="F51" s="2430"/>
      <c r="G51" s="2454"/>
      <c r="H51" s="2433"/>
      <c r="I51" s="2435"/>
      <c r="J51" s="2438"/>
      <c r="K51" s="2422"/>
      <c r="L51" s="1581"/>
      <c r="M51" s="1581"/>
      <c r="N51" s="1581"/>
      <c r="O51" s="1581"/>
      <c r="P51" s="1581"/>
      <c r="Q51" s="1581"/>
      <c r="R51" s="1581"/>
      <c r="S51" s="613"/>
      <c r="T51" s="613"/>
      <c r="U51" s="613"/>
      <c r="V51" s="613"/>
      <c r="W51" s="1582"/>
      <c r="Y51" s="1551"/>
      <c r="Z51" s="1551"/>
      <c r="AA51" s="1551"/>
      <c r="AB51" s="1551"/>
      <c r="AC51" s="1551"/>
      <c r="AD51" s="1551"/>
      <c r="AE51" s="1551"/>
      <c r="AF51" s="1551"/>
      <c r="AG51" s="1551"/>
      <c r="AH51" s="1551"/>
      <c r="AI51" s="1551"/>
      <c r="AJ51" s="1551"/>
      <c r="AK51" s="1551"/>
      <c r="AL51" s="1551"/>
      <c r="AM51" s="1551"/>
      <c r="AN51" s="1551"/>
      <c r="AO51" s="1551"/>
      <c r="AP51" s="1551"/>
      <c r="AQ51" s="1551"/>
      <c r="AR51" s="1610">
        <v>0</v>
      </c>
    </row>
    <row s="14284" customFormat="1" customHeight="1" ht="17.25">
      <c r="A52" s="605"/>
      <c r="C52" s="604"/>
      <c r="D52" s="2452"/>
      <c r="E52" s="2455"/>
      <c r="F52" s="2431"/>
      <c r="G52" s="2455"/>
      <c r="H52" s="1583"/>
      <c r="I52" s="1584"/>
      <c r="J52" s="1584"/>
      <c r="K52" s="1584"/>
      <c r="L52" s="1584"/>
      <c r="M52" s="1584"/>
      <c r="N52" s="1584"/>
      <c r="O52" s="1584"/>
      <c r="P52" s="1584"/>
      <c r="Q52" s="1584"/>
      <c r="R52" s="1584"/>
      <c r="S52" s="1585"/>
      <c r="T52" s="1585"/>
      <c r="U52" s="1585"/>
      <c r="V52" s="1585"/>
      <c r="W52" s="1586"/>
      <c r="X52" s="1543"/>
      <c r="Y52" s="1543"/>
      <c r="Z52" s="1543"/>
      <c r="AA52" s="1543"/>
      <c r="AB52" s="1543"/>
      <c r="AC52" s="1543"/>
      <c r="AD52" s="1543"/>
      <c r="AE52" s="1543"/>
      <c r="AF52" s="1543"/>
      <c r="AG52" s="1543"/>
      <c r="AH52" s="1543"/>
      <c r="AI52" s="1543"/>
      <c r="AJ52" s="1543"/>
      <c r="AK52" s="1543"/>
      <c r="AL52" s="1543"/>
      <c r="AM52" s="1543"/>
      <c r="AN52" s="1543"/>
      <c r="AO52" s="1543"/>
      <c r="AP52" s="1543"/>
      <c r="AQ52" s="1543"/>
      <c r="AR52" s="1592">
        <v>0</v>
      </c>
    </row>
    <row s="14284" customFormat="1" customHeight="1" ht="17.25">
      <c r="A53" s="605"/>
      <c r="C53" s="493"/>
      <c r="D53" s="2419">
        <v>8</v>
      </c>
      <c r="E53" s="2427" t="s">
        <v>203</v>
      </c>
      <c r="F53" s="2429" t="s">
        <v>19</v>
      </c>
      <c r="G53" s="2427"/>
      <c r="H53" s="2432"/>
      <c r="I53" s="2434"/>
      <c r="J53" s="2436"/>
      <c r="K53" s="2421"/>
      <c r="L53" s="2421"/>
      <c r="M53" s="2421"/>
      <c r="N53" s="2423"/>
      <c r="O53" s="2421"/>
      <c r="P53" s="2421"/>
      <c r="Q53" s="2421"/>
      <c r="R53" s="2426"/>
      <c r="S53" s="2421"/>
      <c r="T53" s="1754"/>
      <c r="U53" s="1754"/>
      <c r="V53" s="1756"/>
      <c r="W53" s="1580"/>
      <c r="X53" s="1551"/>
      <c r="Y53" s="1551"/>
      <c r="Z53" s="1551"/>
      <c r="AA53" s="1551"/>
      <c r="AB53" s="1551"/>
      <c r="AC53" s="1551" t="s">
        <v>204</v>
      </c>
      <c r="AD53" s="1551" t="s">
        <v>205</v>
      </c>
      <c r="AE53" s="1551" t="s">
        <v>206</v>
      </c>
      <c r="AF53" s="1551" t="s">
        <v>207</v>
      </c>
      <c r="AG53" s="1551" t="s">
        <v>208</v>
      </c>
      <c r="AH53" s="1551" t="str">
        <f>IF($E$53=0,"",$E$53)</f>
        <v>Плата за подключение (технологическое присоединение) к системе теплоснабжения</v>
      </c>
      <c r="AI53" s="1551" t="str">
        <f>IF($G$53=0,"",$G$53)</f>
        <v/>
      </c>
      <c r="AJ53" s="1551" t="str">
        <f>IF($J$53=0,"",$J$53)</f>
        <v/>
      </c>
      <c r="AK53" s="1551" t="str">
        <f>IF($K$53="нет","без дифференциации",IF($N$53=0,"",$N$53))</f>
        <v/>
      </c>
      <c r="AL53" s="1551" t="str">
        <f>IF($O$53="нет","без дифференциации",IF($R$53=0,"",$R$53))</f>
        <v/>
      </c>
      <c r="AM53" s="1551" t="str">
        <f>IF($S$53="нет","без дифференциации",IF($V$53=0,"",$V$53))</f>
        <v/>
      </c>
      <c r="AN53" s="2056">
        <f>$I$53</f>
        <v>0</v>
      </c>
      <c r="AO53" s="1551" t="str">
        <f>$I$53&amp;"."&amp;$M$53</f>
        <v>.</v>
      </c>
      <c r="AP53" s="1543" t="str">
        <f>$I$53&amp;"."&amp;$M$53&amp;"."&amp;$Q$53</f>
        <v>..</v>
      </c>
      <c r="AQ53" s="1543" t="str">
        <f>$I$53&amp;"."&amp;$M$53&amp;"."&amp;$Q$53&amp;"."&amp;$U$53</f>
        <v>...</v>
      </c>
      <c r="AR53" s="1592">
        <v>0</v>
      </c>
    </row>
    <row s="14284" customFormat="1" customHeight="1" ht="17.25">
      <c r="A54" s="605"/>
      <c r="C54" s="604"/>
      <c r="D54" s="2419"/>
      <c r="E54" s="2427"/>
      <c r="F54" s="2430"/>
      <c r="G54" s="2427"/>
      <c r="H54" s="2433"/>
      <c r="I54" s="2435"/>
      <c r="J54" s="2437"/>
      <c r="K54" s="2422"/>
      <c r="L54" s="2422"/>
      <c r="M54" s="2422"/>
      <c r="N54" s="2424"/>
      <c r="O54" s="2422"/>
      <c r="P54" s="2422"/>
      <c r="Q54" s="2422"/>
      <c r="R54" s="2425"/>
      <c r="S54" s="2422"/>
      <c r="T54" s="1581"/>
      <c r="U54" s="1581"/>
      <c r="V54" s="1581"/>
      <c r="W54" s="1582"/>
      <c r="X54" s="1543"/>
      <c r="Y54" s="1543"/>
      <c r="Z54" s="1543"/>
      <c r="AA54" s="1543"/>
      <c r="AB54" s="1543"/>
      <c r="AC54" s="1543"/>
      <c r="AD54" s="1543"/>
      <c r="AE54" s="1543"/>
      <c r="AF54" s="1543"/>
      <c r="AG54" s="1543"/>
      <c r="AH54" s="1543"/>
      <c r="AI54" s="1543"/>
      <c r="AJ54" s="1543"/>
      <c r="AK54" s="1543"/>
      <c r="AL54" s="1543"/>
      <c r="AM54" s="1543"/>
      <c r="AN54" s="1543"/>
      <c r="AO54" s="1543"/>
      <c r="AP54" s="1543"/>
      <c r="AQ54" s="1543"/>
      <c r="AR54" s="1592">
        <v>0</v>
      </c>
    </row>
    <row s="14284" customFormat="1" customHeight="1" ht="17.25">
      <c r="A55" s="605"/>
      <c r="C55" s="604"/>
      <c r="D55" s="2420"/>
      <c r="E55" s="2428"/>
      <c r="F55" s="2430"/>
      <c r="G55" s="2428"/>
      <c r="H55" s="2433"/>
      <c r="I55" s="2435"/>
      <c r="J55" s="2438"/>
      <c r="K55" s="2422"/>
      <c r="L55" s="2422"/>
      <c r="M55" s="2422"/>
      <c r="N55" s="2425"/>
      <c r="O55" s="2422"/>
      <c r="P55" s="1755"/>
      <c r="Q55" s="1581"/>
      <c r="R55" s="1581"/>
      <c r="S55" s="613"/>
      <c r="T55" s="613"/>
      <c r="U55" s="613"/>
      <c r="V55" s="613"/>
      <c r="W55" s="1582"/>
      <c r="X55" s="1543"/>
      <c r="Y55" s="1543"/>
      <c r="Z55" s="1543"/>
      <c r="AA55" s="1543"/>
      <c r="AB55" s="1543"/>
      <c r="AC55" s="1543"/>
      <c r="AD55" s="1543"/>
      <c r="AE55" s="1543"/>
      <c r="AF55" s="1543"/>
      <c r="AG55" s="1543"/>
      <c r="AH55" s="1543"/>
      <c r="AI55" s="1543"/>
      <c r="AJ55" s="1543"/>
      <c r="AK55" s="1543"/>
      <c r="AL55" s="1543"/>
      <c r="AM55" s="1543"/>
      <c r="AN55" s="1543"/>
      <c r="AO55" s="1543"/>
      <c r="AP55" s="1543"/>
      <c r="AQ55" s="1543"/>
      <c r="AR55" s="1592">
        <v>0</v>
      </c>
    </row>
    <row s="14284" customFormat="1" customHeight="1" ht="17.25">
      <c r="A56" s="605"/>
      <c r="C56" s="493"/>
      <c r="D56" s="2420"/>
      <c r="E56" s="2428"/>
      <c r="F56" s="2430"/>
      <c r="G56" s="2428"/>
      <c r="H56" s="2433"/>
      <c r="I56" s="2435"/>
      <c r="J56" s="2438"/>
      <c r="K56" s="2422"/>
      <c r="L56" s="1581"/>
      <c r="M56" s="1581"/>
      <c r="N56" s="1581"/>
      <c r="O56" s="1581"/>
      <c r="P56" s="1581"/>
      <c r="Q56" s="1581"/>
      <c r="R56" s="1581"/>
      <c r="S56" s="613"/>
      <c r="T56" s="613"/>
      <c r="U56" s="613"/>
      <c r="V56" s="613"/>
      <c r="W56" s="1582"/>
      <c r="Y56" s="1551"/>
      <c r="Z56" s="1551"/>
      <c r="AA56" s="1551"/>
      <c r="AB56" s="1551"/>
      <c r="AC56" s="1551"/>
      <c r="AD56" s="1551"/>
      <c r="AE56" s="1551"/>
      <c r="AF56" s="1551"/>
      <c r="AG56" s="1551"/>
      <c r="AH56" s="1551"/>
      <c r="AI56" s="1551"/>
      <c r="AJ56" s="1551"/>
      <c r="AK56" s="1551"/>
      <c r="AL56" s="1551"/>
      <c r="AM56" s="1551"/>
      <c r="AN56" s="1551"/>
      <c r="AO56" s="1551"/>
      <c r="AP56" s="1551"/>
      <c r="AQ56" s="1551"/>
      <c r="AR56" s="1610">
        <v>0</v>
      </c>
    </row>
    <row s="14284" customFormat="1" customHeight="1" ht="17.25">
      <c r="A57" s="605"/>
      <c r="C57" s="604"/>
      <c r="D57" s="2420"/>
      <c r="E57" s="2428"/>
      <c r="F57" s="2431"/>
      <c r="G57" s="2428"/>
      <c r="H57" s="1583"/>
      <c r="I57" s="1584"/>
      <c r="J57" s="1584"/>
      <c r="K57" s="1584"/>
      <c r="L57" s="1584"/>
      <c r="M57" s="1584"/>
      <c r="N57" s="1584"/>
      <c r="O57" s="1584"/>
      <c r="P57" s="1584"/>
      <c r="Q57" s="1584"/>
      <c r="R57" s="1584"/>
      <c r="S57" s="1585"/>
      <c r="T57" s="1585"/>
      <c r="U57" s="1585"/>
      <c r="V57" s="1585"/>
      <c r="W57" s="1586"/>
      <c r="X57" s="1543"/>
      <c r="Y57" s="1543"/>
      <c r="Z57" s="1543"/>
      <c r="AA57" s="1543"/>
      <c r="AB57" s="1543"/>
      <c r="AC57" s="1543"/>
      <c r="AD57" s="1543"/>
      <c r="AE57" s="1543"/>
      <c r="AF57" s="1543"/>
      <c r="AG57" s="1543"/>
      <c r="AH57" s="1543"/>
      <c r="AI57" s="1543"/>
      <c r="AJ57" s="1543"/>
      <c r="AK57" s="1543"/>
      <c r="AL57" s="1543"/>
      <c r="AM57" s="1543"/>
      <c r="AN57" s="1543"/>
      <c r="AO57" s="1543"/>
      <c r="AP57" s="1543"/>
      <c r="AQ57" s="1543"/>
      <c r="AR57" s="1592">
        <v>0</v>
      </c>
    </row>
    <row s="14284" customFormat="1" customHeight="1" ht="17.25">
      <c r="A58" s="605"/>
      <c r="C58" s="493"/>
      <c r="D58" s="2419">
        <v>9</v>
      </c>
      <c r="E58" s="2427" t="s">
        <v>209</v>
      </c>
      <c r="F58" s="2429" t="s">
        <v>19</v>
      </c>
      <c r="G58" s="2427"/>
      <c r="H58" s="2432"/>
      <c r="I58" s="2434"/>
      <c r="J58" s="2436"/>
      <c r="K58" s="2421"/>
      <c r="L58" s="2421"/>
      <c r="M58" s="2421"/>
      <c r="N58" s="2423"/>
      <c r="O58" s="2421"/>
      <c r="P58" s="2421"/>
      <c r="Q58" s="2421"/>
      <c r="R58" s="2426"/>
      <c r="S58" s="2421"/>
      <c r="T58" s="2215"/>
      <c r="U58" s="2215"/>
      <c r="V58" s="2217"/>
      <c r="W58" s="1580"/>
      <c r="X58" s="1551"/>
      <c r="Y58" s="1551"/>
      <c r="Z58" s="1551"/>
      <c r="AA58" s="1551"/>
      <c r="AB58" s="1551"/>
      <c r="AC58" s="1551" t="s">
        <v>210</v>
      </c>
      <c r="AD58" s="1551" t="s">
        <v>211</v>
      </c>
      <c r="AE58" s="1551" t="s">
        <v>212</v>
      </c>
      <c r="AF58" s="1551" t="s">
        <v>213</v>
      </c>
      <c r="AG58" s="1551" t="s">
        <v>214</v>
      </c>
      <c r="AH58" s="1551" t="str">
        <f>IF($E$58=0,"",$E$58)</f>
        <v>Плата за подключение (технологическое присоединение) к системе теплоснабжения (индивидуальная)</v>
      </c>
      <c r="AI58" s="1551" t="str">
        <f>IF($G$58=0,"",$G$58)</f>
        <v/>
      </c>
      <c r="AJ58" s="1551" t="str">
        <f>IF($J$58=0,"",$J$58)</f>
        <v/>
      </c>
      <c r="AK58" s="1551" t="str">
        <f>IF($K$58="нет","без дифференциации",IF($N$58=0,"",$N$58))</f>
        <v/>
      </c>
      <c r="AL58" s="1551" t="str">
        <f>IF($O$58="нет","без дифференциации",IF($R$58=0,"",$R$58))</f>
        <v/>
      </c>
      <c r="AM58" s="1551" t="str">
        <f>IF($S$58="нет","без дифференциации",IF($V$58=0,"",$V$58))</f>
        <v/>
      </c>
      <c r="AN58" s="2056">
        <f>$I$58</f>
        <v>0</v>
      </c>
      <c r="AO58" s="1551" t="str">
        <f>$I$58&amp;"."&amp;$M$58</f>
        <v>.</v>
      </c>
      <c r="AP58" s="1550" t="str">
        <f>$I$58&amp;"."&amp;$M$58&amp;"."&amp;$Q$58</f>
        <v>..</v>
      </c>
      <c r="AQ58" s="1550" t="str">
        <f>$I$58&amp;"."&amp;$M$58&amp;"."&amp;$Q$58&amp;"."&amp;$U$58</f>
        <v>...</v>
      </c>
      <c r="AR58" s="1751">
        <v>0</v>
      </c>
    </row>
    <row s="14284" customFormat="1" customHeight="1" ht="17.25">
      <c r="A59" s="605"/>
      <c r="C59" s="604"/>
      <c r="D59" s="2419"/>
      <c r="E59" s="2427"/>
      <c r="F59" s="2430"/>
      <c r="G59" s="2427"/>
      <c r="H59" s="2433"/>
      <c r="I59" s="2435"/>
      <c r="J59" s="2437"/>
      <c r="K59" s="2422"/>
      <c r="L59" s="2422"/>
      <c r="M59" s="2422"/>
      <c r="N59" s="2424"/>
      <c r="O59" s="2422"/>
      <c r="P59" s="2422"/>
      <c r="Q59" s="2422"/>
      <c r="R59" s="2425"/>
      <c r="S59" s="2422"/>
      <c r="T59" s="2218"/>
      <c r="U59" s="2218"/>
      <c r="V59" s="2218"/>
      <c r="W59" s="2219"/>
      <c r="X59" s="1550"/>
      <c r="Y59" s="1550"/>
      <c r="Z59" s="1550"/>
      <c r="AA59" s="1550"/>
      <c r="AB59" s="1550"/>
      <c r="AC59" s="1550"/>
      <c r="AD59" s="1550"/>
      <c r="AE59" s="1550"/>
      <c r="AF59" s="1550"/>
      <c r="AG59" s="1550"/>
      <c r="AH59" s="1550"/>
      <c r="AI59" s="1550"/>
      <c r="AJ59" s="1550"/>
      <c r="AK59" s="1550"/>
      <c r="AL59" s="1550"/>
      <c r="AM59" s="1550"/>
      <c r="AN59" s="1550"/>
      <c r="AO59" s="1550"/>
      <c r="AP59" s="1550"/>
      <c r="AQ59" s="1550"/>
      <c r="AR59" s="1751">
        <v>0</v>
      </c>
    </row>
    <row s="14284" customFormat="1" customHeight="1" ht="17.25">
      <c r="A60" s="605"/>
      <c r="C60" s="604"/>
      <c r="D60" s="2420"/>
      <c r="E60" s="2428"/>
      <c r="F60" s="2430"/>
      <c r="G60" s="2428"/>
      <c r="H60" s="2433"/>
      <c r="I60" s="2435"/>
      <c r="J60" s="2438"/>
      <c r="K60" s="2422"/>
      <c r="L60" s="2422"/>
      <c r="M60" s="2422"/>
      <c r="N60" s="2425"/>
      <c r="O60" s="2422"/>
      <c r="P60" s="2216"/>
      <c r="Q60" s="2218"/>
      <c r="R60" s="2218"/>
      <c r="S60" s="613"/>
      <c r="T60" s="613"/>
      <c r="U60" s="613"/>
      <c r="V60" s="613"/>
      <c r="W60" s="2219"/>
      <c r="X60" s="1550"/>
      <c r="Y60" s="1550"/>
      <c r="Z60" s="1550"/>
      <c r="AA60" s="1550"/>
      <c r="AB60" s="1550"/>
      <c r="AC60" s="1550"/>
      <c r="AD60" s="1550"/>
      <c r="AE60" s="1550"/>
      <c r="AF60" s="1550"/>
      <c r="AG60" s="1550"/>
      <c r="AH60" s="1550"/>
      <c r="AI60" s="1550"/>
      <c r="AJ60" s="1550"/>
      <c r="AK60" s="1550"/>
      <c r="AL60" s="1550"/>
      <c r="AM60" s="1550"/>
      <c r="AN60" s="1550"/>
      <c r="AO60" s="1550"/>
      <c r="AP60" s="1550"/>
      <c r="AQ60" s="1550"/>
      <c r="AR60" s="1751">
        <v>0</v>
      </c>
    </row>
    <row s="14284" customFormat="1" customHeight="1" ht="17.25">
      <c r="A61" s="605"/>
      <c r="C61" s="493"/>
      <c r="D61" s="2420"/>
      <c r="E61" s="2428"/>
      <c r="F61" s="2430"/>
      <c r="G61" s="2428"/>
      <c r="H61" s="2433"/>
      <c r="I61" s="2435"/>
      <c r="J61" s="2438"/>
      <c r="K61" s="2422"/>
      <c r="L61" s="2218"/>
      <c r="M61" s="2218"/>
      <c r="N61" s="2218"/>
      <c r="O61" s="2218"/>
      <c r="P61" s="2218"/>
      <c r="Q61" s="2218"/>
      <c r="R61" s="2218"/>
      <c r="S61" s="613"/>
      <c r="T61" s="613"/>
      <c r="U61" s="613"/>
      <c r="V61" s="613"/>
      <c r="W61" s="2219"/>
      <c r="Y61" s="1551"/>
      <c r="Z61" s="1551"/>
      <c r="AA61" s="1551"/>
      <c r="AB61" s="1551"/>
      <c r="AC61" s="1551"/>
      <c r="AD61" s="1551"/>
      <c r="AE61" s="1551"/>
      <c r="AF61" s="1551"/>
      <c r="AG61" s="1551"/>
      <c r="AH61" s="1551"/>
      <c r="AI61" s="1551"/>
      <c r="AJ61" s="1551"/>
      <c r="AK61" s="1551"/>
      <c r="AL61" s="1551"/>
      <c r="AM61" s="1551"/>
      <c r="AN61" s="1551"/>
      <c r="AO61" s="1551"/>
      <c r="AP61" s="1551"/>
      <c r="AQ61" s="1551"/>
      <c r="AR61" s="1751">
        <v>0</v>
      </c>
    </row>
    <row s="14284" customFormat="1" customHeight="1" ht="17.25">
      <c r="A62" s="605"/>
      <c r="C62" s="604"/>
      <c r="D62" s="2420"/>
      <c r="E62" s="2428"/>
      <c r="F62" s="2431"/>
      <c r="G62" s="2428"/>
      <c r="H62" s="1583"/>
      <c r="I62" s="2220"/>
      <c r="J62" s="2220"/>
      <c r="K62" s="2220"/>
      <c r="L62" s="2220"/>
      <c r="M62" s="2220"/>
      <c r="N62" s="2220"/>
      <c r="O62" s="2220"/>
      <c r="P62" s="2220"/>
      <c r="Q62" s="2220"/>
      <c r="R62" s="2220"/>
      <c r="S62" s="1585"/>
      <c r="T62" s="1585"/>
      <c r="U62" s="1585"/>
      <c r="V62" s="1585"/>
      <c r="W62" s="2221"/>
      <c r="X62" s="1550"/>
      <c r="Y62" s="1550"/>
      <c r="Z62" s="1550"/>
      <c r="AA62" s="1550"/>
      <c r="AB62" s="1550"/>
      <c r="AC62" s="1550"/>
      <c r="AD62" s="1550"/>
      <c r="AE62" s="1550"/>
      <c r="AF62" s="1550"/>
      <c r="AG62" s="1550"/>
      <c r="AH62" s="1550"/>
      <c r="AI62" s="1550"/>
      <c r="AJ62" s="1550"/>
      <c r="AK62" s="1550"/>
      <c r="AL62" s="1550"/>
      <c r="AM62" s="1550"/>
      <c r="AN62" s="1550"/>
      <c r="AO62" s="1550"/>
      <c r="AP62" s="1550"/>
      <c r="AQ62" s="1550"/>
      <c r="AR62" s="1751">
        <v>0</v>
      </c>
    </row>
    <row s="14284" customFormat="1" customHeight="1" ht="17.25" hidden="1">
      <c r="A63" s="605"/>
      <c r="C63" s="493"/>
      <c r="D63" s="2419">
        <v>10</v>
      </c>
      <c r="E63" s="2427" t="s">
        <v>215</v>
      </c>
      <c r="F63" s="2429" t="s">
        <v>19</v>
      </c>
      <c r="G63" s="2427"/>
      <c r="H63" s="2432"/>
      <c r="I63" s="2434"/>
      <c r="J63" s="2436"/>
      <c r="K63" s="2421"/>
      <c r="L63" s="2421"/>
      <c r="M63" s="2421"/>
      <c r="N63" s="2423"/>
      <c r="O63" s="2421"/>
      <c r="P63" s="2421"/>
      <c r="Q63" s="2421"/>
      <c r="R63" s="2426"/>
      <c r="S63" s="2421"/>
      <c r="T63" s="2215"/>
      <c r="U63" s="2215"/>
      <c r="V63" s="2217"/>
      <c r="W63" s="1580"/>
      <c r="X63" s="1551"/>
      <c r="Y63" s="1551"/>
      <c r="Z63" s="1551"/>
      <c r="AA63" s="1551"/>
      <c r="AB63" s="1551"/>
      <c r="AC63" s="1551" t="s">
        <v>216</v>
      </c>
      <c r="AD63" s="1551" t="s">
        <v>217</v>
      </c>
      <c r="AE63" s="1551" t="s">
        <v>218</v>
      </c>
      <c r="AF63" s="1551" t="s">
        <v>219</v>
      </c>
      <c r="AG63" s="1551" t="s">
        <v>220</v>
      </c>
      <c r="AH63" s="1551" t="str">
        <f>IF($E$63=0,"",$E$63)</f>
        <v>Предельный уровень цены на тепловую энергию (мощность), поставляемую теплоснабжающими организациями потребителям</v>
      </c>
      <c r="AI63" s="1551" t="str">
        <f>IF($G$63=0,"",$G$63)</f>
        <v/>
      </c>
      <c r="AJ63" s="1551" t="str">
        <f>IF($J$63=0,"",$J$63)</f>
        <v/>
      </c>
      <c r="AK63" s="1551" t="str">
        <f>IF($K$63="нет","без дифференциации",IF($N$63=0,"",$N$63))</f>
        <v/>
      </c>
      <c r="AL63" s="1551" t="str">
        <f>IF($O$63="нет","без дифференциации",IF($R$63=0,"",$R$63))</f>
        <v/>
      </c>
      <c r="AM63" s="1551" t="str">
        <f>IF($S$63="нет","без дифференциации",IF($V$63=0,"",$V$63))</f>
        <v/>
      </c>
      <c r="AN63" s="2056">
        <f>$I$63</f>
        <v>0</v>
      </c>
      <c r="AO63" s="1551" t="str">
        <f>$I$63&amp;"."&amp;$M$63</f>
        <v>.</v>
      </c>
      <c r="AP63" s="1550" t="str">
        <f>$I$63&amp;"."&amp;$M$63&amp;"."&amp;$Q$63</f>
        <v>..</v>
      </c>
      <c r="AQ63" s="1550" t="str">
        <f>$I$63&amp;"."&amp;$M$63&amp;"."&amp;$Q$63&amp;"."&amp;$U$63</f>
        <v>...</v>
      </c>
      <c r="AR63" s="1751">
        <v>0</v>
      </c>
    </row>
    <row s="14284" customFormat="1" customHeight="1" ht="17.25" hidden="1">
      <c r="A64" s="605"/>
      <c r="C64" s="604"/>
      <c r="D64" s="2419"/>
      <c r="E64" s="2427"/>
      <c r="F64" s="2430"/>
      <c r="G64" s="2427"/>
      <c r="H64" s="2433"/>
      <c r="I64" s="2435"/>
      <c r="J64" s="2437"/>
      <c r="K64" s="2422"/>
      <c r="L64" s="2422"/>
      <c r="M64" s="2422"/>
      <c r="N64" s="2424"/>
      <c r="O64" s="2422"/>
      <c r="P64" s="2422"/>
      <c r="Q64" s="2422"/>
      <c r="R64" s="2425"/>
      <c r="S64" s="2422"/>
      <c r="T64" s="2218"/>
      <c r="U64" s="2218"/>
      <c r="V64" s="2218"/>
      <c r="W64" s="2219"/>
      <c r="X64" s="1550"/>
      <c r="Y64" s="1550"/>
      <c r="Z64" s="1550"/>
      <c r="AA64" s="1550"/>
      <c r="AB64" s="1550"/>
      <c r="AC64" s="1550"/>
      <c r="AD64" s="1550"/>
      <c r="AE64" s="1550"/>
      <c r="AF64" s="1550"/>
      <c r="AG64" s="1550"/>
      <c r="AH64" s="1550"/>
      <c r="AI64" s="1550"/>
      <c r="AJ64" s="1550"/>
      <c r="AK64" s="1550"/>
      <c r="AL64" s="1550"/>
      <c r="AM64" s="1550"/>
      <c r="AN64" s="1550"/>
      <c r="AO64" s="1550"/>
      <c r="AP64" s="1550"/>
      <c r="AQ64" s="1550"/>
      <c r="AR64" s="1751">
        <v>0</v>
      </c>
    </row>
    <row s="14284" customFormat="1" customHeight="1" ht="17.25" hidden="1">
      <c r="A65" s="605"/>
      <c r="C65" s="604"/>
      <c r="D65" s="2420"/>
      <c r="E65" s="2428"/>
      <c r="F65" s="2430"/>
      <c r="G65" s="2428"/>
      <c r="H65" s="2433"/>
      <c r="I65" s="2435"/>
      <c r="J65" s="2438"/>
      <c r="K65" s="2422"/>
      <c r="L65" s="2422"/>
      <c r="M65" s="2422"/>
      <c r="N65" s="2425"/>
      <c r="O65" s="2422"/>
      <c r="P65" s="2216"/>
      <c r="Q65" s="2218"/>
      <c r="R65" s="2218"/>
      <c r="S65" s="613"/>
      <c r="T65" s="613"/>
      <c r="U65" s="613"/>
      <c r="V65" s="613"/>
      <c r="W65" s="2219"/>
      <c r="X65" s="1550"/>
      <c r="Y65" s="1550"/>
      <c r="Z65" s="1550"/>
      <c r="AA65" s="1550"/>
      <c r="AB65" s="1550"/>
      <c r="AC65" s="1550"/>
      <c r="AD65" s="1550"/>
      <c r="AE65" s="1550"/>
      <c r="AF65" s="1550"/>
      <c r="AG65" s="1550"/>
      <c r="AH65" s="1550"/>
      <c r="AI65" s="1550"/>
      <c r="AJ65" s="1550"/>
      <c r="AK65" s="1550"/>
      <c r="AL65" s="1550"/>
      <c r="AM65" s="1550"/>
      <c r="AN65" s="1550"/>
      <c r="AO65" s="1550"/>
      <c r="AP65" s="1550"/>
      <c r="AQ65" s="1550"/>
      <c r="AR65" s="1751">
        <v>0</v>
      </c>
    </row>
    <row s="14284" customFormat="1" customHeight="1" ht="17.25" hidden="1">
      <c r="A66" s="605"/>
      <c r="C66" s="493"/>
      <c r="D66" s="2420"/>
      <c r="E66" s="2428"/>
      <c r="F66" s="2430"/>
      <c r="G66" s="2428"/>
      <c r="H66" s="2433"/>
      <c r="I66" s="2435"/>
      <c r="J66" s="2438"/>
      <c r="K66" s="2422"/>
      <c r="L66" s="2218"/>
      <c r="M66" s="2218"/>
      <c r="N66" s="2218"/>
      <c r="O66" s="2218"/>
      <c r="P66" s="2218"/>
      <c r="Q66" s="2218"/>
      <c r="R66" s="2218"/>
      <c r="S66" s="613"/>
      <c r="T66" s="613"/>
      <c r="U66" s="613"/>
      <c r="V66" s="613"/>
      <c r="W66" s="2219"/>
      <c r="Y66" s="1551"/>
      <c r="Z66" s="1551"/>
      <c r="AA66" s="1551"/>
      <c r="AB66" s="1551"/>
      <c r="AC66" s="1551"/>
      <c r="AD66" s="1551"/>
      <c r="AE66" s="1551"/>
      <c r="AF66" s="1551"/>
      <c r="AG66" s="1551"/>
      <c r="AH66" s="1551"/>
      <c r="AI66" s="1551"/>
      <c r="AJ66" s="1551"/>
      <c r="AK66" s="1551"/>
      <c r="AL66" s="1551"/>
      <c r="AM66" s="1551"/>
      <c r="AN66" s="1551"/>
      <c r="AO66" s="1551"/>
      <c r="AP66" s="1551"/>
      <c r="AQ66" s="1551"/>
      <c r="AR66" s="1751">
        <v>0</v>
      </c>
    </row>
    <row s="14284" customFormat="1" customHeight="1" ht="17.25" hidden="1">
      <c r="A67" s="605"/>
      <c r="C67" s="604"/>
      <c r="D67" s="2420"/>
      <c r="E67" s="2428"/>
      <c r="F67" s="2431"/>
      <c r="G67" s="2428"/>
      <c r="H67" s="1583"/>
      <c r="I67" s="2220"/>
      <c r="J67" s="2220"/>
      <c r="K67" s="2220"/>
      <c r="L67" s="2220"/>
      <c r="M67" s="2220"/>
      <c r="N67" s="2220"/>
      <c r="O67" s="2220"/>
      <c r="P67" s="2220"/>
      <c r="Q67" s="2220"/>
      <c r="R67" s="2220"/>
      <c r="S67" s="1585"/>
      <c r="T67" s="1585"/>
      <c r="U67" s="1585"/>
      <c r="V67" s="1585"/>
      <c r="W67" s="2221"/>
      <c r="X67" s="1550"/>
      <c r="Y67" s="1550"/>
      <c r="Z67" s="1550"/>
      <c r="AA67" s="1550"/>
      <c r="AB67" s="1550"/>
      <c r="AC67" s="1550"/>
      <c r="AD67" s="1550"/>
      <c r="AE67" s="1550"/>
      <c r="AF67" s="1550"/>
      <c r="AG67" s="1550"/>
      <c r="AH67" s="1550"/>
      <c r="AI67" s="1550"/>
      <c r="AJ67" s="1550"/>
      <c r="AK67" s="1550"/>
      <c r="AL67" s="1550"/>
      <c r="AM67" s="1550"/>
      <c r="AN67" s="1550"/>
      <c r="AO67" s="1550"/>
      <c r="AP67" s="1550"/>
      <c r="AQ67" s="1550"/>
      <c r="AR67" s="1751">
        <v>0</v>
      </c>
    </row>
    <row customHeight="1" ht="11.25">
      <c r="AR68" s="388">
        <v>0</v>
      </c>
    </row>
    <row customHeight="1" ht="11.25">
      <c r="E69" s="2458" t="s">
        <v>221</v>
      </c>
      <c r="F69" s="2458"/>
      <c r="G69" s="2458"/>
      <c r="H69" s="2458"/>
      <c r="I69" s="2458"/>
      <c r="J69" s="2458"/>
      <c r="K69" s="2458"/>
      <c r="L69" s="2458"/>
      <c r="M69" s="2458"/>
      <c r="N69" s="2458"/>
      <c r="O69" s="2458"/>
      <c r="P69" s="2458"/>
      <c r="Q69" s="2458"/>
      <c r="R69" s="2458"/>
      <c r="S69" s="2458"/>
      <c r="T69" s="2458"/>
      <c r="U69" s="2458"/>
      <c r="V69" s="2458"/>
      <c r="W69" s="2458"/>
      <c r="AR69" s="388">
        <v>0</v>
      </c>
    </row>
    <row customHeight="1" ht="36.75">
      <c r="E70" s="2456" t="s">
        <v>222</v>
      </c>
      <c r="F70" s="2456"/>
      <c r="G70" s="2457"/>
      <c r="H70" s="2457"/>
      <c r="I70" s="2457"/>
      <c r="J70" s="2457"/>
      <c r="K70" s="2457"/>
      <c r="L70" s="2457"/>
      <c r="M70" s="2457"/>
      <c r="N70" s="2457"/>
      <c r="O70" s="2457"/>
      <c r="P70" s="2457"/>
      <c r="Q70" s="2457"/>
      <c r="R70" s="2457"/>
      <c r="S70" s="2457"/>
      <c r="T70" s="2457"/>
      <c r="U70" s="2457"/>
      <c r="V70" s="2457"/>
      <c r="W70" s="2457"/>
      <c r="AR70" s="388">
        <v>0</v>
      </c>
    </row>
    <row customHeight="1" ht="28.5">
      <c r="E71" s="2456" t="s">
        <v>223</v>
      </c>
      <c r="F71" s="2456"/>
      <c r="G71" s="2457"/>
      <c r="H71" s="2457"/>
      <c r="I71" s="2457"/>
      <c r="J71" s="2457"/>
      <c r="K71" s="2457"/>
      <c r="L71" s="2457"/>
      <c r="M71" s="2457"/>
      <c r="N71" s="2457"/>
      <c r="O71" s="2457"/>
      <c r="P71" s="2457"/>
      <c r="Q71" s="2457"/>
      <c r="R71" s="2457"/>
      <c r="S71" s="2457"/>
      <c r="T71" s="2457"/>
      <c r="U71" s="2457"/>
      <c r="V71" s="2457"/>
      <c r="W71" s="2457"/>
      <c r="AR71" s="388">
        <v>0</v>
      </c>
    </row>
    <row customHeight="1" ht="27">
      <c r="E72" s="2456" t="s">
        <v>224</v>
      </c>
      <c r="F72" s="2456"/>
      <c r="G72" s="2457"/>
      <c r="H72" s="2457"/>
      <c r="I72" s="2457"/>
      <c r="J72" s="2457"/>
      <c r="K72" s="2457"/>
      <c r="L72" s="2457"/>
      <c r="M72" s="2457"/>
      <c r="N72" s="2457"/>
      <c r="O72" s="2457"/>
      <c r="P72" s="2457"/>
      <c r="Q72" s="2457"/>
      <c r="R72" s="2457"/>
      <c r="S72" s="2457"/>
      <c r="T72" s="2457"/>
      <c r="U72" s="2457"/>
      <c r="V72" s="2457"/>
      <c r="W72" s="2457"/>
      <c r="AR72" s="388">
        <v>0</v>
      </c>
    </row>
    <row customHeight="1" ht="17.25">
      <c r="E73" s="2456" t="s">
        <v>225</v>
      </c>
      <c r="F73" s="2456"/>
      <c r="G73" s="2457"/>
      <c r="H73" s="2457"/>
      <c r="I73" s="2457"/>
      <c r="J73" s="2457"/>
      <c r="K73" s="2457"/>
      <c r="L73" s="2457"/>
      <c r="M73" s="2457"/>
      <c r="N73" s="2457"/>
      <c r="O73" s="2457"/>
      <c r="P73" s="2457"/>
      <c r="Q73" s="2457"/>
      <c r="R73" s="2457"/>
      <c r="S73" s="2457"/>
      <c r="T73" s="2457"/>
      <c r="U73" s="2457"/>
      <c r="V73" s="2457"/>
      <c r="W73" s="2457"/>
      <c r="AR73" s="388">
        <v>0</v>
      </c>
    </row>
    <row customHeight="1" ht="15">
      <c r="E74" s="624"/>
      <c r="F74" s="1569"/>
      <c r="G74" s="441"/>
      <c r="H74" s="441"/>
      <c r="I74" s="441"/>
      <c r="J74" s="441"/>
      <c r="K74" s="441"/>
      <c r="L74" s="441"/>
      <c r="M74" s="441"/>
      <c r="N74" s="441"/>
      <c r="O74" s="441"/>
      <c r="P74" s="441"/>
      <c r="Q74" s="441"/>
      <c r="R74" s="441"/>
      <c r="S74" s="441"/>
      <c r="T74" s="441"/>
      <c r="U74" s="441"/>
      <c r="V74" s="441"/>
      <c r="W74" s="441"/>
      <c r="AR74" s="388">
        <v>0</v>
      </c>
    </row>
    <row customHeight="1" ht="15">
      <c r="E75" s="2458" t="s">
        <v>226</v>
      </c>
      <c r="F75" s="2458"/>
      <c r="G75" s="2458"/>
      <c r="H75" s="2458"/>
      <c r="I75" s="2458"/>
      <c r="J75" s="2458"/>
      <c r="K75" s="2458"/>
      <c r="L75" s="2458"/>
      <c r="M75" s="2458"/>
      <c r="N75" s="2458"/>
      <c r="O75" s="2458"/>
      <c r="P75" s="2458"/>
      <c r="Q75" s="2458"/>
      <c r="R75" s="2458"/>
      <c r="S75" s="2458"/>
      <c r="T75" s="2458"/>
      <c r="U75" s="2458"/>
      <c r="V75" s="2458"/>
      <c r="W75" s="2458"/>
      <c r="AR75" s="388">
        <v>0</v>
      </c>
    </row>
    <row customHeight="1" ht="17.25">
      <c r="E76" s="2456" t="s">
        <v>227</v>
      </c>
      <c r="F76" s="2456"/>
      <c r="G76" s="2457"/>
      <c r="H76" s="2457"/>
      <c r="I76" s="2457"/>
      <c r="J76" s="2457"/>
      <c r="K76" s="2457"/>
      <c r="L76" s="2457"/>
      <c r="M76" s="2457"/>
      <c r="N76" s="2457"/>
      <c r="O76" s="2457"/>
      <c r="P76" s="2457"/>
      <c r="Q76" s="2457"/>
      <c r="R76" s="2457"/>
      <c r="S76" s="2457"/>
      <c r="T76" s="2457"/>
      <c r="U76" s="2457"/>
      <c r="V76" s="2457"/>
      <c r="W76" s="2457"/>
      <c r="AR76" s="388">
        <v>0</v>
      </c>
    </row>
    <row customHeight="1" ht="17.25">
      <c r="E77" s="2456" t="s">
        <v>228</v>
      </c>
      <c r="F77" s="2456"/>
      <c r="G77" s="2457"/>
      <c r="H77" s="2457"/>
      <c r="I77" s="2457"/>
      <c r="J77" s="2457"/>
      <c r="K77" s="2457"/>
      <c r="L77" s="2457"/>
      <c r="M77" s="2457"/>
      <c r="N77" s="2457"/>
      <c r="O77" s="2457"/>
      <c r="P77" s="2457"/>
      <c r="Q77" s="2457"/>
      <c r="R77" s="2457"/>
      <c r="S77" s="2457"/>
      <c r="T77" s="2457"/>
      <c r="U77" s="2457"/>
      <c r="V77" s="2457"/>
      <c r="W77" s="2457"/>
      <c r="AR77" s="388">
        <v>0</v>
      </c>
    </row>
    <row s="14284" customFormat="1" customHeight="1" ht="11.25" hidden="1">
      <c r="A78" s="561"/>
      <c r="B78" s="561"/>
      <c r="Y78" s="1543"/>
      <c r="Z78" s="1543"/>
      <c r="AA78" s="1543"/>
      <c r="AB78" s="1543"/>
      <c r="AC78" s="1543"/>
      <c r="AD78" s="1543"/>
      <c r="AE78" s="1543"/>
      <c r="AF78" s="1543"/>
      <c r="AG78" s="1543"/>
      <c r="AH78" s="1543"/>
      <c r="AI78" s="1543"/>
      <c r="AJ78" s="1543"/>
      <c r="AK78" s="1543"/>
      <c r="AL78" s="1543"/>
      <c r="AM78" s="1543"/>
      <c r="AN78" s="1543"/>
      <c r="AO78" s="1543"/>
      <c r="AP78" s="1543"/>
      <c r="AQ78" s="1543"/>
      <c r="AR78" s="1634">
        <v>0</v>
      </c>
    </row>
    <row s="14284" customFormat="1" customHeight="1" ht="17.25" hidden="1">
      <c r="A79" s="605"/>
      <c r="C79" s="493"/>
      <c r="D79" s="2419">
        <v>1</v>
      </c>
      <c r="E79" s="2427" t="s">
        <v>229</v>
      </c>
      <c r="F79" s="2429" t="s">
        <v>19</v>
      </c>
      <c r="G79" s="2427"/>
      <c r="H79" s="2432"/>
      <c r="I79" s="2434"/>
      <c r="J79" s="2436"/>
      <c r="K79" s="2421"/>
      <c r="L79" s="2421"/>
      <c r="M79" s="2421"/>
      <c r="N79" s="2423"/>
      <c r="O79" s="2421"/>
      <c r="P79" s="2421"/>
      <c r="Q79" s="2421"/>
      <c r="R79" s="2426"/>
      <c r="S79" s="2421"/>
      <c r="T79" s="1754"/>
      <c r="U79" s="1754"/>
      <c r="V79" s="1756"/>
      <c r="W79" s="1580"/>
      <c r="Y79" s="1551"/>
      <c r="Z79" s="1551"/>
      <c r="AA79" s="1551"/>
      <c r="AB79" s="1551"/>
      <c r="AC79" s="1551" t="s">
        <v>230</v>
      </c>
      <c r="AD79" s="1551" t="s">
        <v>231</v>
      </c>
      <c r="AE79" s="1551" t="s">
        <v>232</v>
      </c>
      <c r="AF79" s="1551" t="s">
        <v>233</v>
      </c>
      <c r="AG79" s="1551"/>
      <c r="AH79" s="1551" t="str">
        <f>IF($E$79=0,"",$E$79)</f>
        <v>Тариф на питьевую воду (питьевое водоснабжение)</v>
      </c>
      <c r="AI79" s="1551" t="str">
        <f>IF($G$79=0,"",$G$79)</f>
        <v/>
      </c>
      <c r="AJ79" s="1551" t="str">
        <f>IF($J$79=0,"",$J$79)</f>
        <v/>
      </c>
      <c r="AK79" s="1551" t="str">
        <f>IF($K$79="нет","без дифференциации",IF($N$79=0,"",$N$79))</f>
        <v/>
      </c>
      <c r="AL79" s="1551" t="str">
        <f>IF($O$79="нет","без дифференциации",IF($R$79=0,"",$R$79))</f>
        <v/>
      </c>
      <c r="AM79" s="1551" t="str">
        <f>IF($S$79="нет","без дифференциации",IF($V$79=0,"",$V$79))</f>
        <v/>
      </c>
      <c r="AN79" s="1551">
        <f>$I$79</f>
        <v>0</v>
      </c>
      <c r="AO79" s="1551" t="str">
        <f>$I$79&amp;"."&amp;$M$79</f>
        <v>.</v>
      </c>
      <c r="AP79" s="1551" t="str">
        <f>$I$79&amp;"."&amp;$M$79&amp;"."&amp;$Q$79</f>
        <v>..</v>
      </c>
      <c r="AQ79" s="1551" t="str">
        <f>$I$79&amp;"."&amp;$M$79&amp;"."&amp;$Q$79&amp;"."&amp;$U$79</f>
        <v>...</v>
      </c>
      <c r="AR79" s="1634">
        <v>0</v>
      </c>
    </row>
    <row s="14284" customFormat="1" customHeight="1" ht="17.25" hidden="1">
      <c r="A80" s="605"/>
      <c r="C80" s="604"/>
      <c r="D80" s="2419"/>
      <c r="E80" s="2427"/>
      <c r="F80" s="2430"/>
      <c r="G80" s="2427"/>
      <c r="H80" s="2433"/>
      <c r="I80" s="2435"/>
      <c r="J80" s="2437"/>
      <c r="K80" s="2422"/>
      <c r="L80" s="2422"/>
      <c r="M80" s="2422"/>
      <c r="N80" s="2424"/>
      <c r="O80" s="2422"/>
      <c r="P80" s="2422"/>
      <c r="Q80" s="2422"/>
      <c r="R80" s="2425"/>
      <c r="S80" s="2422"/>
      <c r="T80" s="1581"/>
      <c r="U80" s="1581"/>
      <c r="V80" s="1581"/>
      <c r="W80" s="1582"/>
      <c r="Y80" s="1543"/>
      <c r="Z80" s="1543"/>
      <c r="AA80" s="1543"/>
      <c r="AB80" s="1543"/>
      <c r="AC80" s="1543"/>
      <c r="AD80" s="1543"/>
      <c r="AE80" s="1543"/>
      <c r="AF80" s="1543"/>
      <c r="AG80" s="1543"/>
      <c r="AH80" s="1543"/>
      <c r="AI80" s="1543"/>
      <c r="AJ80" s="1543"/>
      <c r="AK80" s="1543"/>
      <c r="AL80" s="1543"/>
      <c r="AM80" s="1543"/>
      <c r="AN80" s="1543"/>
      <c r="AO80" s="1543"/>
      <c r="AP80" s="1543"/>
      <c r="AQ80" s="1543"/>
      <c r="AR80" s="1634">
        <v>0</v>
      </c>
    </row>
    <row s="14284" customFormat="1" customHeight="1" ht="17.25" hidden="1">
      <c r="A81" s="605"/>
      <c r="C81" s="493"/>
      <c r="D81" s="2419"/>
      <c r="E81" s="2427"/>
      <c r="F81" s="2430"/>
      <c r="G81" s="2427"/>
      <c r="H81" s="2433"/>
      <c r="I81" s="2435"/>
      <c r="J81" s="2438"/>
      <c r="K81" s="2422"/>
      <c r="L81" s="2422"/>
      <c r="M81" s="2422"/>
      <c r="N81" s="2425"/>
      <c r="O81" s="2422"/>
      <c r="P81" s="1755"/>
      <c r="Q81" s="1581"/>
      <c r="R81" s="1581"/>
      <c r="S81" s="613"/>
      <c r="T81" s="613"/>
      <c r="U81" s="613"/>
      <c r="V81" s="613"/>
      <c r="W81" s="1582"/>
      <c r="Y81" s="1551"/>
      <c r="Z81" s="1551"/>
      <c r="AA81" s="1551"/>
      <c r="AB81" s="1551"/>
      <c r="AC81" s="1551"/>
      <c r="AD81" s="1551"/>
      <c r="AE81" s="1551"/>
      <c r="AF81" s="1551"/>
      <c r="AG81" s="1551"/>
      <c r="AH81" s="1551"/>
      <c r="AI81" s="1551"/>
      <c r="AJ81" s="1551"/>
      <c r="AK81" s="1551"/>
      <c r="AL81" s="1551"/>
      <c r="AM81" s="1551"/>
      <c r="AN81" s="1551"/>
      <c r="AO81" s="1551"/>
      <c r="AP81" s="1551"/>
      <c r="AQ81" s="1551"/>
      <c r="AR81" s="1725">
        <v>0</v>
      </c>
    </row>
    <row s="14284" customFormat="1" customHeight="1" ht="17.25" hidden="1">
      <c r="A82" s="605"/>
      <c r="C82" s="604"/>
      <c r="D82" s="2419"/>
      <c r="E82" s="2427"/>
      <c r="F82" s="2430"/>
      <c r="G82" s="2427"/>
      <c r="H82" s="2433"/>
      <c r="I82" s="2435"/>
      <c r="J82" s="2438"/>
      <c r="K82" s="2422"/>
      <c r="L82" s="1581"/>
      <c r="M82" s="1581"/>
      <c r="N82" s="1581"/>
      <c r="O82" s="1581"/>
      <c r="P82" s="1581"/>
      <c r="Q82" s="1581"/>
      <c r="R82" s="1581"/>
      <c r="S82" s="613"/>
      <c r="T82" s="613"/>
      <c r="U82" s="613"/>
      <c r="V82" s="613"/>
      <c r="W82" s="1582"/>
      <c r="Y82" s="1543"/>
      <c r="Z82" s="1543"/>
      <c r="AA82" s="1543"/>
      <c r="AB82" s="1543"/>
      <c r="AC82" s="1543"/>
      <c r="AD82" s="1543"/>
      <c r="AE82" s="1543"/>
      <c r="AF82" s="1543"/>
      <c r="AG82" s="1543"/>
      <c r="AH82" s="1543"/>
      <c r="AI82" s="1543"/>
      <c r="AJ82" s="1543"/>
      <c r="AK82" s="1543"/>
      <c r="AL82" s="1543"/>
      <c r="AM82" s="1543"/>
      <c r="AN82" s="1543"/>
      <c r="AO82" s="1543"/>
      <c r="AP82" s="1543"/>
      <c r="AQ82" s="1543"/>
      <c r="AR82" s="1725">
        <v>0</v>
      </c>
    </row>
    <row s="14284" customFormat="1" customHeight="1" ht="17.25" hidden="1">
      <c r="A83" s="605"/>
      <c r="C83" s="604"/>
      <c r="D83" s="2420"/>
      <c r="E83" s="2428"/>
      <c r="F83" s="2431"/>
      <c r="G83" s="2428"/>
      <c r="H83" s="1583"/>
      <c r="I83" s="1584"/>
      <c r="J83" s="1584"/>
      <c r="K83" s="1584"/>
      <c r="L83" s="1584"/>
      <c r="M83" s="1584"/>
      <c r="N83" s="1584"/>
      <c r="O83" s="1584"/>
      <c r="P83" s="1584"/>
      <c r="Q83" s="1584"/>
      <c r="R83" s="1584"/>
      <c r="S83" s="1585"/>
      <c r="T83" s="1585"/>
      <c r="U83" s="1585"/>
      <c r="V83" s="1585"/>
      <c r="W83" s="1586"/>
      <c r="Y83" s="1543"/>
      <c r="Z83" s="1543"/>
      <c r="AA83" s="1543"/>
      <c r="AB83" s="1543"/>
      <c r="AC83" s="1543"/>
      <c r="AD83" s="1543"/>
      <c r="AE83" s="1543"/>
      <c r="AF83" s="1543"/>
      <c r="AG83" s="1543"/>
      <c r="AH83" s="1543"/>
      <c r="AI83" s="1543"/>
      <c r="AJ83" s="1543"/>
      <c r="AK83" s="1543"/>
      <c r="AL83" s="1543"/>
      <c r="AM83" s="1543"/>
      <c r="AN83" s="1543"/>
      <c r="AO83" s="1543"/>
      <c r="AP83" s="1543"/>
      <c r="AQ83" s="1543"/>
      <c r="AR83" s="1634">
        <v>0</v>
      </c>
    </row>
    <row s="14284" customFormat="1" customHeight="1" ht="17.25" hidden="1">
      <c r="A84" s="605"/>
      <c r="C84" s="493"/>
      <c r="D84" s="2419">
        <v>2</v>
      </c>
      <c r="E84" s="2427" t="s">
        <v>234</v>
      </c>
      <c r="F84" s="2429" t="s">
        <v>19</v>
      </c>
      <c r="G84" s="2427"/>
      <c r="H84" s="2432"/>
      <c r="I84" s="2434"/>
      <c r="J84" s="2436"/>
      <c r="K84" s="2421"/>
      <c r="L84" s="2421"/>
      <c r="M84" s="2421"/>
      <c r="N84" s="2423"/>
      <c r="O84" s="2421"/>
      <c r="P84" s="2421"/>
      <c r="Q84" s="2421"/>
      <c r="R84" s="2426"/>
      <c r="S84" s="2421"/>
      <c r="T84" s="1727"/>
      <c r="U84" s="1727"/>
      <c r="V84" s="1729"/>
      <c r="W84" s="1580"/>
      <c r="X84" s="1551"/>
      <c r="Y84" s="1551"/>
      <c r="Z84" s="1551"/>
      <c r="AA84" s="1551"/>
      <c r="AB84" s="1551"/>
      <c r="AC84" s="1551" t="s">
        <v>235</v>
      </c>
      <c r="AD84" s="1551" t="s">
        <v>236</v>
      </c>
      <c r="AE84" s="1551" t="s">
        <v>237</v>
      </c>
      <c r="AF84" s="1551" t="s">
        <v>238</v>
      </c>
      <c r="AG84" s="1551"/>
      <c r="AH84" s="1551" t="str">
        <f>IF($E$84=0,"",$E$84)</f>
        <v>Тариф на техническую воду</v>
      </c>
      <c r="AI84" s="1551" t="str">
        <f>IF($G$84=0,"",$G$84)</f>
        <v/>
      </c>
      <c r="AJ84" s="1551" t="str">
        <f>IF($J$84=0,"",$J$84)</f>
        <v/>
      </c>
      <c r="AK84" s="1551" t="str">
        <f>IF($K$84="нет","без дифференциации",IF($N$84=0,"",$N$84))</f>
        <v/>
      </c>
      <c r="AL84" s="1551" t="str">
        <f>IF($O$84="нет","без дифференциации",IF($R$84=0,"",$R$84))</f>
        <v/>
      </c>
      <c r="AM84" s="1551" t="str">
        <f>IF($S$84="нет","без дифференциации",IF($V$84=0,"",$V$84))</f>
        <v/>
      </c>
      <c r="AN84" s="2056">
        <f>$I$84</f>
        <v>0</v>
      </c>
      <c r="AO84" s="1551" t="str">
        <f>$I$84&amp;"."&amp;$M$84</f>
        <v>.</v>
      </c>
      <c r="AP84" s="1543" t="str">
        <f>$I$84&amp;"."&amp;$M$84&amp;"."&amp;$Q$84</f>
        <v>..</v>
      </c>
      <c r="AQ84" s="1543" t="str">
        <f>$I$84&amp;"."&amp;$M$84&amp;"."&amp;$Q$84&amp;"."&amp;$U$84</f>
        <v>...</v>
      </c>
      <c r="AR84" s="1634">
        <v>0</v>
      </c>
    </row>
    <row s="14284" customFormat="1" customHeight="1" ht="17.25" hidden="1">
      <c r="A85" s="605"/>
      <c r="C85" s="604"/>
      <c r="D85" s="2419"/>
      <c r="E85" s="2427"/>
      <c r="F85" s="2430"/>
      <c r="G85" s="2427"/>
      <c r="H85" s="2433"/>
      <c r="I85" s="2435"/>
      <c r="J85" s="2437"/>
      <c r="K85" s="2422"/>
      <c r="L85" s="2422"/>
      <c r="M85" s="2422"/>
      <c r="N85" s="2424"/>
      <c r="O85" s="2422"/>
      <c r="P85" s="2422"/>
      <c r="Q85" s="2422"/>
      <c r="R85" s="2425"/>
      <c r="S85" s="2422"/>
      <c r="T85" s="1581"/>
      <c r="U85" s="1581"/>
      <c r="V85" s="1581"/>
      <c r="W85" s="1582"/>
      <c r="X85" s="1543"/>
      <c r="Y85" s="1543"/>
      <c r="Z85" s="1543"/>
      <c r="AA85" s="1543"/>
      <c r="AB85" s="1543"/>
      <c r="AC85" s="1543"/>
      <c r="AD85" s="1543"/>
      <c r="AE85" s="1543"/>
      <c r="AF85" s="1543"/>
      <c r="AG85" s="1543"/>
      <c r="AH85" s="1543"/>
      <c r="AI85" s="1543"/>
      <c r="AJ85" s="1543"/>
      <c r="AK85" s="1543"/>
      <c r="AL85" s="1543"/>
      <c r="AM85" s="1543"/>
      <c r="AN85" s="1543"/>
      <c r="AO85" s="1543"/>
      <c r="AP85" s="1543"/>
      <c r="AQ85" s="1543"/>
      <c r="AR85" s="1634">
        <v>0</v>
      </c>
    </row>
    <row s="14284" customFormat="1" customHeight="1" ht="17.25" hidden="1">
      <c r="A86" s="605"/>
      <c r="C86" s="604"/>
      <c r="D86" s="2420"/>
      <c r="E86" s="2428"/>
      <c r="F86" s="2430"/>
      <c r="G86" s="2428"/>
      <c r="H86" s="2433"/>
      <c r="I86" s="2435"/>
      <c r="J86" s="2438"/>
      <c r="K86" s="2422"/>
      <c r="L86" s="2422"/>
      <c r="M86" s="2422"/>
      <c r="N86" s="2425"/>
      <c r="O86" s="2422"/>
      <c r="P86" s="1728"/>
      <c r="Q86" s="1581"/>
      <c r="R86" s="1581"/>
      <c r="S86" s="613"/>
      <c r="T86" s="613"/>
      <c r="U86" s="613"/>
      <c r="V86" s="613"/>
      <c r="W86" s="1582"/>
      <c r="X86" s="1543"/>
      <c r="Y86" s="1543"/>
      <c r="Z86" s="1543"/>
      <c r="AA86" s="1543"/>
      <c r="AB86" s="1543"/>
      <c r="AC86" s="1543"/>
      <c r="AD86" s="1543"/>
      <c r="AE86" s="1543"/>
      <c r="AF86" s="1543"/>
      <c r="AG86" s="1543"/>
      <c r="AH86" s="1543"/>
      <c r="AI86" s="1543"/>
      <c r="AJ86" s="1543"/>
      <c r="AK86" s="1543"/>
      <c r="AL86" s="1543"/>
      <c r="AM86" s="1543"/>
      <c r="AN86" s="1543"/>
      <c r="AO86" s="1543"/>
      <c r="AP86" s="1543"/>
      <c r="AQ86" s="1543"/>
      <c r="AR86" s="1634">
        <v>0</v>
      </c>
    </row>
    <row s="14284" customFormat="1" customHeight="1" ht="17.25" hidden="1">
      <c r="A87" s="605"/>
      <c r="C87" s="604"/>
      <c r="D87" s="2420"/>
      <c r="E87" s="2428"/>
      <c r="F87" s="2430"/>
      <c r="G87" s="2428"/>
      <c r="H87" s="2433"/>
      <c r="I87" s="2435"/>
      <c r="J87" s="2438"/>
      <c r="K87" s="2422"/>
      <c r="L87" s="1581"/>
      <c r="M87" s="1581"/>
      <c r="N87" s="1581"/>
      <c r="O87" s="1581"/>
      <c r="P87" s="1581"/>
      <c r="Q87" s="1581"/>
      <c r="R87" s="1581"/>
      <c r="S87" s="613"/>
      <c r="T87" s="613"/>
      <c r="U87" s="613"/>
      <c r="V87" s="613"/>
      <c r="W87" s="1582"/>
      <c r="X87" s="1543"/>
      <c r="Y87" s="1543"/>
      <c r="Z87" s="1543"/>
      <c r="AA87" s="1543"/>
      <c r="AB87" s="1543"/>
      <c r="AC87" s="1543"/>
      <c r="AD87" s="1543"/>
      <c r="AE87" s="1543"/>
      <c r="AF87" s="1543"/>
      <c r="AG87" s="1543"/>
      <c r="AH87" s="1543"/>
      <c r="AI87" s="1543"/>
      <c r="AJ87" s="1543"/>
      <c r="AK87" s="1543"/>
      <c r="AL87" s="1543"/>
      <c r="AM87" s="1543"/>
      <c r="AN87" s="1543"/>
      <c r="AO87" s="1543"/>
      <c r="AP87" s="1543"/>
      <c r="AQ87" s="1543"/>
      <c r="AR87" s="1634">
        <v>0</v>
      </c>
    </row>
    <row s="14284" customFormat="1" customHeight="1" ht="17.25" hidden="1">
      <c r="A88" s="605"/>
      <c r="C88" s="604"/>
      <c r="D88" s="2420"/>
      <c r="E88" s="2428"/>
      <c r="F88" s="2431"/>
      <c r="G88" s="2428"/>
      <c r="H88" s="1583"/>
      <c r="I88" s="1584"/>
      <c r="J88" s="1584"/>
      <c r="K88" s="1584"/>
      <c r="L88" s="1584"/>
      <c r="M88" s="1584"/>
      <c r="N88" s="1584"/>
      <c r="O88" s="1584"/>
      <c r="P88" s="1584"/>
      <c r="Q88" s="1584"/>
      <c r="R88" s="1584"/>
      <c r="S88" s="1585"/>
      <c r="T88" s="1585"/>
      <c r="U88" s="1585"/>
      <c r="V88" s="1585"/>
      <c r="W88" s="1586"/>
      <c r="X88" s="1543"/>
      <c r="Y88" s="1543"/>
      <c r="Z88" s="1543"/>
      <c r="AA88" s="1543"/>
      <c r="AB88" s="1543"/>
      <c r="AC88" s="1543"/>
      <c r="AD88" s="1543"/>
      <c r="AE88" s="1543"/>
      <c r="AF88" s="1543"/>
      <c r="AG88" s="1543"/>
      <c r="AH88" s="1543"/>
      <c r="AI88" s="1543"/>
      <c r="AJ88" s="1543"/>
      <c r="AK88" s="1543"/>
      <c r="AL88" s="1543"/>
      <c r="AM88" s="1543"/>
      <c r="AN88" s="1543"/>
      <c r="AO88" s="1543"/>
      <c r="AP88" s="1543"/>
      <c r="AQ88" s="1543"/>
      <c r="AR88" s="1634">
        <v>0</v>
      </c>
    </row>
    <row s="14284" customFormat="1" customHeight="1" ht="17.25" hidden="1">
      <c r="A89" s="605"/>
      <c r="C89" s="493"/>
      <c r="D89" s="2419">
        <v>3</v>
      </c>
      <c r="E89" s="2427" t="s">
        <v>239</v>
      </c>
      <c r="F89" s="2429" t="s">
        <v>19</v>
      </c>
      <c r="G89" s="2427"/>
      <c r="H89" s="2432"/>
      <c r="I89" s="2434"/>
      <c r="J89" s="2436"/>
      <c r="K89" s="2421"/>
      <c r="L89" s="2421"/>
      <c r="M89" s="2421"/>
      <c r="N89" s="2423"/>
      <c r="O89" s="2421"/>
      <c r="P89" s="2421"/>
      <c r="Q89" s="2421"/>
      <c r="R89" s="2426"/>
      <c r="S89" s="2421"/>
      <c r="T89" s="1727"/>
      <c r="U89" s="1727"/>
      <c r="V89" s="1729"/>
      <c r="W89" s="1580"/>
      <c r="X89" s="1551"/>
      <c r="Y89" s="1551"/>
      <c r="Z89" s="1551"/>
      <c r="AA89" s="1551"/>
      <c r="AB89" s="1551"/>
      <c r="AC89" s="1551" t="s">
        <v>240</v>
      </c>
      <c r="AD89" s="1551" t="s">
        <v>241</v>
      </c>
      <c r="AE89" s="1551" t="s">
        <v>242</v>
      </c>
      <c r="AF89" s="1551" t="s">
        <v>243</v>
      </c>
      <c r="AG89" s="1551"/>
      <c r="AH89" s="1551" t="str">
        <f>IF($E$89=0,"",$E$89)</f>
        <v>Тариф на транспортировку воды</v>
      </c>
      <c r="AI89" s="1551" t="str">
        <f>IF($G$89=0,"",$G$89)</f>
        <v/>
      </c>
      <c r="AJ89" s="1551" t="str">
        <f>IF($J$89=0,"",$J$89)</f>
        <v/>
      </c>
      <c r="AK89" s="1551" t="str">
        <f>IF($K$89="нет","без дифференциации",IF($N$89=0,"",$N$89))</f>
        <v/>
      </c>
      <c r="AL89" s="1551" t="str">
        <f>IF($O$89="нет","без дифференциации",IF($R$89=0,"",$R$89))</f>
        <v/>
      </c>
      <c r="AM89" s="1551" t="str">
        <f>IF($S$89="нет","без дифференциации",IF($V$89=0,"",$V$89))</f>
        <v/>
      </c>
      <c r="AN89" s="2056">
        <f>$I$89</f>
        <v>0</v>
      </c>
      <c r="AO89" s="1551" t="str">
        <f>$I$89&amp;"."&amp;$M$89</f>
        <v>.</v>
      </c>
      <c r="AP89" s="1543" t="str">
        <f>$I$89&amp;"."&amp;$M$89&amp;"."&amp;$Q$89</f>
        <v>..</v>
      </c>
      <c r="AQ89" s="1543" t="str">
        <f>$I$89&amp;"."&amp;$M$89&amp;"."&amp;$Q$89&amp;"."&amp;$U$89</f>
        <v>...</v>
      </c>
      <c r="AR89" s="1634">
        <v>0</v>
      </c>
    </row>
    <row s="14284" customFormat="1" customHeight="1" ht="17.25" hidden="1">
      <c r="A90" s="605"/>
      <c r="C90" s="604"/>
      <c r="D90" s="2419"/>
      <c r="E90" s="2427"/>
      <c r="F90" s="2430"/>
      <c r="G90" s="2427"/>
      <c r="H90" s="2433"/>
      <c r="I90" s="2435"/>
      <c r="J90" s="2437"/>
      <c r="K90" s="2422"/>
      <c r="L90" s="2422"/>
      <c r="M90" s="2422"/>
      <c r="N90" s="2424"/>
      <c r="O90" s="2422"/>
      <c r="P90" s="2422"/>
      <c r="Q90" s="2422"/>
      <c r="R90" s="2425"/>
      <c r="S90" s="2422"/>
      <c r="T90" s="1581"/>
      <c r="U90" s="1581"/>
      <c r="V90" s="1581"/>
      <c r="W90" s="1582"/>
      <c r="X90" s="1543"/>
      <c r="Y90" s="1543"/>
      <c r="Z90" s="1543"/>
      <c r="AA90" s="1543"/>
      <c r="AB90" s="1543"/>
      <c r="AC90" s="1543"/>
      <c r="AD90" s="1543"/>
      <c r="AE90" s="1543"/>
      <c r="AF90" s="1543"/>
      <c r="AG90" s="1543"/>
      <c r="AH90" s="1543"/>
      <c r="AI90" s="1543"/>
      <c r="AJ90" s="1543"/>
      <c r="AK90" s="1543"/>
      <c r="AL90" s="1543"/>
      <c r="AM90" s="1543"/>
      <c r="AN90" s="1543"/>
      <c r="AO90" s="1543"/>
      <c r="AP90" s="1543"/>
      <c r="AQ90" s="1543"/>
      <c r="AR90" s="1634">
        <v>0</v>
      </c>
    </row>
    <row s="14284" customFormat="1" customHeight="1" ht="17.25" hidden="1">
      <c r="A91" s="605"/>
      <c r="C91" s="604"/>
      <c r="D91" s="2420"/>
      <c r="E91" s="2428"/>
      <c r="F91" s="2430"/>
      <c r="G91" s="2428"/>
      <c r="H91" s="2433"/>
      <c r="I91" s="2435"/>
      <c r="J91" s="2438"/>
      <c r="K91" s="2422"/>
      <c r="L91" s="2422"/>
      <c r="M91" s="2422"/>
      <c r="N91" s="2425"/>
      <c r="O91" s="2422"/>
      <c r="P91" s="1728"/>
      <c r="Q91" s="1581"/>
      <c r="R91" s="1581"/>
      <c r="S91" s="613"/>
      <c r="T91" s="613"/>
      <c r="U91" s="613"/>
      <c r="V91" s="613"/>
      <c r="W91" s="1582"/>
      <c r="X91" s="1543"/>
      <c r="Y91" s="1543"/>
      <c r="Z91" s="1543"/>
      <c r="AA91" s="1543"/>
      <c r="AB91" s="1543"/>
      <c r="AC91" s="1543"/>
      <c r="AD91" s="1543"/>
      <c r="AE91" s="1543"/>
      <c r="AF91" s="1543"/>
      <c r="AG91" s="1543"/>
      <c r="AH91" s="1543"/>
      <c r="AI91" s="1543"/>
      <c r="AJ91" s="1543"/>
      <c r="AK91" s="1543"/>
      <c r="AL91" s="1543"/>
      <c r="AM91" s="1543"/>
      <c r="AN91" s="1543"/>
      <c r="AO91" s="1543"/>
      <c r="AP91" s="1543"/>
      <c r="AQ91" s="1543"/>
      <c r="AR91" s="1634">
        <v>0</v>
      </c>
    </row>
    <row s="14284" customFormat="1" customHeight="1" ht="17.25" hidden="1">
      <c r="A92" s="605"/>
      <c r="C92" s="604"/>
      <c r="D92" s="2420"/>
      <c r="E92" s="2428"/>
      <c r="F92" s="2430"/>
      <c r="G92" s="2428"/>
      <c r="H92" s="2433"/>
      <c r="I92" s="2435"/>
      <c r="J92" s="2438"/>
      <c r="K92" s="2422"/>
      <c r="L92" s="1581"/>
      <c r="M92" s="1581"/>
      <c r="N92" s="1581"/>
      <c r="O92" s="1581"/>
      <c r="P92" s="1581"/>
      <c r="Q92" s="1581"/>
      <c r="R92" s="1581"/>
      <c r="S92" s="613"/>
      <c r="T92" s="613"/>
      <c r="U92" s="613"/>
      <c r="V92" s="613"/>
      <c r="W92" s="1582"/>
      <c r="X92" s="1543"/>
      <c r="Y92" s="1543"/>
      <c r="Z92" s="1543"/>
      <c r="AA92" s="1543"/>
      <c r="AB92" s="1543"/>
      <c r="AC92" s="1543"/>
      <c r="AD92" s="1543"/>
      <c r="AE92" s="1543"/>
      <c r="AF92" s="1543"/>
      <c r="AG92" s="1543"/>
      <c r="AH92" s="1543"/>
      <c r="AI92" s="1543"/>
      <c r="AJ92" s="1543"/>
      <c r="AK92" s="1543"/>
      <c r="AL92" s="1543"/>
      <c r="AM92" s="1543"/>
      <c r="AN92" s="1543"/>
      <c r="AO92" s="1543"/>
      <c r="AP92" s="1543"/>
      <c r="AQ92" s="1543"/>
      <c r="AR92" s="1634">
        <v>0</v>
      </c>
    </row>
    <row s="14284" customFormat="1" customHeight="1" ht="17.25" hidden="1">
      <c r="A93" s="605"/>
      <c r="C93" s="604"/>
      <c r="D93" s="2420"/>
      <c r="E93" s="2428"/>
      <c r="F93" s="2431"/>
      <c r="G93" s="2428"/>
      <c r="H93" s="1583"/>
      <c r="I93" s="1584"/>
      <c r="J93" s="1584"/>
      <c r="K93" s="1584"/>
      <c r="L93" s="1584"/>
      <c r="M93" s="1584"/>
      <c r="N93" s="1584"/>
      <c r="O93" s="1584"/>
      <c r="P93" s="1584"/>
      <c r="Q93" s="1584"/>
      <c r="R93" s="1584"/>
      <c r="S93" s="1585"/>
      <c r="T93" s="1585"/>
      <c r="U93" s="1585"/>
      <c r="V93" s="1585"/>
      <c r="W93" s="1586"/>
      <c r="X93" s="1543"/>
      <c r="Y93" s="1543"/>
      <c r="Z93" s="1543"/>
      <c r="AA93" s="1543"/>
      <c r="AB93" s="1543"/>
      <c r="AC93" s="1543"/>
      <c r="AD93" s="1543"/>
      <c r="AE93" s="1543"/>
      <c r="AF93" s="1543"/>
      <c r="AG93" s="1543"/>
      <c r="AH93" s="1543"/>
      <c r="AI93" s="1543"/>
      <c r="AJ93" s="1543"/>
      <c r="AK93" s="1543"/>
      <c r="AL93" s="1543"/>
      <c r="AM93" s="1543"/>
      <c r="AN93" s="1543"/>
      <c r="AO93" s="1543"/>
      <c r="AP93" s="1543"/>
      <c r="AQ93" s="1543"/>
      <c r="AR93" s="1634">
        <v>0</v>
      </c>
    </row>
    <row s="14284" customFormat="1" customHeight="1" ht="17.25" hidden="1">
      <c r="A94" s="605"/>
      <c r="C94" s="493"/>
      <c r="D94" s="2419">
        <v>4</v>
      </c>
      <c r="E94" s="2427" t="s">
        <v>244</v>
      </c>
      <c r="F94" s="2429" t="s">
        <v>19</v>
      </c>
      <c r="G94" s="2427"/>
      <c r="H94" s="2432"/>
      <c r="I94" s="2434"/>
      <c r="J94" s="2436"/>
      <c r="K94" s="2421"/>
      <c r="L94" s="2421"/>
      <c r="M94" s="2421"/>
      <c r="N94" s="2423"/>
      <c r="O94" s="2421"/>
      <c r="P94" s="2421"/>
      <c r="Q94" s="2421"/>
      <c r="R94" s="2426"/>
      <c r="S94" s="2421"/>
      <c r="T94" s="1727"/>
      <c r="U94" s="1727"/>
      <c r="V94" s="1729"/>
      <c r="W94" s="1580"/>
      <c r="X94" s="1551"/>
      <c r="Y94" s="1551"/>
      <c r="Z94" s="1551"/>
      <c r="AA94" s="1551"/>
      <c r="AB94" s="1551"/>
      <c r="AC94" s="1551" t="s">
        <v>245</v>
      </c>
      <c r="AD94" s="1551" t="s">
        <v>246</v>
      </c>
      <c r="AE94" s="1551" t="s">
        <v>247</v>
      </c>
      <c r="AF94" s="1551" t="s">
        <v>248</v>
      </c>
      <c r="AG94" s="1551"/>
      <c r="AH94" s="1551" t="str">
        <f>IF($E$94=0,"",$E$94)</f>
        <v>Тариф на подвоз воды</v>
      </c>
      <c r="AI94" s="1551" t="str">
        <f>IF($G$94=0,"",$G$94)</f>
        <v/>
      </c>
      <c r="AJ94" s="1551" t="str">
        <f>IF($J$94=0,"",$J$94)</f>
        <v/>
      </c>
      <c r="AK94" s="1551" t="str">
        <f>IF($K$94="нет","без дифференциации",IF($N$94=0,"",$N$94))</f>
        <v/>
      </c>
      <c r="AL94" s="1551" t="str">
        <f>IF($O$94="нет","без дифференциации",IF($R$94=0,"",$R$94))</f>
        <v/>
      </c>
      <c r="AM94" s="1551" t="str">
        <f>IF($S$94="нет","без дифференциации",IF($V$94=0,"",$V$94))</f>
        <v/>
      </c>
      <c r="AN94" s="2056">
        <f>$I$94</f>
        <v>0</v>
      </c>
      <c r="AO94" s="1551" t="str">
        <f>$I$94&amp;"."&amp;$M$94</f>
        <v>.</v>
      </c>
      <c r="AP94" s="1543" t="str">
        <f>$I$94&amp;"."&amp;$M$94&amp;"."&amp;$Q$94</f>
        <v>..</v>
      </c>
      <c r="AQ94" s="1543" t="str">
        <f>$I$94&amp;"."&amp;$M$94&amp;"."&amp;$Q$94&amp;"."&amp;$U$94</f>
        <v>...</v>
      </c>
      <c r="AR94" s="1634">
        <v>0</v>
      </c>
    </row>
    <row s="14284" customFormat="1" customHeight="1" ht="17.25" hidden="1">
      <c r="A95" s="605"/>
      <c r="C95" s="604"/>
      <c r="D95" s="2419"/>
      <c r="E95" s="2427"/>
      <c r="F95" s="2430"/>
      <c r="G95" s="2427"/>
      <c r="H95" s="2433"/>
      <c r="I95" s="2435"/>
      <c r="J95" s="2437"/>
      <c r="K95" s="2422"/>
      <c r="L95" s="2422"/>
      <c r="M95" s="2422"/>
      <c r="N95" s="2424"/>
      <c r="O95" s="2422"/>
      <c r="P95" s="2422"/>
      <c r="Q95" s="2422"/>
      <c r="R95" s="2425"/>
      <c r="S95" s="2422"/>
      <c r="T95" s="1581"/>
      <c r="U95" s="1581"/>
      <c r="V95" s="1581"/>
      <c r="W95" s="1582"/>
      <c r="X95" s="1543"/>
      <c r="Y95" s="1543"/>
      <c r="Z95" s="1543"/>
      <c r="AA95" s="1543"/>
      <c r="AB95" s="1543"/>
      <c r="AC95" s="1543"/>
      <c r="AD95" s="1543"/>
      <c r="AE95" s="1543"/>
      <c r="AF95" s="1543"/>
      <c r="AG95" s="1543"/>
      <c r="AH95" s="1543"/>
      <c r="AI95" s="1543"/>
      <c r="AJ95" s="1543"/>
      <c r="AK95" s="1543"/>
      <c r="AL95" s="1543"/>
      <c r="AM95" s="1543"/>
      <c r="AN95" s="1543"/>
      <c r="AO95" s="1543"/>
      <c r="AP95" s="1543"/>
      <c r="AQ95" s="1543"/>
      <c r="AR95" s="1634">
        <v>0</v>
      </c>
    </row>
    <row s="14284" customFormat="1" customHeight="1" ht="17.25" hidden="1">
      <c r="A96" s="605"/>
      <c r="C96" s="604"/>
      <c r="D96" s="2420"/>
      <c r="E96" s="2428"/>
      <c r="F96" s="2430"/>
      <c r="G96" s="2428"/>
      <c r="H96" s="2433"/>
      <c r="I96" s="2435"/>
      <c r="J96" s="2438"/>
      <c r="K96" s="2422"/>
      <c r="L96" s="2422"/>
      <c r="M96" s="2422"/>
      <c r="N96" s="2425"/>
      <c r="O96" s="2422"/>
      <c r="P96" s="1728"/>
      <c r="Q96" s="1581"/>
      <c r="R96" s="1581"/>
      <c r="S96" s="613"/>
      <c r="T96" s="613"/>
      <c r="U96" s="613"/>
      <c r="V96" s="613"/>
      <c r="W96" s="1582"/>
      <c r="X96" s="1543"/>
      <c r="Y96" s="1543"/>
      <c r="Z96" s="1543"/>
      <c r="AA96" s="1543"/>
      <c r="AB96" s="1543"/>
      <c r="AC96" s="1543"/>
      <c r="AD96" s="1543"/>
      <c r="AE96" s="1543"/>
      <c r="AF96" s="1543"/>
      <c r="AG96" s="1543"/>
      <c r="AH96" s="1543"/>
      <c r="AI96" s="1543"/>
      <c r="AJ96" s="1543"/>
      <c r="AK96" s="1543"/>
      <c r="AL96" s="1543"/>
      <c r="AM96" s="1543"/>
      <c r="AN96" s="1543"/>
      <c r="AO96" s="1543"/>
      <c r="AP96" s="1543"/>
      <c r="AQ96" s="1543"/>
      <c r="AR96" s="1634">
        <v>0</v>
      </c>
    </row>
    <row s="14284" customFormat="1" customHeight="1" ht="17.25" hidden="1">
      <c r="A97" s="605"/>
      <c r="C97" s="604"/>
      <c r="D97" s="2420"/>
      <c r="E97" s="2428"/>
      <c r="F97" s="2430"/>
      <c r="G97" s="2428"/>
      <c r="H97" s="2433"/>
      <c r="I97" s="2435"/>
      <c r="J97" s="2438"/>
      <c r="K97" s="2422"/>
      <c r="L97" s="1581"/>
      <c r="M97" s="1581"/>
      <c r="N97" s="1581"/>
      <c r="O97" s="1581"/>
      <c r="P97" s="1581"/>
      <c r="Q97" s="1581"/>
      <c r="R97" s="1581"/>
      <c r="S97" s="613"/>
      <c r="T97" s="613"/>
      <c r="U97" s="613"/>
      <c r="V97" s="613"/>
      <c r="W97" s="1582"/>
      <c r="X97" s="1543"/>
      <c r="Y97" s="1543"/>
      <c r="Z97" s="1543"/>
      <c r="AA97" s="1543"/>
      <c r="AB97" s="1543"/>
      <c r="AC97" s="1543"/>
      <c r="AD97" s="1543"/>
      <c r="AE97" s="1543"/>
      <c r="AF97" s="1543"/>
      <c r="AG97" s="1543"/>
      <c r="AH97" s="1543"/>
      <c r="AI97" s="1543"/>
      <c r="AJ97" s="1543"/>
      <c r="AK97" s="1543"/>
      <c r="AL97" s="1543"/>
      <c r="AM97" s="1543"/>
      <c r="AN97" s="1543"/>
      <c r="AO97" s="1543"/>
      <c r="AP97" s="1543"/>
      <c r="AQ97" s="1543"/>
      <c r="AR97" s="1634">
        <v>0</v>
      </c>
    </row>
    <row s="14284" customFormat="1" customHeight="1" ht="17.25" hidden="1">
      <c r="A98" s="605"/>
      <c r="C98" s="604"/>
      <c r="D98" s="2420"/>
      <c r="E98" s="2428"/>
      <c r="F98" s="2431"/>
      <c r="G98" s="2428"/>
      <c r="H98" s="1583"/>
      <c r="I98" s="1584"/>
      <c r="J98" s="1584"/>
      <c r="K98" s="1584"/>
      <c r="L98" s="1584"/>
      <c r="M98" s="1584"/>
      <c r="N98" s="1584"/>
      <c r="O98" s="1584"/>
      <c r="P98" s="1584"/>
      <c r="Q98" s="1584"/>
      <c r="R98" s="1584"/>
      <c r="S98" s="1585"/>
      <c r="T98" s="1585"/>
      <c r="U98" s="1585"/>
      <c r="V98" s="1585"/>
      <c r="W98" s="1586"/>
      <c r="X98" s="1543"/>
      <c r="Y98" s="1543"/>
      <c r="Z98" s="1543"/>
      <c r="AA98" s="1543"/>
      <c r="AB98" s="1543"/>
      <c r="AC98" s="1543"/>
      <c r="AD98" s="1543"/>
      <c r="AE98" s="1543"/>
      <c r="AF98" s="1543"/>
      <c r="AG98" s="1543"/>
      <c r="AH98" s="1543"/>
      <c r="AI98" s="1543"/>
      <c r="AJ98" s="1543"/>
      <c r="AK98" s="1543"/>
      <c r="AL98" s="1543"/>
      <c r="AM98" s="1543"/>
      <c r="AN98" s="1543"/>
      <c r="AO98" s="1543"/>
      <c r="AP98" s="1543"/>
      <c r="AQ98" s="1543"/>
      <c r="AR98" s="1634">
        <v>0</v>
      </c>
    </row>
    <row s="14284" customFormat="1" customHeight="1" ht="17.25" hidden="1">
      <c r="A99" s="605"/>
      <c r="C99" s="493"/>
      <c r="D99" s="2419">
        <v>5</v>
      </c>
      <c r="E99" s="2427" t="s">
        <v>249</v>
      </c>
      <c r="F99" s="2429" t="s">
        <v>19</v>
      </c>
      <c r="G99" s="2427"/>
      <c r="H99" s="2432"/>
      <c r="I99" s="2434"/>
      <c r="J99" s="2436"/>
      <c r="K99" s="2421"/>
      <c r="L99" s="2421"/>
      <c r="M99" s="2421"/>
      <c r="N99" s="2423"/>
      <c r="O99" s="2421"/>
      <c r="P99" s="2421"/>
      <c r="Q99" s="2421"/>
      <c r="R99" s="2426"/>
      <c r="S99" s="2421"/>
      <c r="T99" s="2227"/>
      <c r="U99" s="2227"/>
      <c r="V99" s="2229"/>
      <c r="W99" s="1580"/>
      <c r="X99" s="1551"/>
      <c r="Y99" s="1551"/>
      <c r="Z99" s="1551"/>
      <c r="AA99" s="1551"/>
      <c r="AB99" s="1551"/>
      <c r="AC99" s="1551" t="s">
        <v>250</v>
      </c>
      <c r="AD99" s="1551" t="s">
        <v>251</v>
      </c>
      <c r="AE99" s="1551" t="s">
        <v>252</v>
      </c>
      <c r="AF99" s="1551" t="s">
        <v>253</v>
      </c>
      <c r="AG99" s="1551"/>
      <c r="AH99" s="1551" t="str">
        <f>IF($E$99=0,"",$E$99)</f>
        <v>Тариф на подключение (технологическое присоединение) к централизованной системе холодного водоснабжения</v>
      </c>
      <c r="AI99" s="1551" t="str">
        <f>IF($G$99=0,"",$G$99)</f>
        <v/>
      </c>
      <c r="AJ99" s="1551" t="str">
        <f>IF($J$99=0,"",$J$99)</f>
        <v/>
      </c>
      <c r="AK99" s="1551" t="str">
        <f>IF($K$99="нет","без дифференциации",IF($N$99=0,"",$N$99))</f>
        <v/>
      </c>
      <c r="AL99" s="1551" t="str">
        <f>IF($O$99="нет","без дифференциации",IF($R$99=0,"",$R$99))</f>
        <v/>
      </c>
      <c r="AM99" s="1551" t="str">
        <f>IF($S$99="нет","без дифференциации",IF($V$99=0,"",$V$99))</f>
        <v/>
      </c>
      <c r="AN99" s="2056">
        <f>$I$99</f>
        <v>0</v>
      </c>
      <c r="AO99" s="1551" t="str">
        <f>$I$99&amp;"."&amp;$M$99</f>
        <v>.</v>
      </c>
      <c r="AP99" s="1550" t="str">
        <f>$I$99&amp;"."&amp;$M$99&amp;"."&amp;$Q$99</f>
        <v>..</v>
      </c>
      <c r="AQ99" s="1550" t="str">
        <f>$I$99&amp;"."&amp;$M$99&amp;"."&amp;$Q$99&amp;"."&amp;$U$99</f>
        <v>...</v>
      </c>
      <c r="AR99" s="1751">
        <v>0</v>
      </c>
    </row>
    <row s="14284" customFormat="1" customHeight="1" ht="17.25" hidden="1">
      <c r="A100" s="605"/>
      <c r="C100" s="604"/>
      <c r="D100" s="2419"/>
      <c r="E100" s="2427"/>
      <c r="F100" s="2430"/>
      <c r="G100" s="2427"/>
      <c r="H100" s="2433"/>
      <c r="I100" s="2435"/>
      <c r="J100" s="2437"/>
      <c r="K100" s="2422"/>
      <c r="L100" s="2422"/>
      <c r="M100" s="2422"/>
      <c r="N100" s="2424"/>
      <c r="O100" s="2422"/>
      <c r="P100" s="2422"/>
      <c r="Q100" s="2422"/>
      <c r="R100" s="2425"/>
      <c r="S100" s="2422"/>
      <c r="T100" s="2232"/>
      <c r="U100" s="2232"/>
      <c r="V100" s="2232"/>
      <c r="W100" s="2233"/>
      <c r="X100" s="1550"/>
      <c r="Y100" s="1550"/>
      <c r="Z100" s="1550"/>
      <c r="AA100" s="1550"/>
      <c r="AB100" s="1550"/>
      <c r="AC100" s="1550"/>
      <c r="AD100" s="1550"/>
      <c r="AE100" s="1550"/>
      <c r="AF100" s="1550"/>
      <c r="AG100" s="1550"/>
      <c r="AH100" s="1550"/>
      <c r="AI100" s="1550"/>
      <c r="AJ100" s="1550"/>
      <c r="AK100" s="1550"/>
      <c r="AL100" s="1550"/>
      <c r="AM100" s="1550"/>
      <c r="AN100" s="1550"/>
      <c r="AO100" s="1550"/>
      <c r="AP100" s="1550"/>
      <c r="AQ100" s="1550"/>
      <c r="AR100" s="1751">
        <v>0</v>
      </c>
    </row>
    <row s="14284" customFormat="1" customHeight="1" ht="17.25" hidden="1">
      <c r="A101" s="605"/>
      <c r="C101" s="604"/>
      <c r="D101" s="2420"/>
      <c r="E101" s="2428"/>
      <c r="F101" s="2430"/>
      <c r="G101" s="2428"/>
      <c r="H101" s="2433"/>
      <c r="I101" s="2435"/>
      <c r="J101" s="2438"/>
      <c r="K101" s="2422"/>
      <c r="L101" s="2422"/>
      <c r="M101" s="2422"/>
      <c r="N101" s="2425"/>
      <c r="O101" s="2422"/>
      <c r="P101" s="2228"/>
      <c r="Q101" s="2232"/>
      <c r="R101" s="2232"/>
      <c r="S101" s="613"/>
      <c r="T101" s="613"/>
      <c r="U101" s="613"/>
      <c r="V101" s="613"/>
      <c r="W101" s="2233"/>
      <c r="X101" s="1550"/>
      <c r="Y101" s="1550"/>
      <c r="Z101" s="1550"/>
      <c r="AA101" s="1550"/>
      <c r="AB101" s="1550"/>
      <c r="AC101" s="1550"/>
      <c r="AD101" s="1550"/>
      <c r="AE101" s="1550"/>
      <c r="AF101" s="1550"/>
      <c r="AG101" s="1550"/>
      <c r="AH101" s="1550"/>
      <c r="AI101" s="1550"/>
      <c r="AJ101" s="1550"/>
      <c r="AK101" s="1550"/>
      <c r="AL101" s="1550"/>
      <c r="AM101" s="1550"/>
      <c r="AN101" s="1550"/>
      <c r="AO101" s="1550"/>
      <c r="AP101" s="1550"/>
      <c r="AQ101" s="1550"/>
      <c r="AR101" s="1751">
        <v>0</v>
      </c>
    </row>
    <row s="14284" customFormat="1" customHeight="1" ht="17.25" hidden="1">
      <c r="A102" s="605"/>
      <c r="C102" s="604"/>
      <c r="D102" s="2420"/>
      <c r="E102" s="2428"/>
      <c r="F102" s="2430"/>
      <c r="G102" s="2428"/>
      <c r="H102" s="2433"/>
      <c r="I102" s="2435"/>
      <c r="J102" s="2438"/>
      <c r="K102" s="2422"/>
      <c r="L102" s="2232"/>
      <c r="M102" s="2232"/>
      <c r="N102" s="2232"/>
      <c r="O102" s="2232"/>
      <c r="P102" s="2232"/>
      <c r="Q102" s="2232"/>
      <c r="R102" s="2232"/>
      <c r="S102" s="613"/>
      <c r="T102" s="613"/>
      <c r="U102" s="613"/>
      <c r="V102" s="613"/>
      <c r="W102" s="2233"/>
      <c r="X102" s="1550"/>
      <c r="Y102" s="1550"/>
      <c r="Z102" s="1550"/>
      <c r="AA102" s="1550"/>
      <c r="AB102" s="1550"/>
      <c r="AC102" s="1550"/>
      <c r="AD102" s="1550"/>
      <c r="AE102" s="1550"/>
      <c r="AF102" s="1550"/>
      <c r="AG102" s="1550"/>
      <c r="AH102" s="1550"/>
      <c r="AI102" s="1550"/>
      <c r="AJ102" s="1550"/>
      <c r="AK102" s="1550"/>
      <c r="AL102" s="1550"/>
      <c r="AM102" s="1550"/>
      <c r="AN102" s="1550"/>
      <c r="AO102" s="1550"/>
      <c r="AP102" s="1550"/>
      <c r="AQ102" s="1550"/>
      <c r="AR102" s="1751">
        <v>0</v>
      </c>
    </row>
    <row s="14284" customFormat="1" customHeight="1" ht="17.25" hidden="1">
      <c r="A103" s="605"/>
      <c r="C103" s="604"/>
      <c r="D103" s="2420"/>
      <c r="E103" s="2428"/>
      <c r="F103" s="2431"/>
      <c r="G103" s="2428"/>
      <c r="H103" s="1583"/>
      <c r="I103" s="2230"/>
      <c r="J103" s="2230"/>
      <c r="K103" s="2230"/>
      <c r="L103" s="2230"/>
      <c r="M103" s="2230"/>
      <c r="N103" s="2230"/>
      <c r="O103" s="2230"/>
      <c r="P103" s="2230"/>
      <c r="Q103" s="2230"/>
      <c r="R103" s="2230"/>
      <c r="S103" s="1585"/>
      <c r="T103" s="1585"/>
      <c r="U103" s="1585"/>
      <c r="V103" s="1585"/>
      <c r="W103" s="2231"/>
      <c r="X103" s="1550"/>
      <c r="Y103" s="1550"/>
      <c r="Z103" s="1550"/>
      <c r="AA103" s="1550"/>
      <c r="AB103" s="1550"/>
      <c r="AC103" s="1550"/>
      <c r="AD103" s="1550"/>
      <c r="AE103" s="1550"/>
      <c r="AF103" s="1550"/>
      <c r="AG103" s="1550"/>
      <c r="AH103" s="1550"/>
      <c r="AI103" s="1550"/>
      <c r="AJ103" s="1550"/>
      <c r="AK103" s="1550"/>
      <c r="AL103" s="1550"/>
      <c r="AM103" s="1550"/>
      <c r="AN103" s="1550"/>
      <c r="AO103" s="1550"/>
      <c r="AP103" s="1550"/>
      <c r="AQ103" s="1550"/>
      <c r="AR103" s="1751">
        <v>0</v>
      </c>
    </row>
    <row s="14284" customFormat="1" customHeight="1" ht="11.25" hidden="1">
      <c r="A104" s="561"/>
      <c r="B104" s="561"/>
      <c r="Y104" s="1543"/>
      <c r="Z104" s="1543"/>
      <c r="AA104" s="1543"/>
      <c r="AB104" s="1543"/>
      <c r="AC104" s="1543"/>
      <c r="AD104" s="1543"/>
      <c r="AE104" s="1543"/>
      <c r="AF104" s="1543"/>
      <c r="AG104" s="1543"/>
      <c r="AH104" s="1543"/>
      <c r="AI104" s="1543"/>
      <c r="AJ104" s="1543"/>
      <c r="AK104" s="1543"/>
      <c r="AL104" s="1543"/>
      <c r="AM104" s="1543"/>
      <c r="AN104" s="1543"/>
      <c r="AO104" s="1543"/>
      <c r="AP104" s="1543"/>
      <c r="AQ104" s="1543"/>
      <c r="AR104" s="1751">
        <v>0</v>
      </c>
    </row>
    <row s="14284" customFormat="1" customHeight="1" ht="17.25" hidden="1">
      <c r="A105" s="605"/>
      <c r="C105" s="493"/>
      <c r="D105" s="2419">
        <v>1</v>
      </c>
      <c r="E105" s="2427" t="s">
        <v>254</v>
      </c>
      <c r="F105" s="2429" t="s">
        <v>19</v>
      </c>
      <c r="G105" s="2427"/>
      <c r="H105" s="2432"/>
      <c r="I105" s="2434"/>
      <c r="J105" s="2436"/>
      <c r="K105" s="2421"/>
      <c r="L105" s="2421"/>
      <c r="M105" s="2421"/>
      <c r="N105" s="2423"/>
      <c r="O105" s="2421"/>
      <c r="P105" s="2421"/>
      <c r="Q105" s="2421"/>
      <c r="R105" s="2426"/>
      <c r="S105" s="2421"/>
      <c r="T105" s="1754"/>
      <c r="U105" s="1754"/>
      <c r="V105" s="1756"/>
      <c r="W105" s="1580"/>
      <c r="Y105" s="1551"/>
      <c r="Z105" s="1551"/>
      <c r="AA105" s="1551"/>
      <c r="AB105" s="1551"/>
      <c r="AC105" s="1551" t="s">
        <v>255</v>
      </c>
      <c r="AD105" s="1551" t="s">
        <v>256</v>
      </c>
      <c r="AE105" s="1551" t="s">
        <v>257</v>
      </c>
      <c r="AF105" s="1551" t="s">
        <v>258</v>
      </c>
      <c r="AG105" s="1551"/>
      <c r="AH105" s="1551" t="str">
        <f>IF($E$105=0,"",$E$105)</f>
        <v>Тариф на горячую воду (горячее водоснабжение)</v>
      </c>
      <c r="AI105" s="1551" t="str">
        <f>IF($G$105=0,"",$G$105)</f>
        <v/>
      </c>
      <c r="AJ105" s="1551" t="str">
        <f>IF($J$105=0,"",$J$105)</f>
        <v/>
      </c>
      <c r="AK105" s="1551" t="str">
        <f>IF($K$105="нет","без дифференциации",IF($N$105=0,"",$N$105))</f>
        <v/>
      </c>
      <c r="AL105" s="1551" t="str">
        <f>IF($O$105="нет","без дифференциации",IF($R$105=0,"",$R$105))</f>
        <v/>
      </c>
      <c r="AM105" s="1551" t="str">
        <f>IF($S$105="нет","без дифференциации",IF($V$105=0,"",$V$105))</f>
        <v/>
      </c>
      <c r="AN105" s="1551">
        <f>$I$105</f>
        <v>0</v>
      </c>
      <c r="AO105" s="1551" t="str">
        <f>$I$105&amp;"."&amp;$M$105</f>
        <v>.</v>
      </c>
      <c r="AP105" s="1551" t="str">
        <f>$I$105&amp;"."&amp;$M$105&amp;"."&amp;$Q$105</f>
        <v>..</v>
      </c>
      <c r="AQ105" s="1551" t="str">
        <f>$I$105&amp;"."&amp;$M$105&amp;"."&amp;$Q$105&amp;"."&amp;$U$105</f>
        <v>...</v>
      </c>
      <c r="AR105" s="1751">
        <v>0</v>
      </c>
    </row>
    <row s="14284" customFormat="1" customHeight="1" ht="17.25" hidden="1">
      <c r="A106" s="605"/>
      <c r="C106" s="604"/>
      <c r="D106" s="2419"/>
      <c r="E106" s="2427"/>
      <c r="F106" s="2430"/>
      <c r="G106" s="2427"/>
      <c r="H106" s="2433"/>
      <c r="I106" s="2435"/>
      <c r="J106" s="2437"/>
      <c r="K106" s="2422"/>
      <c r="L106" s="2422"/>
      <c r="M106" s="2422"/>
      <c r="N106" s="2424"/>
      <c r="O106" s="2422"/>
      <c r="P106" s="2422"/>
      <c r="Q106" s="2422"/>
      <c r="R106" s="2425"/>
      <c r="S106" s="2422"/>
      <c r="T106" s="1581"/>
      <c r="U106" s="1581"/>
      <c r="V106" s="1581"/>
      <c r="W106" s="1582"/>
      <c r="Y106" s="1543"/>
      <c r="Z106" s="1543"/>
      <c r="AA106" s="1543"/>
      <c r="AB106" s="1543"/>
      <c r="AC106" s="1543"/>
      <c r="AD106" s="1543"/>
      <c r="AE106" s="1543"/>
      <c r="AF106" s="1543"/>
      <c r="AG106" s="1543"/>
      <c r="AH106" s="1543"/>
      <c r="AI106" s="1543"/>
      <c r="AJ106" s="1543"/>
      <c r="AK106" s="1543"/>
      <c r="AL106" s="1543"/>
      <c r="AM106" s="1543"/>
      <c r="AN106" s="1543"/>
      <c r="AO106" s="1543"/>
      <c r="AP106" s="1543"/>
      <c r="AQ106" s="1543"/>
      <c r="AR106" s="1751">
        <v>0</v>
      </c>
    </row>
    <row s="14284" customFormat="1" customHeight="1" ht="17.25" hidden="1">
      <c r="A107" s="605"/>
      <c r="C107" s="493"/>
      <c r="D107" s="2419"/>
      <c r="E107" s="2427"/>
      <c r="F107" s="2430"/>
      <c r="G107" s="2427"/>
      <c r="H107" s="2433"/>
      <c r="I107" s="2435"/>
      <c r="J107" s="2438"/>
      <c r="K107" s="2422"/>
      <c r="L107" s="2422"/>
      <c r="M107" s="2422"/>
      <c r="N107" s="2425"/>
      <c r="O107" s="2422"/>
      <c r="P107" s="1755"/>
      <c r="Q107" s="1581"/>
      <c r="R107" s="1581"/>
      <c r="S107" s="613"/>
      <c r="T107" s="613"/>
      <c r="U107" s="613"/>
      <c r="V107" s="613"/>
      <c r="W107" s="1582"/>
      <c r="Y107" s="1551"/>
      <c r="Z107" s="1551"/>
      <c r="AA107" s="1551"/>
      <c r="AB107" s="1551"/>
      <c r="AC107" s="1551"/>
      <c r="AD107" s="1551"/>
      <c r="AE107" s="1551"/>
      <c r="AF107" s="1551"/>
      <c r="AG107" s="1551"/>
      <c r="AH107" s="1551"/>
      <c r="AI107" s="1551"/>
      <c r="AJ107" s="1551"/>
      <c r="AK107" s="1551"/>
      <c r="AL107" s="1551"/>
      <c r="AM107" s="1551"/>
      <c r="AN107" s="1551"/>
      <c r="AO107" s="1551"/>
      <c r="AP107" s="1551"/>
      <c r="AQ107" s="1551"/>
      <c r="AR107" s="1751">
        <v>0</v>
      </c>
    </row>
    <row s="14284" customFormat="1" customHeight="1" ht="17.25" hidden="1">
      <c r="A108" s="605"/>
      <c r="C108" s="604"/>
      <c r="D108" s="2419"/>
      <c r="E108" s="2427"/>
      <c r="F108" s="2430"/>
      <c r="G108" s="2427"/>
      <c r="H108" s="2433"/>
      <c r="I108" s="2435"/>
      <c r="J108" s="2438"/>
      <c r="K108" s="2422"/>
      <c r="L108" s="1581"/>
      <c r="M108" s="1581"/>
      <c r="N108" s="1581"/>
      <c r="O108" s="1581"/>
      <c r="P108" s="1581"/>
      <c r="Q108" s="1581"/>
      <c r="R108" s="1581"/>
      <c r="S108" s="613"/>
      <c r="T108" s="613"/>
      <c r="U108" s="613"/>
      <c r="V108" s="613"/>
      <c r="W108" s="1582"/>
      <c r="Y108" s="1543"/>
      <c r="Z108" s="1543"/>
      <c r="AA108" s="1543"/>
      <c r="AB108" s="1543"/>
      <c r="AC108" s="1543"/>
      <c r="AD108" s="1543"/>
      <c r="AE108" s="1543"/>
      <c r="AF108" s="1543"/>
      <c r="AG108" s="1543"/>
      <c r="AH108" s="1543"/>
      <c r="AI108" s="1543"/>
      <c r="AJ108" s="1543"/>
      <c r="AK108" s="1543"/>
      <c r="AL108" s="1543"/>
      <c r="AM108" s="1543"/>
      <c r="AN108" s="1543"/>
      <c r="AO108" s="1543"/>
      <c r="AP108" s="1543"/>
      <c r="AQ108" s="1543"/>
      <c r="AR108" s="1751">
        <v>0</v>
      </c>
    </row>
    <row s="14284" customFormat="1" customHeight="1" ht="17.25" hidden="1">
      <c r="A109" s="605"/>
      <c r="C109" s="604"/>
      <c r="D109" s="2420"/>
      <c r="E109" s="2428"/>
      <c r="F109" s="2431"/>
      <c r="G109" s="2428"/>
      <c r="H109" s="1583"/>
      <c r="I109" s="1584"/>
      <c r="J109" s="1584"/>
      <c r="K109" s="1584"/>
      <c r="L109" s="1584"/>
      <c r="M109" s="1584"/>
      <c r="N109" s="1584"/>
      <c r="O109" s="1584"/>
      <c r="P109" s="1584"/>
      <c r="Q109" s="1584"/>
      <c r="R109" s="1584"/>
      <c r="S109" s="1585"/>
      <c r="T109" s="1585"/>
      <c r="U109" s="1585"/>
      <c r="V109" s="1585"/>
      <c r="W109" s="1586"/>
      <c r="Y109" s="1543"/>
      <c r="Z109" s="1543"/>
      <c r="AA109" s="1543"/>
      <c r="AB109" s="1543"/>
      <c r="AC109" s="1543"/>
      <c r="AD109" s="1543"/>
      <c r="AE109" s="1543"/>
      <c r="AF109" s="1543"/>
      <c r="AG109" s="1543"/>
      <c r="AH109" s="1543"/>
      <c r="AI109" s="1543"/>
      <c r="AJ109" s="1543"/>
      <c r="AK109" s="1543"/>
      <c r="AL109" s="1543"/>
      <c r="AM109" s="1543"/>
      <c r="AN109" s="1543"/>
      <c r="AO109" s="1543"/>
      <c r="AP109" s="1543"/>
      <c r="AQ109" s="1543"/>
      <c r="AR109" s="1751">
        <v>0</v>
      </c>
    </row>
    <row s="14284" customFormat="1" customHeight="1" ht="17.25" hidden="1">
      <c r="A110" s="605"/>
      <c r="C110" s="493"/>
      <c r="D110" s="2419">
        <v>2</v>
      </c>
      <c r="E110" s="2427" t="s">
        <v>259</v>
      </c>
      <c r="F110" s="2429" t="s">
        <v>19</v>
      </c>
      <c r="G110" s="2427"/>
      <c r="H110" s="2432"/>
      <c r="I110" s="2434"/>
      <c r="J110" s="2436"/>
      <c r="K110" s="2421"/>
      <c r="L110" s="2421"/>
      <c r="M110" s="2421"/>
      <c r="N110" s="2423"/>
      <c r="O110" s="2421"/>
      <c r="P110" s="2421"/>
      <c r="Q110" s="2421"/>
      <c r="R110" s="2426"/>
      <c r="S110" s="2421"/>
      <c r="T110" s="1754"/>
      <c r="U110" s="1754"/>
      <c r="V110" s="1756"/>
      <c r="W110" s="1580"/>
      <c r="X110" s="1551"/>
      <c r="Y110" s="1551"/>
      <c r="Z110" s="1551"/>
      <c r="AA110" s="1551"/>
      <c r="AB110" s="1551"/>
      <c r="AC110" s="1551" t="s">
        <v>260</v>
      </c>
      <c r="AD110" s="1551" t="s">
        <v>261</v>
      </c>
      <c r="AE110" s="1551" t="s">
        <v>262</v>
      </c>
      <c r="AF110" s="1551" t="s">
        <v>263</v>
      </c>
      <c r="AG110" s="1551"/>
      <c r="AH110" s="1551" t="str">
        <f>IF($E$110=0,"",$E$110)</f>
        <v>Тариф на транспортировку горячей воды</v>
      </c>
      <c r="AI110" s="1551" t="str">
        <f>IF($G$110=0,"",$G$110)</f>
        <v/>
      </c>
      <c r="AJ110" s="1551" t="str">
        <f>IF($J$110=0,"",$J$110)</f>
        <v/>
      </c>
      <c r="AK110" s="1551" t="str">
        <f>IF($K$110="нет","без дифференциации",IF($N$110=0,"",$N$110))</f>
        <v/>
      </c>
      <c r="AL110" s="1551" t="str">
        <f>IF($O$110="нет","без дифференциации",IF($R$110=0,"",$R$110))</f>
        <v/>
      </c>
      <c r="AM110" s="1551" t="str">
        <f>IF($S$110="нет","без дифференциации",IF($V$110=0,"",$V$110))</f>
        <v/>
      </c>
      <c r="AN110" s="2056">
        <f>$I$110</f>
        <v>0</v>
      </c>
      <c r="AO110" s="1551" t="str">
        <f>$I$110&amp;"."&amp;$M$110</f>
        <v>.</v>
      </c>
      <c r="AP110" s="1543" t="str">
        <f>$I$110&amp;"."&amp;$M$110&amp;"."&amp;$Q$110</f>
        <v>..</v>
      </c>
      <c r="AQ110" s="1543" t="str">
        <f>$I$110&amp;"."&amp;$M$110&amp;"."&amp;$Q$110&amp;"."&amp;$U$110</f>
        <v>...</v>
      </c>
      <c r="AR110" s="1751">
        <v>0</v>
      </c>
    </row>
    <row s="14284" customFormat="1" customHeight="1" ht="17.25" hidden="1">
      <c r="A111" s="605"/>
      <c r="C111" s="604"/>
      <c r="D111" s="2419"/>
      <c r="E111" s="2427"/>
      <c r="F111" s="2430"/>
      <c r="G111" s="2427"/>
      <c r="H111" s="2433"/>
      <c r="I111" s="2435"/>
      <c r="J111" s="2437"/>
      <c r="K111" s="2422"/>
      <c r="L111" s="2422"/>
      <c r="M111" s="2422"/>
      <c r="N111" s="2424"/>
      <c r="O111" s="2422"/>
      <c r="P111" s="2422"/>
      <c r="Q111" s="2422"/>
      <c r="R111" s="2425"/>
      <c r="S111" s="2422"/>
      <c r="T111" s="1581"/>
      <c r="U111" s="1581"/>
      <c r="V111" s="1581"/>
      <c r="W111" s="1582"/>
      <c r="X111" s="1543"/>
      <c r="Y111" s="1543"/>
      <c r="Z111" s="1543"/>
      <c r="AA111" s="1543"/>
      <c r="AB111" s="1543"/>
      <c r="AC111" s="1543"/>
      <c r="AD111" s="1543"/>
      <c r="AE111" s="1543"/>
      <c r="AF111" s="1543"/>
      <c r="AG111" s="1543"/>
      <c r="AH111" s="1543"/>
      <c r="AI111" s="1543"/>
      <c r="AJ111" s="1543"/>
      <c r="AK111" s="1543"/>
      <c r="AL111" s="1543"/>
      <c r="AM111" s="1543"/>
      <c r="AN111" s="1543"/>
      <c r="AO111" s="1543"/>
      <c r="AP111" s="1543"/>
      <c r="AQ111" s="1543"/>
      <c r="AR111" s="1751">
        <v>0</v>
      </c>
    </row>
    <row s="14284" customFormat="1" customHeight="1" ht="17.25" hidden="1">
      <c r="A112" s="605"/>
      <c r="C112" s="604"/>
      <c r="D112" s="2420"/>
      <c r="E112" s="2428"/>
      <c r="F112" s="2430"/>
      <c r="G112" s="2428"/>
      <c r="H112" s="2433"/>
      <c r="I112" s="2435"/>
      <c r="J112" s="2438"/>
      <c r="K112" s="2422"/>
      <c r="L112" s="2422"/>
      <c r="M112" s="2422"/>
      <c r="N112" s="2425"/>
      <c r="O112" s="2422"/>
      <c r="P112" s="1755"/>
      <c r="Q112" s="1581"/>
      <c r="R112" s="1581"/>
      <c r="S112" s="613"/>
      <c r="T112" s="613"/>
      <c r="U112" s="613"/>
      <c r="V112" s="613"/>
      <c r="W112" s="1582"/>
      <c r="X112" s="1543"/>
      <c r="Y112" s="1543"/>
      <c r="Z112" s="1543"/>
      <c r="AA112" s="1543"/>
      <c r="AB112" s="1543"/>
      <c r="AC112" s="1543"/>
      <c r="AD112" s="1543"/>
      <c r="AE112" s="1543"/>
      <c r="AF112" s="1543"/>
      <c r="AG112" s="1543"/>
      <c r="AH112" s="1543"/>
      <c r="AI112" s="1543"/>
      <c r="AJ112" s="1543"/>
      <c r="AK112" s="1543"/>
      <c r="AL112" s="1543"/>
      <c r="AM112" s="1543"/>
      <c r="AN112" s="1543"/>
      <c r="AO112" s="1543"/>
      <c r="AP112" s="1543"/>
      <c r="AQ112" s="1543"/>
      <c r="AR112" s="1751">
        <v>0</v>
      </c>
    </row>
    <row s="14284" customFormat="1" customHeight="1" ht="17.25" hidden="1">
      <c r="A113" s="605"/>
      <c r="C113" s="604"/>
      <c r="D113" s="2420"/>
      <c r="E113" s="2428"/>
      <c r="F113" s="2430"/>
      <c r="G113" s="2428"/>
      <c r="H113" s="2433"/>
      <c r="I113" s="2435"/>
      <c r="J113" s="2438"/>
      <c r="K113" s="2422"/>
      <c r="L113" s="1581"/>
      <c r="M113" s="1581"/>
      <c r="N113" s="1581"/>
      <c r="O113" s="1581"/>
      <c r="P113" s="1581"/>
      <c r="Q113" s="1581"/>
      <c r="R113" s="1581"/>
      <c r="S113" s="613"/>
      <c r="T113" s="613"/>
      <c r="U113" s="613"/>
      <c r="V113" s="613"/>
      <c r="W113" s="1582"/>
      <c r="X113" s="1543"/>
      <c r="Y113" s="1543"/>
      <c r="Z113" s="1543"/>
      <c r="AA113" s="1543"/>
      <c r="AB113" s="1543"/>
      <c r="AC113" s="1543"/>
      <c r="AD113" s="1543"/>
      <c r="AE113" s="1543"/>
      <c r="AF113" s="1543"/>
      <c r="AG113" s="1543"/>
      <c r="AH113" s="1543"/>
      <c r="AI113" s="1543"/>
      <c r="AJ113" s="1543"/>
      <c r="AK113" s="1543"/>
      <c r="AL113" s="1543"/>
      <c r="AM113" s="1543"/>
      <c r="AN113" s="1543"/>
      <c r="AO113" s="1543"/>
      <c r="AP113" s="1543"/>
      <c r="AQ113" s="1543"/>
      <c r="AR113" s="1751">
        <v>0</v>
      </c>
    </row>
    <row s="14284" customFormat="1" customHeight="1" ht="17.25" hidden="1">
      <c r="A114" s="605"/>
      <c r="C114" s="604"/>
      <c r="D114" s="2420"/>
      <c r="E114" s="2428"/>
      <c r="F114" s="2431"/>
      <c r="G114" s="2428"/>
      <c r="H114" s="1583"/>
      <c r="I114" s="1584"/>
      <c r="J114" s="1584"/>
      <c r="K114" s="1584"/>
      <c r="L114" s="1584"/>
      <c r="M114" s="1584"/>
      <c r="N114" s="1584"/>
      <c r="O114" s="1584"/>
      <c r="P114" s="1584"/>
      <c r="Q114" s="1584"/>
      <c r="R114" s="1584"/>
      <c r="S114" s="1585"/>
      <c r="T114" s="1585"/>
      <c r="U114" s="1585"/>
      <c r="V114" s="1585"/>
      <c r="W114" s="1586"/>
      <c r="X114" s="1543"/>
      <c r="Y114" s="1543"/>
      <c r="Z114" s="1543"/>
      <c r="AA114" s="1543"/>
      <c r="AB114" s="1543"/>
      <c r="AC114" s="1543"/>
      <c r="AD114" s="1543"/>
      <c r="AE114" s="1543"/>
      <c r="AF114" s="1543"/>
      <c r="AG114" s="1543"/>
      <c r="AH114" s="1543"/>
      <c r="AI114" s="1543"/>
      <c r="AJ114" s="1543"/>
      <c r="AK114" s="1543"/>
      <c r="AL114" s="1543"/>
      <c r="AM114" s="1543"/>
      <c r="AN114" s="1543"/>
      <c r="AO114" s="1543"/>
      <c r="AP114" s="1543"/>
      <c r="AQ114" s="1543"/>
      <c r="AR114" s="1751">
        <v>0</v>
      </c>
    </row>
    <row s="14284" customFormat="1" customHeight="1" ht="17.25" hidden="1">
      <c r="A115" s="605"/>
      <c r="C115" s="493"/>
      <c r="D115" s="2419">
        <v>3</v>
      </c>
      <c r="E115" s="2427" t="s">
        <v>264</v>
      </c>
      <c r="F115" s="2429" t="s">
        <v>19</v>
      </c>
      <c r="G115" s="2427"/>
      <c r="H115" s="2432"/>
      <c r="I115" s="2434"/>
      <c r="J115" s="2436"/>
      <c r="K115" s="2421"/>
      <c r="L115" s="2421"/>
      <c r="M115" s="2421"/>
      <c r="N115" s="2423"/>
      <c r="O115" s="2421"/>
      <c r="P115" s="2421"/>
      <c r="Q115" s="2421"/>
      <c r="R115" s="2426"/>
      <c r="S115" s="2421"/>
      <c r="T115" s="2227"/>
      <c r="U115" s="2227"/>
      <c r="V115" s="2229"/>
      <c r="W115" s="1580"/>
      <c r="X115" s="1551"/>
      <c r="Y115" s="1551"/>
      <c r="Z115" s="1551"/>
      <c r="AA115" s="1551"/>
      <c r="AB115" s="1551"/>
      <c r="AC115" s="1551" t="s">
        <v>265</v>
      </c>
      <c r="AD115" s="1551" t="s">
        <v>266</v>
      </c>
      <c r="AE115" s="1551" t="s">
        <v>267</v>
      </c>
      <c r="AF115" s="1551" t="s">
        <v>268</v>
      </c>
      <c r="AG115" s="1551"/>
      <c r="AH115" s="1551" t="str">
        <f>IF($E$115=0,"",$E$115)</f>
        <v>Тариф на подключение (технологическое присоединение) к централизованной системе горячего водоснабжения</v>
      </c>
      <c r="AI115" s="1551" t="str">
        <f>IF($G$115=0,"",$G$115)</f>
        <v/>
      </c>
      <c r="AJ115" s="1551" t="str">
        <f>IF($J$115=0,"",$J$115)</f>
        <v/>
      </c>
      <c r="AK115" s="1551" t="str">
        <f>IF($K$115="нет","без дифференциации",IF($N$115=0,"",$N$115))</f>
        <v/>
      </c>
      <c r="AL115" s="1551" t="str">
        <f>IF($O$115="нет","без дифференциации",IF($R$115=0,"",$R$115))</f>
        <v/>
      </c>
      <c r="AM115" s="1551" t="str">
        <f>IF($S$115="нет","без дифференциации",IF($V$115=0,"",$V$115))</f>
        <v/>
      </c>
      <c r="AN115" s="2056">
        <f>$I$115</f>
        <v>0</v>
      </c>
      <c r="AO115" s="1551" t="str">
        <f>$I$115&amp;"."&amp;$M$115</f>
        <v>.</v>
      </c>
      <c r="AP115" s="1550" t="str">
        <f>$I$115&amp;"."&amp;$M$115&amp;"."&amp;$Q$115</f>
        <v>..</v>
      </c>
      <c r="AQ115" s="1550" t="str">
        <f>$I$115&amp;"."&amp;$M$115&amp;"."&amp;$Q$115&amp;"."&amp;$U$115</f>
        <v>...</v>
      </c>
      <c r="AR115" s="1751">
        <v>0</v>
      </c>
    </row>
    <row s="14284" customFormat="1" customHeight="1" ht="17.25" hidden="1">
      <c r="A116" s="605"/>
      <c r="C116" s="604"/>
      <c r="D116" s="2419"/>
      <c r="E116" s="2427"/>
      <c r="F116" s="2430"/>
      <c r="G116" s="2427"/>
      <c r="H116" s="2433"/>
      <c r="I116" s="2435"/>
      <c r="J116" s="2437"/>
      <c r="K116" s="2422"/>
      <c r="L116" s="2422"/>
      <c r="M116" s="2422"/>
      <c r="N116" s="2424"/>
      <c r="O116" s="2422"/>
      <c r="P116" s="2422"/>
      <c r="Q116" s="2422"/>
      <c r="R116" s="2425"/>
      <c r="S116" s="2422"/>
      <c r="T116" s="2232"/>
      <c r="U116" s="2232"/>
      <c r="V116" s="2232"/>
      <c r="W116" s="2233"/>
      <c r="X116" s="1550"/>
      <c r="Y116" s="1550"/>
      <c r="Z116" s="1550"/>
      <c r="AA116" s="1550"/>
      <c r="AB116" s="1550"/>
      <c r="AC116" s="1550"/>
      <c r="AD116" s="1550"/>
      <c r="AE116" s="1550"/>
      <c r="AF116" s="1550"/>
      <c r="AG116" s="1550"/>
      <c r="AH116" s="1550"/>
      <c r="AI116" s="1550"/>
      <c r="AJ116" s="1550"/>
      <c r="AK116" s="1550"/>
      <c r="AL116" s="1550"/>
      <c r="AM116" s="1550"/>
      <c r="AN116" s="1550"/>
      <c r="AO116" s="1550"/>
      <c r="AP116" s="1550"/>
      <c r="AQ116" s="1550"/>
      <c r="AR116" s="1751">
        <v>0</v>
      </c>
    </row>
    <row s="14284" customFormat="1" customHeight="1" ht="17.25" hidden="1">
      <c r="A117" s="605"/>
      <c r="C117" s="604"/>
      <c r="D117" s="2420"/>
      <c r="E117" s="2428"/>
      <c r="F117" s="2430"/>
      <c r="G117" s="2428"/>
      <c r="H117" s="2433"/>
      <c r="I117" s="2435"/>
      <c r="J117" s="2438"/>
      <c r="K117" s="2422"/>
      <c r="L117" s="2422"/>
      <c r="M117" s="2422"/>
      <c r="N117" s="2425"/>
      <c r="O117" s="2422"/>
      <c r="P117" s="2228"/>
      <c r="Q117" s="2232"/>
      <c r="R117" s="2232"/>
      <c r="S117" s="613"/>
      <c r="T117" s="613"/>
      <c r="U117" s="613"/>
      <c r="V117" s="613"/>
      <c r="W117" s="2233"/>
      <c r="X117" s="1550"/>
      <c r="Y117" s="1550"/>
      <c r="Z117" s="1550"/>
      <c r="AA117" s="1550"/>
      <c r="AB117" s="1550"/>
      <c r="AC117" s="1550"/>
      <c r="AD117" s="1550"/>
      <c r="AE117" s="1550"/>
      <c r="AF117" s="1550"/>
      <c r="AG117" s="1550"/>
      <c r="AH117" s="1550"/>
      <c r="AI117" s="1550"/>
      <c r="AJ117" s="1550"/>
      <c r="AK117" s="1550"/>
      <c r="AL117" s="1550"/>
      <c r="AM117" s="1550"/>
      <c r="AN117" s="1550"/>
      <c r="AO117" s="1550"/>
      <c r="AP117" s="1550"/>
      <c r="AQ117" s="1550"/>
      <c r="AR117" s="1751">
        <v>0</v>
      </c>
    </row>
    <row s="14284" customFormat="1" customHeight="1" ht="17.25" hidden="1">
      <c r="A118" s="605"/>
      <c r="C118" s="604"/>
      <c r="D118" s="2420"/>
      <c r="E118" s="2428"/>
      <c r="F118" s="2430"/>
      <c r="G118" s="2428"/>
      <c r="H118" s="2433"/>
      <c r="I118" s="2435"/>
      <c r="J118" s="2438"/>
      <c r="K118" s="2422"/>
      <c r="L118" s="2232"/>
      <c r="M118" s="2232"/>
      <c r="N118" s="2232"/>
      <c r="O118" s="2232"/>
      <c r="P118" s="2232"/>
      <c r="Q118" s="2232"/>
      <c r="R118" s="2232"/>
      <c r="S118" s="613"/>
      <c r="T118" s="613"/>
      <c r="U118" s="613"/>
      <c r="V118" s="613"/>
      <c r="W118" s="2233"/>
      <c r="X118" s="1550"/>
      <c r="Y118" s="1550"/>
      <c r="Z118" s="1550"/>
      <c r="AA118" s="1550"/>
      <c r="AB118" s="1550"/>
      <c r="AC118" s="1550"/>
      <c r="AD118" s="1550"/>
      <c r="AE118" s="1550"/>
      <c r="AF118" s="1550"/>
      <c r="AG118" s="1550"/>
      <c r="AH118" s="1550"/>
      <c r="AI118" s="1550"/>
      <c r="AJ118" s="1550"/>
      <c r="AK118" s="1550"/>
      <c r="AL118" s="1550"/>
      <c r="AM118" s="1550"/>
      <c r="AN118" s="1550"/>
      <c r="AO118" s="1550"/>
      <c r="AP118" s="1550"/>
      <c r="AQ118" s="1550"/>
      <c r="AR118" s="1751">
        <v>0</v>
      </c>
    </row>
    <row s="14284" customFormat="1" customHeight="1" ht="17.25" hidden="1">
      <c r="A119" s="605"/>
      <c r="C119" s="604"/>
      <c r="D119" s="2420"/>
      <c r="E119" s="2428"/>
      <c r="F119" s="2431"/>
      <c r="G119" s="2428"/>
      <c r="H119" s="1583"/>
      <c r="I119" s="2230"/>
      <c r="J119" s="2230"/>
      <c r="K119" s="2230"/>
      <c r="L119" s="2230"/>
      <c r="M119" s="2230"/>
      <c r="N119" s="2230"/>
      <c r="O119" s="2230"/>
      <c r="P119" s="2230"/>
      <c r="Q119" s="2230"/>
      <c r="R119" s="2230"/>
      <c r="S119" s="1585"/>
      <c r="T119" s="1585"/>
      <c r="U119" s="1585"/>
      <c r="V119" s="1585"/>
      <c r="W119" s="2231"/>
      <c r="X119" s="1550"/>
      <c r="Y119" s="1550"/>
      <c r="Z119" s="1550"/>
      <c r="AA119" s="1550"/>
      <c r="AB119" s="1550"/>
      <c r="AC119" s="1550"/>
      <c r="AD119" s="1550"/>
      <c r="AE119" s="1550"/>
      <c r="AF119" s="1550"/>
      <c r="AG119" s="1550"/>
      <c r="AH119" s="1550"/>
      <c r="AI119" s="1550"/>
      <c r="AJ119" s="1550"/>
      <c r="AK119" s="1550"/>
      <c r="AL119" s="1550"/>
      <c r="AM119" s="1550"/>
      <c r="AN119" s="1550"/>
      <c r="AO119" s="1550"/>
      <c r="AP119" s="1550"/>
      <c r="AQ119" s="1550"/>
      <c r="AR119" s="1751">
        <v>0</v>
      </c>
    </row>
    <row s="14284" customFormat="1" customHeight="1" ht="11.25" hidden="1">
      <c r="A120" s="561"/>
      <c r="B120" s="561"/>
      <c r="Y120" s="1543"/>
      <c r="Z120" s="1543"/>
      <c r="AA120" s="1543"/>
      <c r="AB120" s="1543"/>
      <c r="AC120" s="1543"/>
      <c r="AD120" s="1543"/>
      <c r="AE120" s="1543"/>
      <c r="AF120" s="1543"/>
      <c r="AG120" s="1543"/>
      <c r="AH120" s="1543"/>
      <c r="AI120" s="1543"/>
      <c r="AJ120" s="1543"/>
      <c r="AK120" s="1543"/>
      <c r="AL120" s="1543"/>
      <c r="AM120" s="1543"/>
      <c r="AN120" s="1543"/>
      <c r="AO120" s="1543"/>
      <c r="AP120" s="1543"/>
      <c r="AQ120" s="1543"/>
      <c r="AR120" s="1751">
        <v>0</v>
      </c>
    </row>
    <row s="14284" customFormat="1" customHeight="1" ht="17.25" hidden="1">
      <c r="A121" s="605"/>
      <c r="C121" s="493"/>
      <c r="D121" s="2419">
        <v>1</v>
      </c>
      <c r="E121" s="2427" t="s">
        <v>269</v>
      </c>
      <c r="F121" s="2429" t="s">
        <v>19</v>
      </c>
      <c r="G121" s="2427"/>
      <c r="H121" s="2432"/>
      <c r="I121" s="2434"/>
      <c r="J121" s="2436"/>
      <c r="K121" s="2421"/>
      <c r="L121" s="2421"/>
      <c r="M121" s="2421"/>
      <c r="N121" s="2423"/>
      <c r="O121" s="2421"/>
      <c r="P121" s="2421"/>
      <c r="Q121" s="2421"/>
      <c r="R121" s="2426"/>
      <c r="S121" s="2421"/>
      <c r="T121" s="1754"/>
      <c r="U121" s="1754"/>
      <c r="V121" s="1756"/>
      <c r="W121" s="1580"/>
      <c r="Y121" s="1551"/>
      <c r="Z121" s="1551"/>
      <c r="AA121" s="1551"/>
      <c r="AB121" s="1551"/>
      <c r="AC121" s="1551" t="s">
        <v>270</v>
      </c>
      <c r="AD121" s="1551" t="s">
        <v>271</v>
      </c>
      <c r="AE121" s="1551" t="s">
        <v>272</v>
      </c>
      <c r="AF121" s="1551" t="s">
        <v>273</v>
      </c>
      <c r="AG121" s="1551"/>
      <c r="AH121" s="1551" t="str">
        <f>IF($E$121=0,"",$E$121)</f>
        <v>Тариф на водоотведение</v>
      </c>
      <c r="AI121" s="1551" t="str">
        <f>IF($G$121=0,"",$G$121)</f>
        <v/>
      </c>
      <c r="AJ121" s="1551" t="str">
        <f>IF($J$121=0,"",$J$121)</f>
        <v/>
      </c>
      <c r="AK121" s="1551" t="str">
        <f>IF($K$121="нет","без дифференциации",IF($N$121=0,"",$N$121))</f>
        <v/>
      </c>
      <c r="AL121" s="1551" t="str">
        <f>IF($O$121="нет","без дифференциации",IF($R$121=0,"",$R$121))</f>
        <v/>
      </c>
      <c r="AM121" s="1551" t="str">
        <f>IF($S$121="нет","без дифференциации",IF($V$121=0,"",$V$121))</f>
        <v/>
      </c>
      <c r="AN121" s="1551">
        <f>$I$121</f>
        <v>0</v>
      </c>
      <c r="AO121" s="1551" t="str">
        <f>$I$121&amp;"."&amp;$M$121</f>
        <v>.</v>
      </c>
      <c r="AP121" s="1551" t="str">
        <f>$I$121&amp;"."&amp;$M$121&amp;"."&amp;$Q$121</f>
        <v>..</v>
      </c>
      <c r="AQ121" s="1551" t="str">
        <f>$I$121&amp;"."&amp;$M$121&amp;"."&amp;$Q$121&amp;"."&amp;$U$121</f>
        <v>...</v>
      </c>
      <c r="AR121" s="1751">
        <v>0</v>
      </c>
    </row>
    <row s="14284" customFormat="1" customHeight="1" ht="17.25" hidden="1">
      <c r="A122" s="605"/>
      <c r="C122" s="604"/>
      <c r="D122" s="2419"/>
      <c r="E122" s="2427"/>
      <c r="F122" s="2430"/>
      <c r="G122" s="2427"/>
      <c r="H122" s="2433"/>
      <c r="I122" s="2435"/>
      <c r="J122" s="2437"/>
      <c r="K122" s="2422"/>
      <c r="L122" s="2422"/>
      <c r="M122" s="2422"/>
      <c r="N122" s="2424"/>
      <c r="O122" s="2422"/>
      <c r="P122" s="2422"/>
      <c r="Q122" s="2422"/>
      <c r="R122" s="2425"/>
      <c r="S122" s="2422"/>
      <c r="T122" s="1581"/>
      <c r="U122" s="1581"/>
      <c r="V122" s="1581"/>
      <c r="W122" s="1582"/>
      <c r="Y122" s="1543"/>
      <c r="Z122" s="1543"/>
      <c r="AA122" s="1543"/>
      <c r="AB122" s="1543"/>
      <c r="AC122" s="1543"/>
      <c r="AD122" s="1543"/>
      <c r="AE122" s="1543"/>
      <c r="AF122" s="1543"/>
      <c r="AG122" s="1543"/>
      <c r="AH122" s="1543"/>
      <c r="AI122" s="1543"/>
      <c r="AJ122" s="1543"/>
      <c r="AK122" s="1543"/>
      <c r="AL122" s="1543"/>
      <c r="AM122" s="1543"/>
      <c r="AN122" s="1543"/>
      <c r="AO122" s="1543"/>
      <c r="AP122" s="1543"/>
      <c r="AQ122" s="1543"/>
      <c r="AR122" s="1751">
        <v>0</v>
      </c>
    </row>
    <row s="14284" customFormat="1" customHeight="1" ht="17.25" hidden="1">
      <c r="A123" s="605"/>
      <c r="C123" s="493"/>
      <c r="D123" s="2419"/>
      <c r="E123" s="2427"/>
      <c r="F123" s="2430"/>
      <c r="G123" s="2427"/>
      <c r="H123" s="2433"/>
      <c r="I123" s="2435"/>
      <c r="J123" s="2438"/>
      <c r="K123" s="2422"/>
      <c r="L123" s="2422"/>
      <c r="M123" s="2422"/>
      <c r="N123" s="2425"/>
      <c r="O123" s="2422"/>
      <c r="P123" s="1755"/>
      <c r="Q123" s="1581"/>
      <c r="R123" s="1581"/>
      <c r="S123" s="613"/>
      <c r="T123" s="613"/>
      <c r="U123" s="613"/>
      <c r="V123" s="613"/>
      <c r="W123" s="1582"/>
      <c r="Y123" s="1551"/>
      <c r="Z123" s="1551"/>
      <c r="AA123" s="1551"/>
      <c r="AB123" s="1551"/>
      <c r="AC123" s="1551"/>
      <c r="AD123" s="1551"/>
      <c r="AE123" s="1551"/>
      <c r="AF123" s="1551"/>
      <c r="AG123" s="1551"/>
      <c r="AH123" s="1551"/>
      <c r="AI123" s="1551"/>
      <c r="AJ123" s="1551"/>
      <c r="AK123" s="1551"/>
      <c r="AL123" s="1551"/>
      <c r="AM123" s="1551"/>
      <c r="AN123" s="1551"/>
      <c r="AO123" s="1551"/>
      <c r="AP123" s="1551"/>
      <c r="AQ123" s="1551"/>
      <c r="AR123" s="1751">
        <v>0</v>
      </c>
    </row>
    <row s="14284" customFormat="1" customHeight="1" ht="17.25" hidden="1">
      <c r="A124" s="605"/>
      <c r="C124" s="604"/>
      <c r="D124" s="2419"/>
      <c r="E124" s="2427"/>
      <c r="F124" s="2430"/>
      <c r="G124" s="2427"/>
      <c r="H124" s="2433"/>
      <c r="I124" s="2435"/>
      <c r="J124" s="2438"/>
      <c r="K124" s="2422"/>
      <c r="L124" s="1581"/>
      <c r="M124" s="1581"/>
      <c r="N124" s="1581"/>
      <c r="O124" s="1581"/>
      <c r="P124" s="1581"/>
      <c r="Q124" s="1581"/>
      <c r="R124" s="1581"/>
      <c r="S124" s="613"/>
      <c r="T124" s="613"/>
      <c r="U124" s="613"/>
      <c r="V124" s="613"/>
      <c r="W124" s="1582"/>
      <c r="Y124" s="1543"/>
      <c r="Z124" s="1543"/>
      <c r="AA124" s="1543"/>
      <c r="AB124" s="1543"/>
      <c r="AC124" s="1543"/>
      <c r="AD124" s="1543"/>
      <c r="AE124" s="1543"/>
      <c r="AF124" s="1543"/>
      <c r="AG124" s="1543"/>
      <c r="AH124" s="1543"/>
      <c r="AI124" s="1543"/>
      <c r="AJ124" s="1543"/>
      <c r="AK124" s="1543"/>
      <c r="AL124" s="1543"/>
      <c r="AM124" s="1543"/>
      <c r="AN124" s="1543"/>
      <c r="AO124" s="1543"/>
      <c r="AP124" s="1543"/>
      <c r="AQ124" s="1543"/>
      <c r="AR124" s="1751">
        <v>0</v>
      </c>
    </row>
    <row s="14284" customFormat="1" customHeight="1" ht="17.25" hidden="1">
      <c r="A125" s="605"/>
      <c r="C125" s="604"/>
      <c r="D125" s="2420"/>
      <c r="E125" s="2428"/>
      <c r="F125" s="2431"/>
      <c r="G125" s="2428"/>
      <c r="H125" s="1583"/>
      <c r="I125" s="1584"/>
      <c r="J125" s="1584"/>
      <c r="K125" s="1584"/>
      <c r="L125" s="1584"/>
      <c r="M125" s="1584"/>
      <c r="N125" s="1584"/>
      <c r="O125" s="1584"/>
      <c r="P125" s="1584"/>
      <c r="Q125" s="1584"/>
      <c r="R125" s="1584"/>
      <c r="S125" s="1585"/>
      <c r="T125" s="1585"/>
      <c r="U125" s="1585"/>
      <c r="V125" s="1585"/>
      <c r="W125" s="1586"/>
      <c r="Y125" s="1543"/>
      <c r="Z125" s="1543"/>
      <c r="AA125" s="1543"/>
      <c r="AB125" s="1543"/>
      <c r="AC125" s="1543"/>
      <c r="AD125" s="1543"/>
      <c r="AE125" s="1543"/>
      <c r="AF125" s="1543"/>
      <c r="AG125" s="1543"/>
      <c r="AH125" s="1543"/>
      <c r="AI125" s="1543"/>
      <c r="AJ125" s="1543"/>
      <c r="AK125" s="1543"/>
      <c r="AL125" s="1543"/>
      <c r="AM125" s="1543"/>
      <c r="AN125" s="1543"/>
      <c r="AO125" s="1543"/>
      <c r="AP125" s="1543"/>
      <c r="AQ125" s="1543"/>
      <c r="AR125" s="1751">
        <v>0</v>
      </c>
    </row>
    <row s="14284" customFormat="1" customHeight="1" ht="17.25" hidden="1">
      <c r="A126" s="605"/>
      <c r="C126" s="493"/>
      <c r="D126" s="2419">
        <v>2</v>
      </c>
      <c r="E126" s="2427" t="s">
        <v>274</v>
      </c>
      <c r="F126" s="2429" t="s">
        <v>19</v>
      </c>
      <c r="G126" s="2427"/>
      <c r="H126" s="2432"/>
      <c r="I126" s="2434"/>
      <c r="J126" s="2436"/>
      <c r="K126" s="2421"/>
      <c r="L126" s="2421"/>
      <c r="M126" s="2421"/>
      <c r="N126" s="2423"/>
      <c r="O126" s="2421"/>
      <c r="P126" s="2421"/>
      <c r="Q126" s="2421"/>
      <c r="R126" s="2426"/>
      <c r="S126" s="2421"/>
      <c r="T126" s="1754"/>
      <c r="U126" s="1754"/>
      <c r="V126" s="1756"/>
      <c r="W126" s="1580"/>
      <c r="X126" s="1551"/>
      <c r="Y126" s="1551"/>
      <c r="Z126" s="1551"/>
      <c r="AA126" s="1551"/>
      <c r="AB126" s="1551"/>
      <c r="AC126" s="1551" t="s">
        <v>275</v>
      </c>
      <c r="AD126" s="1551" t="s">
        <v>276</v>
      </c>
      <c r="AE126" s="1551" t="s">
        <v>277</v>
      </c>
      <c r="AF126" s="1551" t="s">
        <v>278</v>
      </c>
      <c r="AG126" s="1551"/>
      <c r="AH126" s="1551" t="str">
        <f>IF($E$126=0,"",$E$126)</f>
        <v>Тариф на транспортировку сточных вод</v>
      </c>
      <c r="AI126" s="1551" t="str">
        <f>IF($G$126=0,"",$G$126)</f>
        <v/>
      </c>
      <c r="AJ126" s="1551" t="str">
        <f>IF($J$126=0,"",$J$126)</f>
        <v/>
      </c>
      <c r="AK126" s="1551" t="str">
        <f>IF($K$126="нет","без дифференциации",IF($N$126=0,"",$N$126))</f>
        <v/>
      </c>
      <c r="AL126" s="1551" t="str">
        <f>IF($O$126="нет","без дифференциации",IF($R$126=0,"",$R$126))</f>
        <v/>
      </c>
      <c r="AM126" s="1551" t="str">
        <f>IF($S$126="нет","без дифференциации",IF($V$126=0,"",$V$126))</f>
        <v/>
      </c>
      <c r="AN126" s="2056">
        <f>$I$126</f>
        <v>0</v>
      </c>
      <c r="AO126" s="1551" t="str">
        <f>$I$126&amp;"."&amp;$M$126</f>
        <v>.</v>
      </c>
      <c r="AP126" s="1543" t="str">
        <f>$I$126&amp;"."&amp;$M$126&amp;"."&amp;$Q$126</f>
        <v>..</v>
      </c>
      <c r="AQ126" s="1543" t="str">
        <f>$I$126&amp;"."&amp;$M$126&amp;"."&amp;$Q$126&amp;"."&amp;$U$126</f>
        <v>...</v>
      </c>
      <c r="AR126" s="1751">
        <v>0</v>
      </c>
    </row>
    <row s="14284" customFormat="1" customHeight="1" ht="17.25" hidden="1">
      <c r="A127" s="605"/>
      <c r="C127" s="604"/>
      <c r="D127" s="2419"/>
      <c r="E127" s="2427"/>
      <c r="F127" s="2430"/>
      <c r="G127" s="2427"/>
      <c r="H127" s="2433"/>
      <c r="I127" s="2435"/>
      <c r="J127" s="2437"/>
      <c r="K127" s="2422"/>
      <c r="L127" s="2422"/>
      <c r="M127" s="2422"/>
      <c r="N127" s="2424"/>
      <c r="O127" s="2422"/>
      <c r="P127" s="2422"/>
      <c r="Q127" s="2422"/>
      <c r="R127" s="2425"/>
      <c r="S127" s="2422"/>
      <c r="T127" s="1581"/>
      <c r="U127" s="1581"/>
      <c r="V127" s="1581"/>
      <c r="W127" s="1582"/>
      <c r="X127" s="1543"/>
      <c r="Y127" s="1543"/>
      <c r="Z127" s="1543"/>
      <c r="AA127" s="1543"/>
      <c r="AB127" s="1543"/>
      <c r="AC127" s="1543"/>
      <c r="AD127" s="1543"/>
      <c r="AE127" s="1543"/>
      <c r="AF127" s="1543"/>
      <c r="AG127" s="1543"/>
      <c r="AH127" s="1543"/>
      <c r="AI127" s="1543"/>
      <c r="AJ127" s="1543"/>
      <c r="AK127" s="1543"/>
      <c r="AL127" s="1543"/>
      <c r="AM127" s="1543"/>
      <c r="AN127" s="1543"/>
      <c r="AO127" s="1543"/>
      <c r="AP127" s="1543"/>
      <c r="AQ127" s="1543"/>
      <c r="AR127" s="1751">
        <v>0</v>
      </c>
    </row>
    <row s="14284" customFormat="1" customHeight="1" ht="17.25" hidden="1">
      <c r="A128" s="605"/>
      <c r="C128" s="604"/>
      <c r="D128" s="2420"/>
      <c r="E128" s="2428"/>
      <c r="F128" s="2430"/>
      <c r="G128" s="2428"/>
      <c r="H128" s="2433"/>
      <c r="I128" s="2435"/>
      <c r="J128" s="2438"/>
      <c r="K128" s="2422"/>
      <c r="L128" s="2422"/>
      <c r="M128" s="2422"/>
      <c r="N128" s="2425"/>
      <c r="O128" s="2422"/>
      <c r="P128" s="1755"/>
      <c r="Q128" s="1581"/>
      <c r="R128" s="1581"/>
      <c r="S128" s="613"/>
      <c r="T128" s="613"/>
      <c r="U128" s="613"/>
      <c r="V128" s="613"/>
      <c r="W128" s="1582"/>
      <c r="X128" s="1543"/>
      <c r="Y128" s="1543"/>
      <c r="Z128" s="1543"/>
      <c r="AA128" s="1543"/>
      <c r="AB128" s="1543"/>
      <c r="AC128" s="1543"/>
      <c r="AD128" s="1543"/>
      <c r="AE128" s="1543"/>
      <c r="AF128" s="1543"/>
      <c r="AG128" s="1543"/>
      <c r="AH128" s="1543"/>
      <c r="AI128" s="1543"/>
      <c r="AJ128" s="1543"/>
      <c r="AK128" s="1543"/>
      <c r="AL128" s="1543"/>
      <c r="AM128" s="1543"/>
      <c r="AN128" s="1543"/>
      <c r="AO128" s="1543"/>
      <c r="AP128" s="1543"/>
      <c r="AQ128" s="1543"/>
      <c r="AR128" s="1751">
        <v>0</v>
      </c>
    </row>
    <row s="14284" customFormat="1" customHeight="1" ht="17.25" hidden="1">
      <c r="A129" s="605"/>
      <c r="C129" s="604"/>
      <c r="D129" s="2420"/>
      <c r="E129" s="2428"/>
      <c r="F129" s="2430"/>
      <c r="G129" s="2428"/>
      <c r="H129" s="2433"/>
      <c r="I129" s="2435"/>
      <c r="J129" s="2438"/>
      <c r="K129" s="2422"/>
      <c r="L129" s="1581"/>
      <c r="M129" s="1581"/>
      <c r="N129" s="1581"/>
      <c r="O129" s="1581"/>
      <c r="P129" s="1581"/>
      <c r="Q129" s="1581"/>
      <c r="R129" s="1581"/>
      <c r="S129" s="613"/>
      <c r="T129" s="613"/>
      <c r="U129" s="613"/>
      <c r="V129" s="613"/>
      <c r="W129" s="1582"/>
      <c r="X129" s="1543"/>
      <c r="Y129" s="1543"/>
      <c r="Z129" s="1543"/>
      <c r="AA129" s="1543"/>
      <c r="AB129" s="1543"/>
      <c r="AC129" s="1543"/>
      <c r="AD129" s="1543"/>
      <c r="AE129" s="1543"/>
      <c r="AF129" s="1543"/>
      <c r="AG129" s="1543"/>
      <c r="AH129" s="1543"/>
      <c r="AI129" s="1543"/>
      <c r="AJ129" s="1543"/>
      <c r="AK129" s="1543"/>
      <c r="AL129" s="1543"/>
      <c r="AM129" s="1543"/>
      <c r="AN129" s="1543"/>
      <c r="AO129" s="1543"/>
      <c r="AP129" s="1543"/>
      <c r="AQ129" s="1543"/>
      <c r="AR129" s="1751">
        <v>0</v>
      </c>
    </row>
    <row s="14284" customFormat="1" customHeight="1" ht="17.25" hidden="1">
      <c r="A130" s="605"/>
      <c r="C130" s="604"/>
      <c r="D130" s="2420"/>
      <c r="E130" s="2428"/>
      <c r="F130" s="2431"/>
      <c r="G130" s="2428"/>
      <c r="H130" s="1583"/>
      <c r="I130" s="1584"/>
      <c r="J130" s="1584"/>
      <c r="K130" s="1584"/>
      <c r="L130" s="1584"/>
      <c r="M130" s="1584"/>
      <c r="N130" s="1584"/>
      <c r="O130" s="1584"/>
      <c r="P130" s="1584"/>
      <c r="Q130" s="1584"/>
      <c r="R130" s="1584"/>
      <c r="S130" s="1585"/>
      <c r="T130" s="1585"/>
      <c r="U130" s="1585"/>
      <c r="V130" s="1585"/>
      <c r="W130" s="1586"/>
      <c r="X130" s="1543"/>
      <c r="Y130" s="1543"/>
      <c r="Z130" s="1543"/>
      <c r="AA130" s="1543"/>
      <c r="AB130" s="1543"/>
      <c r="AC130" s="1543"/>
      <c r="AD130" s="1543"/>
      <c r="AE130" s="1543"/>
      <c r="AF130" s="1543"/>
      <c r="AG130" s="1543"/>
      <c r="AH130" s="1543"/>
      <c r="AI130" s="1543"/>
      <c r="AJ130" s="1543"/>
      <c r="AK130" s="1543"/>
      <c r="AL130" s="1543"/>
      <c r="AM130" s="1543"/>
      <c r="AN130" s="1543"/>
      <c r="AO130" s="1543"/>
      <c r="AP130" s="1543"/>
      <c r="AQ130" s="1543"/>
      <c r="AR130" s="1751">
        <v>0</v>
      </c>
    </row>
    <row s="14284" customFormat="1" customHeight="1" ht="17.25" hidden="1">
      <c r="A131" s="605"/>
      <c r="C131" s="493"/>
      <c r="D131" s="2419">
        <v>3</v>
      </c>
      <c r="E131" s="2427" t="s">
        <v>279</v>
      </c>
      <c r="F131" s="2429" t="s">
        <v>19</v>
      </c>
      <c r="G131" s="2427"/>
      <c r="H131" s="2432"/>
      <c r="I131" s="2434"/>
      <c r="J131" s="2436"/>
      <c r="K131" s="2421"/>
      <c r="L131" s="2421"/>
      <c r="M131" s="2421"/>
      <c r="N131" s="2423"/>
      <c r="O131" s="2421"/>
      <c r="P131" s="2421"/>
      <c r="Q131" s="2421"/>
      <c r="R131" s="2426"/>
      <c r="S131" s="2421"/>
      <c r="T131" s="2227"/>
      <c r="U131" s="2227"/>
      <c r="V131" s="2229"/>
      <c r="W131" s="1580"/>
      <c r="X131" s="1551"/>
      <c r="Y131" s="1551"/>
      <c r="Z131" s="1551"/>
      <c r="AA131" s="1551"/>
      <c r="AB131" s="1551"/>
      <c r="AC131" s="1551" t="s">
        <v>280</v>
      </c>
      <c r="AD131" s="1551" t="s">
        <v>281</v>
      </c>
      <c r="AE131" s="1551" t="s">
        <v>282</v>
      </c>
      <c r="AF131" s="1551" t="s">
        <v>283</v>
      </c>
      <c r="AG131" s="1551"/>
      <c r="AH131" s="1551" t="str">
        <f>IF($E$131=0,"",$E$131)</f>
        <v>Тариф на подключение (технологическое присоединение) к централизованной системе водоотведения</v>
      </c>
      <c r="AI131" s="1551" t="str">
        <f>IF($G$131=0,"",$G$131)</f>
        <v/>
      </c>
      <c r="AJ131" s="1551" t="str">
        <f>IF($J$131=0,"",$J$131)</f>
        <v/>
      </c>
      <c r="AK131" s="1551" t="str">
        <f>IF($K$131="нет","без дифференциации",IF($N$131=0,"",$N$131))</f>
        <v/>
      </c>
      <c r="AL131" s="1551" t="str">
        <f>IF($O$131="нет","без дифференциации",IF($R$131=0,"",$R$131))</f>
        <v/>
      </c>
      <c r="AM131" s="1551" t="str">
        <f>IF($S$131="нет","без дифференциации",IF($V$131=0,"",$V$131))</f>
        <v/>
      </c>
      <c r="AN131" s="2056">
        <f>$I$131</f>
        <v>0</v>
      </c>
      <c r="AO131" s="1551" t="str">
        <f>$I$131&amp;"."&amp;$M$131</f>
        <v>.</v>
      </c>
      <c r="AP131" s="1550" t="str">
        <f>$I$131&amp;"."&amp;$M$131&amp;"."&amp;$Q$131</f>
        <v>..</v>
      </c>
      <c r="AQ131" s="1550" t="str">
        <f>$I$131&amp;"."&amp;$M$131&amp;"."&amp;$Q$131&amp;"."&amp;$U$131</f>
        <v>...</v>
      </c>
      <c r="AR131" s="1751">
        <v>0</v>
      </c>
    </row>
    <row s="14284" customFormat="1" customHeight="1" ht="17.25" hidden="1">
      <c r="A132" s="605"/>
      <c r="C132" s="604"/>
      <c r="D132" s="2419"/>
      <c r="E132" s="2427"/>
      <c r="F132" s="2430"/>
      <c r="G132" s="2427"/>
      <c r="H132" s="2433"/>
      <c r="I132" s="2435"/>
      <c r="J132" s="2437"/>
      <c r="K132" s="2422"/>
      <c r="L132" s="2422"/>
      <c r="M132" s="2422"/>
      <c r="N132" s="2424"/>
      <c r="O132" s="2422"/>
      <c r="P132" s="2422"/>
      <c r="Q132" s="2422"/>
      <c r="R132" s="2425"/>
      <c r="S132" s="2422"/>
      <c r="T132" s="2232"/>
      <c r="U132" s="2232"/>
      <c r="V132" s="2232"/>
      <c r="W132" s="2233"/>
      <c r="X132" s="1550"/>
      <c r="Y132" s="1550"/>
      <c r="Z132" s="1550"/>
      <c r="AA132" s="1550"/>
      <c r="AB132" s="1550"/>
      <c r="AC132" s="1550"/>
      <c r="AD132" s="1550"/>
      <c r="AE132" s="1550"/>
      <c r="AF132" s="1550"/>
      <c r="AG132" s="1550"/>
      <c r="AH132" s="1550"/>
      <c r="AI132" s="1550"/>
      <c r="AJ132" s="1550"/>
      <c r="AK132" s="1550"/>
      <c r="AL132" s="1550"/>
      <c r="AM132" s="1550"/>
      <c r="AN132" s="1550"/>
      <c r="AO132" s="1550"/>
      <c r="AP132" s="1550"/>
      <c r="AQ132" s="1550"/>
      <c r="AR132" s="1751">
        <v>0</v>
      </c>
    </row>
    <row s="14284" customFormat="1" customHeight="1" ht="17.25" hidden="1">
      <c r="A133" s="605"/>
      <c r="C133" s="604"/>
      <c r="D133" s="2420"/>
      <c r="E133" s="2428"/>
      <c r="F133" s="2430"/>
      <c r="G133" s="2428"/>
      <c r="H133" s="2433"/>
      <c r="I133" s="2435"/>
      <c r="J133" s="2438"/>
      <c r="K133" s="2422"/>
      <c r="L133" s="2422"/>
      <c r="M133" s="2422"/>
      <c r="N133" s="2425"/>
      <c r="O133" s="2422"/>
      <c r="P133" s="2228"/>
      <c r="Q133" s="2232"/>
      <c r="R133" s="2232"/>
      <c r="S133" s="613"/>
      <c r="T133" s="613"/>
      <c r="U133" s="613"/>
      <c r="V133" s="613"/>
      <c r="W133" s="2233"/>
      <c r="X133" s="1550"/>
      <c r="Y133" s="1550"/>
      <c r="Z133" s="1550"/>
      <c r="AA133" s="1550"/>
      <c r="AB133" s="1550"/>
      <c r="AC133" s="1550"/>
      <c r="AD133" s="1550"/>
      <c r="AE133" s="1550"/>
      <c r="AF133" s="1550"/>
      <c r="AG133" s="1550"/>
      <c r="AH133" s="1550"/>
      <c r="AI133" s="1550"/>
      <c r="AJ133" s="1550"/>
      <c r="AK133" s="1550"/>
      <c r="AL133" s="1550"/>
      <c r="AM133" s="1550"/>
      <c r="AN133" s="1550"/>
      <c r="AO133" s="1550"/>
      <c r="AP133" s="1550"/>
      <c r="AQ133" s="1550"/>
      <c r="AR133" s="1751">
        <v>0</v>
      </c>
    </row>
    <row s="14284" customFormat="1" customHeight="1" ht="17.25" hidden="1">
      <c r="A134" s="605"/>
      <c r="C134" s="604"/>
      <c r="D134" s="2420"/>
      <c r="E134" s="2428"/>
      <c r="F134" s="2430"/>
      <c r="G134" s="2428"/>
      <c r="H134" s="2433"/>
      <c r="I134" s="2435"/>
      <c r="J134" s="2438"/>
      <c r="K134" s="2422"/>
      <c r="L134" s="2232"/>
      <c r="M134" s="2232"/>
      <c r="N134" s="2232"/>
      <c r="O134" s="2232"/>
      <c r="P134" s="2232"/>
      <c r="Q134" s="2232"/>
      <c r="R134" s="2232"/>
      <c r="S134" s="613"/>
      <c r="T134" s="613"/>
      <c r="U134" s="613"/>
      <c r="V134" s="613"/>
      <c r="W134" s="2233"/>
      <c r="X134" s="1550"/>
      <c r="Y134" s="1550"/>
      <c r="Z134" s="1550"/>
      <c r="AA134" s="1550"/>
      <c r="AB134" s="1550"/>
      <c r="AC134" s="1550"/>
      <c r="AD134" s="1550"/>
      <c r="AE134" s="1550"/>
      <c r="AF134" s="1550"/>
      <c r="AG134" s="1550"/>
      <c r="AH134" s="1550"/>
      <c r="AI134" s="1550"/>
      <c r="AJ134" s="1550"/>
      <c r="AK134" s="1550"/>
      <c r="AL134" s="1550"/>
      <c r="AM134" s="1550"/>
      <c r="AN134" s="1550"/>
      <c r="AO134" s="1550"/>
      <c r="AP134" s="1550"/>
      <c r="AQ134" s="1550"/>
      <c r="AR134" s="1751">
        <v>0</v>
      </c>
    </row>
    <row s="14284" customFormat="1" customHeight="1" ht="17.25" hidden="1">
      <c r="A135" s="605"/>
      <c r="C135" s="604"/>
      <c r="D135" s="2420"/>
      <c r="E135" s="2428"/>
      <c r="F135" s="2431"/>
      <c r="G135" s="2428"/>
      <c r="H135" s="1583"/>
      <c r="I135" s="2230"/>
      <c r="J135" s="2230"/>
      <c r="K135" s="2230"/>
      <c r="L135" s="2230"/>
      <c r="M135" s="2230"/>
      <c r="N135" s="2230"/>
      <c r="O135" s="2230"/>
      <c r="P135" s="2230"/>
      <c r="Q135" s="2230"/>
      <c r="R135" s="2230"/>
      <c r="S135" s="1585"/>
      <c r="T135" s="1585"/>
      <c r="U135" s="1585"/>
      <c r="V135" s="1585"/>
      <c r="W135" s="2231"/>
      <c r="X135" s="1550"/>
      <c r="Y135" s="1550"/>
      <c r="Z135" s="1550"/>
      <c r="AA135" s="1550"/>
      <c r="AB135" s="1550"/>
      <c r="AC135" s="1550"/>
      <c r="AD135" s="1550"/>
      <c r="AE135" s="1550"/>
      <c r="AF135" s="1550"/>
      <c r="AG135" s="1550"/>
      <c r="AH135" s="1550"/>
      <c r="AI135" s="1550"/>
      <c r="AJ135" s="1550"/>
      <c r="AK135" s="1550"/>
      <c r="AL135" s="1550"/>
      <c r="AM135" s="1550"/>
      <c r="AN135" s="1550"/>
      <c r="AO135" s="1550"/>
      <c r="AP135" s="1550"/>
      <c r="AQ135" s="1550"/>
      <c r="AR135" s="1751">
        <v>0</v>
      </c>
    </row>
    <row customHeight="1" ht="11.549999999999999">
      <c r="AR136" s="388">
        <v>11</v>
      </c>
    </row>
    <row customHeight="1" ht="11.549999999999999">
      <c r="AR137" s="388">
        <v>11</v>
      </c>
    </row>
    <row customHeight="1" ht="11.549999999999999">
      <c r="AR138" s="388">
        <v>11</v>
      </c>
    </row>
    <row customHeight="1" ht="11.549999999999999">
      <c r="E139" s="1634"/>
      <c r="AR139" s="388">
        <v>11</v>
      </c>
    </row>
    <row customHeight="1" ht="11.549999999999999">
      <c r="E140" s="1634"/>
      <c r="AR140" s="388">
        <v>11</v>
      </c>
    </row>
    <row customHeight="1" ht="11.549999999999999">
      <c r="E141" s="1634"/>
      <c r="AR141" s="388">
        <v>11</v>
      </c>
    </row>
    <row customHeight="1" ht="11.549999999999999">
      <c r="E142" s="1634"/>
      <c r="AR142" s="388">
        <v>11</v>
      </c>
    </row>
    <row customHeight="1" ht="11.549999999999999">
      <c r="E143" s="1634"/>
      <c r="AR143" s="388">
        <v>11</v>
      </c>
    </row>
    <row customHeight="1" ht="11.549999999999999">
      <c r="E144" s="1634"/>
      <c r="AR144" s="388">
        <v>11</v>
      </c>
    </row>
    <row customHeight="1" ht="11.549999999999999">
      <c r="E145" s="1634"/>
      <c r="AR145" s="388">
        <v>11</v>
      </c>
    </row>
    <row customHeight="1" ht="11.25" hidden="1">
      <c r="A146" s="437" t="s">
        <v>83</v>
      </c>
      <c r="B146" s="437">
        <v>0</v>
      </c>
      <c r="C146" s="388">
        <v>3</v>
      </c>
      <c r="D146" s="388">
        <v>6</v>
      </c>
      <c r="E146" s="388">
        <v>42</v>
      </c>
      <c r="F146" s="1567">
        <v>14</v>
      </c>
      <c r="G146" s="388">
        <v>42</v>
      </c>
      <c r="H146" s="388">
        <v>3</v>
      </c>
      <c r="I146" s="388">
        <v>5</v>
      </c>
      <c r="J146" s="388">
        <v>47</v>
      </c>
      <c r="K146" s="388">
        <v>3</v>
      </c>
      <c r="L146" s="388">
        <v>3</v>
      </c>
      <c r="M146" s="388">
        <v>5</v>
      </c>
      <c r="N146" s="388">
        <v>28</v>
      </c>
      <c r="O146" s="388">
        <v>3</v>
      </c>
      <c r="P146" s="388">
        <v>3</v>
      </c>
      <c r="Q146" s="388">
        <v>5</v>
      </c>
      <c r="R146" s="388">
        <v>34</v>
      </c>
      <c r="S146" s="566">
        <v>0</v>
      </c>
      <c r="T146" s="566">
        <v>0</v>
      </c>
      <c r="U146" s="566">
        <v>0</v>
      </c>
      <c r="V146" s="566">
        <v>0</v>
      </c>
      <c r="W146" s="388">
        <v>30</v>
      </c>
      <c r="X146" s="388">
        <v>3</v>
      </c>
      <c r="Y146" s="1543">
        <v>0</v>
      </c>
      <c r="Z146" s="1543">
        <v>0</v>
      </c>
      <c r="AA146" s="1543">
        <v>0</v>
      </c>
      <c r="AB146" s="1543">
        <v>0</v>
      </c>
      <c r="AC146" s="1543">
        <v>0</v>
      </c>
      <c r="AD146" s="1543">
        <v>0</v>
      </c>
      <c r="AE146" s="1543">
        <v>0</v>
      </c>
      <c r="AF146" s="1543">
        <v>0</v>
      </c>
      <c r="AG146" s="1543">
        <v>0</v>
      </c>
      <c r="AH146" s="1543">
        <v>0</v>
      </c>
      <c r="AI146" s="1543">
        <v>0</v>
      </c>
      <c r="AJ146" s="1543">
        <v>0</v>
      </c>
      <c r="AK146" s="1543">
        <v>0</v>
      </c>
      <c r="AL146" s="1543">
        <v>0</v>
      </c>
      <c r="AM146" s="1543">
        <v>0</v>
      </c>
      <c r="AN146" s="1543">
        <v>0</v>
      </c>
      <c r="AO146" s="1543">
        <v>0</v>
      </c>
      <c r="AP146" s="1543">
        <v>0</v>
      </c>
      <c r="AQ146" s="1543">
        <v>0</v>
      </c>
      <c r="AR146" s="388">
        <v>11</v>
      </c>
    </row>
  </sheetData>
  <sheetProtection formatColumns="0" formatRows="0" autoFilter="0" sort="0" insertRows="0" insertColumns="1" deleteRows="0" deleteColumns="0"/>
  <mergeCells count="379">
    <mergeCell ref="R23:R24"/>
    <mergeCell ref="S23:S24"/>
    <mergeCell ref="G23:G27"/>
    <mergeCell ref="H23:H26"/>
    <mergeCell ref="I23:I26"/>
    <mergeCell ref="J23:J26"/>
    <mergeCell ref="K23:K26"/>
    <mergeCell ref="L23:L25"/>
    <mergeCell ref="M23:M25"/>
    <mergeCell ref="N23:N25"/>
    <mergeCell ref="O23:O25"/>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M126:M128"/>
    <mergeCell ref="N126:N128"/>
    <mergeCell ref="O126:O128"/>
    <mergeCell ref="P121:P122"/>
    <mergeCell ref="Q121:Q122"/>
    <mergeCell ref="R121:R122"/>
    <mergeCell ref="P126:P127"/>
    <mergeCell ref="Q126:Q127"/>
    <mergeCell ref="R126:R127"/>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R13:R14"/>
    <mergeCell ref="S13:S14"/>
    <mergeCell ref="M48:M50"/>
    <mergeCell ref="N48:N50"/>
    <mergeCell ref="O48:O50"/>
    <mergeCell ref="N38:N40"/>
    <mergeCell ref="D105:D109"/>
    <mergeCell ref="E105:E109"/>
    <mergeCell ref="F105:F109"/>
    <mergeCell ref="G105:G109"/>
    <mergeCell ref="H105:H108"/>
    <mergeCell ref="I105:I108"/>
    <mergeCell ref="J105:J108"/>
    <mergeCell ref="K105:K108"/>
    <mergeCell ref="L105:L107"/>
    <mergeCell ref="P53:P54"/>
    <mergeCell ref="Q53:Q54"/>
    <mergeCell ref="R53:R54"/>
    <mergeCell ref="S53:S54"/>
    <mergeCell ref="P48:P49"/>
    <mergeCell ref="Q48:Q49"/>
    <mergeCell ref="R48:R49"/>
    <mergeCell ref="S48:S49"/>
    <mergeCell ref="S28:S29"/>
    <mergeCell ref="M105:M107"/>
    <mergeCell ref="N105:N107"/>
    <mergeCell ref="O105:O107"/>
    <mergeCell ref="P105:P106"/>
    <mergeCell ref="Q105:Q106"/>
    <mergeCell ref="R105:R106"/>
    <mergeCell ref="S105:S106"/>
    <mergeCell ref="O53:O55"/>
    <mergeCell ref="E77:W77"/>
    <mergeCell ref="E69:W69"/>
    <mergeCell ref="E70:W70"/>
    <mergeCell ref="E71:W71"/>
    <mergeCell ref="E72:W72"/>
    <mergeCell ref="E73:W73"/>
    <mergeCell ref="L79:L81"/>
    <mergeCell ref="M79:M81"/>
    <mergeCell ref="E75:W75"/>
    <mergeCell ref="E76:W76"/>
    <mergeCell ref="K89:K92"/>
    <mergeCell ref="E43:E47"/>
    <mergeCell ref="F43:F47"/>
    <mergeCell ref="H43:H46"/>
    <mergeCell ref="G43:G47"/>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O38:O40"/>
    <mergeCell ref="Q43:Q44"/>
    <mergeCell ref="R43:R44"/>
    <mergeCell ref="O43:O45"/>
    <mergeCell ref="J33:J36"/>
    <mergeCell ref="D53:D57"/>
    <mergeCell ref="E53:E57"/>
    <mergeCell ref="F53:F57"/>
    <mergeCell ref="H53:H56"/>
    <mergeCell ref="N43:N45"/>
    <mergeCell ref="G38:G42"/>
    <mergeCell ref="K38:K41"/>
    <mergeCell ref="G53:G57"/>
    <mergeCell ref="K53:K56"/>
    <mergeCell ref="N53:N55"/>
    <mergeCell ref="I53:I56"/>
    <mergeCell ref="J53:J56"/>
    <mergeCell ref="L53:L55"/>
    <mergeCell ref="M53:M55"/>
    <mergeCell ref="L43:L45"/>
    <mergeCell ref="M43:M45"/>
    <mergeCell ref="K43:K46"/>
    <mergeCell ref="D43:D47"/>
    <mergeCell ref="I43:I46"/>
    <mergeCell ref="J43:J46"/>
    <mergeCell ref="I38:I41"/>
    <mergeCell ref="J38:J41"/>
    <mergeCell ref="L38:L40"/>
    <mergeCell ref="M38:M40"/>
    <mergeCell ref="D18:D22"/>
    <mergeCell ref="E18:E22"/>
    <mergeCell ref="F18:F22"/>
    <mergeCell ref="M28:M30"/>
    <mergeCell ref="R28:R29"/>
    <mergeCell ref="O28:O30"/>
    <mergeCell ref="D28:D32"/>
    <mergeCell ref="E28:E32"/>
    <mergeCell ref="F28:F32"/>
    <mergeCell ref="H28:H31"/>
    <mergeCell ref="I28:I31"/>
    <mergeCell ref="J28:J31"/>
    <mergeCell ref="G28:G32"/>
    <mergeCell ref="D23:D27"/>
    <mergeCell ref="E23:E27"/>
    <mergeCell ref="F23:F27"/>
    <mergeCell ref="L10:M10"/>
    <mergeCell ref="P10:Q10"/>
    <mergeCell ref="L11:M11"/>
    <mergeCell ref="P11:Q11"/>
    <mergeCell ref="K28:K31"/>
    <mergeCell ref="L28:L30"/>
    <mergeCell ref="P13:P14"/>
    <mergeCell ref="P28:P29"/>
    <mergeCell ref="Q28:Q29"/>
    <mergeCell ref="L13:L15"/>
    <mergeCell ref="M13:M15"/>
    <mergeCell ref="N13:N15"/>
    <mergeCell ref="O13:O15"/>
    <mergeCell ref="Q13:Q14"/>
    <mergeCell ref="P23:P24"/>
    <mergeCell ref="Q23:Q24"/>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H79:H82"/>
    <mergeCell ref="I79:I82"/>
    <mergeCell ref="J79:J82"/>
    <mergeCell ref="K13:K16"/>
    <mergeCell ref="G18:G22"/>
    <mergeCell ref="N28:N30"/>
    <mergeCell ref="L89:L91"/>
    <mergeCell ref="Q84:Q85"/>
    <mergeCell ref="R84:R85"/>
    <mergeCell ref="S84:S85"/>
    <mergeCell ref="K84:K87"/>
    <mergeCell ref="K79:K82"/>
    <mergeCell ref="N84:N86"/>
    <mergeCell ref="O84:O86"/>
    <mergeCell ref="P84:P85"/>
    <mergeCell ref="S89:S90"/>
    <mergeCell ref="N89:N91"/>
    <mergeCell ref="O89:O91"/>
    <mergeCell ref="P89:P90"/>
    <mergeCell ref="Q89:Q90"/>
    <mergeCell ref="R89:R90"/>
    <mergeCell ref="L84:L86"/>
    <mergeCell ref="N79:N81"/>
    <mergeCell ref="O79:O81"/>
    <mergeCell ref="P79:P80"/>
    <mergeCell ref="Q79:Q80"/>
    <mergeCell ref="R79:R80"/>
    <mergeCell ref="S79:S80"/>
    <mergeCell ref="M84:M86"/>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S63:S64"/>
    <mergeCell ref="E58:E62"/>
    <mergeCell ref="F58:F62"/>
    <mergeCell ref="G58:G62"/>
    <mergeCell ref="H58:H61"/>
    <mergeCell ref="I58:I61"/>
    <mergeCell ref="J58:J61"/>
    <mergeCell ref="K58:K61"/>
    <mergeCell ref="L58:L60"/>
    <mergeCell ref="D58:D62"/>
    <mergeCell ref="M99:M101"/>
    <mergeCell ref="M58:M60"/>
    <mergeCell ref="N58:N60"/>
    <mergeCell ref="O58:O60"/>
    <mergeCell ref="P58:P59"/>
    <mergeCell ref="Q58:Q59"/>
    <mergeCell ref="R58:R59"/>
    <mergeCell ref="S58:S59"/>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 ref="O18:O20"/>
    <mergeCell ref="S18:S19"/>
    <mergeCell ref="P18:P19"/>
    <mergeCell ref="Q18:Q19"/>
    <mergeCell ref="R18:R19"/>
    <mergeCell ref="K18:K21"/>
    <mergeCell ref="M18:M20"/>
    <mergeCell ref="L18:L20"/>
    <mergeCell ref="N18:N20"/>
    <mergeCell ref="J18:J21"/>
    <mergeCell ref="H18:H21"/>
    <mergeCell ref="I18:I21"/>
  </mergeCells>
  <dataValidations count="18">
    <dataValidation allowBlank="1" showInputMessage="1" showErrorMessage="1" prompt="Для выбора выполните двойной щелчок левой клавиши мыши по соответствующей ячейке." sqref="K38:K39 K13:K14 K48:K49 O48:O49 S48:S49 K43:K44 K28:K29 O38:O39 O43:O44 O28:O29 S38:S39 S43:S44 S28:S29 O13:O14 S13:S14 K33:K34 O33:O34 S33:S34 K79:K80 O79:O80 S79:S80 K84:K85 O84:O85 S84:S85 K94:K95 O94:O95 S94:S95 K89:K90 O89:O90 S53:S54 S89:S90 K53:K54 O53:O54 O131:O132 O105:O106 S105:S106 O110:O111 S110:S111 K105:K106 K110:K111 S99:S100 K126:K127 O126:O127 K121:K122 O121:O122 S126:S127 O115:O116 S121:S122 O58:O59 S58:S59 K58:K59 K63:K64 O63:O64 S63:S64 F79:F103 K99:K100 O99:O100 F105:F119 S115:S116 K115:K116 F121:F135 S131:S132 K131:K132 F13:F67 K23:K24 O23:O24 S23:S24"/>
    <dataValidation type="textLength" operator="lessThanOrEqual" allowBlank="1" showInputMessage="1" showErrorMessage="1" errorTitle="Ошибка" error="Допускается ввод не более 900 символов!" sqref="J38:J39 J13:J14 J48:J49 R48:R49 V48:W48 J43:J44 J28:J29 R38:R39 R13:R14 R43:R44 R28:R29 V38:W38 V13:W13 V43:W43 V28:W28 J33:J34 R33:R34 V33:W33 J79:J80 R79:R80 V79:W79 J84:J85 R84:R85 V84:W84 J94:J95 R94:R95 V94:W94 J89:J90 R89:R90 V89:W89 J53:J54 R53:R54 V53:W53 J105:J106 R105:R106 V105:W105 J110:J111 R110:R111 V110:W110 J126:J127 R126:R127 V126:W126 J121:J122 R121:R122 V121:W121 J58:J59 R58:R59 V58:W58 J63:J64 R63:R64 V63:W63 J99:J100 R99:R100 V99:W99 J115:J116 R115:R116 V115:W115 J131:J132 R131:R132 V131:W131 J23:J24 R23:R24 V23:W23">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43:N45 N28:N30 N38:N40 N13:N15 N33:N35 N79:N81 N94:N96 N84:N86 N89:N91 N53:N55 N105:N107 N110:N112 N126:N128 N121:N123 N58:N60 N63:N65 N99:N101 N115:N117 N131:N133 N23:N25">
      <formula1>DESCRIPTION_TERRITORY</formula1>
    </dataValidation>
    <dataValidation allowBlank="1" showInputMessage="1" showErrorMessage="1" prompt="Выберите виды деятельности, выполнив двойной щелчок левой кнопки мыши по ячейке." sqref="G105:G119 G121:G135 G79:G103 G13:G67"/>
    <dataValidation type="list" allowBlank="1" showInputMessage="1" showErrorMessage="1" errorTitle="Ошибка" error="Выберите значение из списка" prompt="Выберите значение из списка" sqref="E18:E22">
      <formula1>kind_of_tariff_RHEAT</formula1>
    </dataValidation>
    <dataValidation type="textLength" operator="lessThanOrEqual" allowBlank="1" showInputMessage="1" showErrorMessage="1" errorTitle="Ошибка" error="Допускается ввод не более 900 символов!" sqref="J18">
      <formula1>900</formula1>
    </dataValidation>
    <dataValidation allowBlank="1" showInputMessage="1" showErrorMessage="1" prompt="Для выбора выполните двойной щелчок левой клавиши мыши по соответствующей ячейке." sqref="K18"/>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8"/>
    <dataValidation allowBlank="1" showInputMessage="1" showErrorMessage="1" prompt="Для выбора выполните двойной щелчок левой клавиши мыши по соответствующей ячейке." sqref="O18"/>
    <dataValidation type="textLength" operator="lessThanOrEqual" allowBlank="1" showInputMessage="1" showErrorMessage="1" errorTitle="Ошибка" error="Допускается ввод не более 900 символов!" sqref="R18">
      <formula1>900</formula1>
    </dataValidation>
    <dataValidation allowBlank="1" showInputMessage="1" showErrorMessage="1" prompt="Для выбора выполните двойной щелчок левой клавиши мыши по соответствующей ячейке." sqref="S18"/>
    <dataValidation type="textLength" operator="lessThanOrEqual" allowBlank="1" showInputMessage="1" showErrorMessage="1" errorTitle="Ошибка" error="Допускается ввод не более 900 символов!" sqref="V18">
      <formula1>900</formula1>
    </dataValidation>
    <dataValidation type="textLength" operator="lessThanOrEqual" allowBlank="1" showInputMessage="1" showErrorMessage="1" errorTitle="Ошибка" error="Допускается ввод не более 900 символов!" sqref="W18">
      <formula1>900</formula1>
    </dataValidation>
    <dataValidation type="textLength" operator="lessThanOrEqual" allowBlank="1" showInputMessage="1" showErrorMessage="1" errorTitle="Ошибка" error="Допускается ввод не более 900 символов!" sqref="J19">
      <formula1>900</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
    <dataValidation type="textLength" operator="lessThanOrEqual" allowBlank="1" showInputMessage="1" showErrorMessage="1" errorTitle="Ошибка" error="Допускается ввод не более 900 символов!" sqref="R19">
      <formula1>900</formula1>
    </dataValidation>
    <dataValidation allowBlank="1" showInputMessage="1" showErrorMessage="1" prompt="Для выбора выполните двойной щелчок левой клавиши мыши по соответствующей ячейке." sqref="S19"/>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2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047DEE8-5288-E118-B228-3205695586C1}" mc:Ignorable="x14ac xr xr2 xr3">
  <sheetPr>
    <tabColor theme="2" tint="-0.1"/>
  </sheetPr>
  <dimension ref="A1:V30"/>
  <sheetViews>
    <sheetView topLeftCell="A1" showGridLines="0" zoomScale="90" workbookViewId="0">
      <selection activeCell="A1" sqref="A1"/>
    </sheetView>
  </sheetViews>
  <sheetFormatPr defaultColWidth="10.57421875" customHeight="1" defaultRowHeight="15"/>
  <cols>
    <col min="1" max="1" style="14041" width="9.140625" hidden="1" customWidth="1"/>
    <col min="2" max="2" style="14077" width="9.140625" hidden="1" customWidth="1"/>
    <col min="3" max="3" style="15757" width="4.00390625" customWidth="1"/>
    <col min="4" max="4" style="14077" width="6.00390625" customWidth="1"/>
    <col min="5" max="5" style="14077" width="47.00390625" customWidth="1"/>
    <col min="6" max="6" style="14077" width="9.00390625" customWidth="1"/>
    <col min="7" max="7" style="14077" width="25.7109375" hidden="1" customWidth="1"/>
    <col min="8" max="8" style="14077" width="34.00390625" hidden="1" customWidth="1"/>
    <col min="9" max="9" style="14077" width="25.7109375" customWidth="1"/>
    <col min="10" max="10" style="14077" width="33.00390625" customWidth="1"/>
    <col min="11" max="11" style="14157" width="50.00390625" customWidth="1"/>
    <col min="12" max="20" style="14077" width="10.00390625" customWidth="1"/>
    <col min="21" max="21" style="15758" width="10.00390625" customWidth="1"/>
    <col min="22" max="22" style="14077" width="10.57421875" hidden="1"/>
  </cols>
  <sheetData>
    <row s="14157" customFormat="1" customHeight="1" ht="22.5" hidden="1">
      <c r="C1" s="956"/>
      <c r="G1" s="701">
        <v>4</v>
      </c>
      <c r="I1" s="701">
        <v>4</v>
      </c>
      <c r="U1" s="704"/>
      <c r="V1" s="701" t="s">
        <v>14</v>
      </c>
    </row>
    <row s="14077" customFormat="1" customHeight="1" ht="15" hidden="1">
      <c r="A2" s="646"/>
      <c r="C2" s="460"/>
      <c r="D2" s="630"/>
      <c r="E2" s="957"/>
      <c r="F2" s="806"/>
      <c r="G2" s="900"/>
      <c r="H2" s="900"/>
      <c r="I2" s="900"/>
      <c r="J2" s="900"/>
      <c r="U2" s="958"/>
      <c r="V2" s="793">
        <v>0</v>
      </c>
    </row>
    <row s="14157" customFormat="1" customHeight="1" ht="15" hidden="1">
      <c r="C3" s="956"/>
      <c r="U3" s="704"/>
      <c r="V3" s="701">
        <v>0</v>
      </c>
    </row>
    <row customHeight="1" ht="15.75">
      <c r="C4" s="460"/>
      <c r="D4" s="793"/>
      <c r="E4" s="793"/>
      <c r="F4" s="793"/>
      <c r="G4" s="793"/>
      <c r="H4" s="793"/>
      <c r="I4" s="793"/>
      <c r="J4" s="793"/>
      <c r="V4" s="789">
        <v>15</v>
      </c>
    </row>
    <row customHeight="1" ht="66">
      <c r="C5" s="460"/>
      <c r="D5" s="2521" t="s">
        <v>1172</v>
      </c>
      <c r="E5" s="2521"/>
      <c r="F5" s="2521"/>
      <c r="G5" s="2521"/>
      <c r="H5" s="2521"/>
      <c r="I5" s="2521"/>
      <c r="J5" s="2521"/>
      <c r="V5" s="789">
        <v>63</v>
      </c>
    </row>
    <row customHeight="1" ht="15.75">
      <c r="C6" s="460"/>
      <c r="D6" s="2460" t="str">
        <f>IF(org=0,"Не определено",org)</f>
        <v>МУП г. Азова "Теплоэнерго"</v>
      </c>
      <c r="E6" s="2460"/>
      <c r="F6" s="2460"/>
      <c r="G6" s="2460"/>
      <c r="H6" s="2460"/>
      <c r="I6" s="2460"/>
      <c r="J6" s="2460"/>
      <c r="K6" s="821"/>
      <c r="V6" s="789">
        <v>15</v>
      </c>
    </row>
    <row customHeight="1" ht="15.75">
      <c r="C7" s="460"/>
      <c r="D7" s="1036"/>
      <c r="E7" s="793"/>
      <c r="F7" s="793"/>
      <c r="G7" s="821">
        <v>22</v>
      </c>
      <c r="I7" s="821">
        <v>1</v>
      </c>
      <c r="J7" s="1036"/>
      <c r="V7" s="789">
        <v>15</v>
      </c>
    </row>
    <row s="14077" customFormat="1" customHeight="1" ht="1.05">
      <c r="A8" s="1043"/>
      <c r="C8" s="460"/>
      <c r="D8" s="793"/>
      <c r="E8" s="793"/>
      <c r="F8" s="793"/>
      <c r="G8" s="821"/>
      <c r="H8" s="1036"/>
      <c r="I8" s="821" t="s">
        <v>118</v>
      </c>
      <c r="J8" s="1036"/>
      <c r="K8" s="701"/>
      <c r="U8" s="959"/>
      <c r="V8" s="1042">
        <v>1</v>
      </c>
    </row>
    <row customHeight="1" ht="15.75">
      <c r="C9" s="460"/>
      <c r="D9" s="995"/>
      <c r="E9" s="2651" t="s">
        <v>106</v>
      </c>
      <c r="F9" s="2652"/>
      <c r="G9" s="2679" t="str">
        <f>IF(G8="","",INDEX(DIFFERENTIATION_UNMERGE_VD,MATCH(G8,DIFFERENTIATION_ID_DIFF,0)))</f>
        <v/>
      </c>
      <c r="H9" s="2680"/>
      <c r="I9" s="2679">
        <f>IF(I8="","",INDEX(DIFFERENTIATION_UNMERGE_VD,MATCH(I8,DIFFERENTIATION_ID_DIFF,0)))</f>
        <v>0</v>
      </c>
      <c r="J9" s="2680"/>
      <c r="K9" s="2459" t="s">
        <v>306</v>
      </c>
      <c r="V9" s="789">
        <v>15</v>
      </c>
    </row>
    <row s="14077" customFormat="1" customHeight="1" ht="15.75">
      <c r="A10" s="1043"/>
      <c r="C10" s="460"/>
      <c r="D10" s="995"/>
      <c r="E10" s="2651" t="s">
        <v>572</v>
      </c>
      <c r="F10" s="2652"/>
      <c r="G10" s="2679" t="str">
        <f>IF(G8="","",INDEX(DIFFERENTIATION_UNMERGE_AREA,MATCH(G8,DIFFERENTIATION_ID_DIFF,0)))</f>
        <v/>
      </c>
      <c r="H10" s="2680"/>
      <c r="I10" s="2679" t="str">
        <f>IF(I8="","",INDEX(DIFFERENTIATION_UNMERGE_AREA,MATCH(I8,DIFFERENTIATION_ID_DIFF,0)))</f>
        <v/>
      </c>
      <c r="J10" s="2680"/>
      <c r="K10" s="2483"/>
      <c r="U10" s="959"/>
      <c r="V10" s="1042">
        <v>15</v>
      </c>
    </row>
    <row s="14077" customFormat="1" customHeight="1" ht="15.75">
      <c r="A11" s="1043"/>
      <c r="C11" s="460"/>
      <c r="D11" s="995"/>
      <c r="E11" s="2651" t="s">
        <v>573</v>
      </c>
      <c r="F11" s="2652"/>
      <c r="G11" s="2679" t="str">
        <f>IF(G8="","",INDEX(DIFFERENTIATION_UNMERGE_SYSTEM,MATCH(G8,DIFFERENTIATION_ID_DIFF,0)))</f>
        <v/>
      </c>
      <c r="H11" s="2680"/>
      <c r="I11" s="2679" t="str">
        <f>IF(I8="","",INDEX(DIFFERENTIATION_UNMERGE_SYSTEM,MATCH(I8,DIFFERENTIATION_ID_DIFF,0)))</f>
        <v>без дифференциации</v>
      </c>
      <c r="J11" s="2680"/>
      <c r="K11" s="2483"/>
      <c r="U11" s="959"/>
      <c r="V11" s="1042">
        <v>15</v>
      </c>
    </row>
    <row s="14077" customFormat="1" customHeight="1" ht="15.75">
      <c r="A12" s="1043"/>
      <c r="C12" s="460"/>
      <c r="D12" s="2653" t="s">
        <v>305</v>
      </c>
      <c r="E12" s="2654"/>
      <c r="F12" s="2654"/>
      <c r="G12" s="1171"/>
      <c r="H12" s="1171"/>
      <c r="I12" s="1171"/>
      <c r="J12" s="1171"/>
      <c r="K12" s="2483"/>
      <c r="U12" s="959"/>
      <c r="V12" s="1042">
        <v>15</v>
      </c>
    </row>
    <row customHeight="1" ht="35.699999999999996">
      <c r="C13" s="460"/>
      <c r="D13" s="1089" t="s">
        <v>89</v>
      </c>
      <c r="E13" s="1091" t="s">
        <v>307</v>
      </c>
      <c r="F13" s="1091" t="s">
        <v>574</v>
      </c>
      <c r="G13" s="1092" t="s">
        <v>308</v>
      </c>
      <c r="H13" s="1091" t="s">
        <v>395</v>
      </c>
      <c r="I13" s="1092" t="s">
        <v>308</v>
      </c>
      <c r="J13" s="1091" t="s">
        <v>395</v>
      </c>
      <c r="K13" s="2516"/>
      <c r="V13" s="789">
        <v>34</v>
      </c>
    </row>
    <row customHeight="1" ht="15" hidden="1">
      <c r="C14" s="460"/>
      <c r="D14" s="877" t="s">
        <v>110</v>
      </c>
      <c r="E14" s="877" t="s">
        <v>111</v>
      </c>
      <c r="F14" s="877" t="s">
        <v>91</v>
      </c>
      <c r="G14" s="943" t="str">
        <f>G1&amp;".1"</f>
        <v>4.1</v>
      </c>
      <c r="H14" s="943"/>
      <c r="I14" s="943" t="str">
        <f>I1&amp;".1"</f>
        <v>4.1</v>
      </c>
      <c r="J14" s="943"/>
      <c r="K14" s="573"/>
      <c r="V14" s="789">
        <v>0</v>
      </c>
    </row>
    <row customHeight="1" ht="22.5" hidden="1">
      <c r="A15" s="789"/>
      <c r="C15" s="810"/>
      <c r="D15" s="805">
        <v>1</v>
      </c>
      <c r="E15" s="961" t="s">
        <v>816</v>
      </c>
      <c r="F15" s="805" t="s">
        <v>817</v>
      </c>
      <c r="G15" s="962"/>
      <c r="H15" s="962"/>
      <c r="I15" s="962"/>
      <c r="J15" s="962"/>
      <c r="K15" s="573" t="s">
        <v>818</v>
      </c>
      <c r="V15" s="789">
        <v>0</v>
      </c>
    </row>
    <row customHeight="1" ht="22.5" hidden="1">
      <c r="A16" s="789"/>
      <c r="C16" s="810"/>
      <c r="D16" s="805">
        <v>2</v>
      </c>
      <c r="E16" s="563" t="s">
        <v>819</v>
      </c>
      <c r="F16" s="805" t="s">
        <v>820</v>
      </c>
      <c r="G16" s="962"/>
      <c r="H16" s="962"/>
      <c r="I16" s="962"/>
      <c r="J16" s="962"/>
      <c r="K16" s="573" t="s">
        <v>821</v>
      </c>
      <c r="V16" s="789">
        <v>0</v>
      </c>
    </row>
    <row customHeight="1" ht="123.75" hidden="1">
      <c r="A17" s="789"/>
      <c r="C17" s="810"/>
      <c r="D17" s="805">
        <v>3</v>
      </c>
      <c r="E17" s="563" t="s">
        <v>1173</v>
      </c>
      <c r="F17" s="805" t="s">
        <v>311</v>
      </c>
      <c r="G17" s="962"/>
      <c r="H17" s="962"/>
      <c r="I17" s="962"/>
      <c r="J17" s="962"/>
      <c r="K17" s="573" t="s">
        <v>1174</v>
      </c>
      <c r="V17" s="789">
        <v>0</v>
      </c>
    </row>
    <row customHeight="1" ht="48.29999999999999">
      <c r="A18" s="789"/>
      <c r="C18" s="810"/>
      <c r="D18" s="805">
        <v>3</v>
      </c>
      <c r="E18" s="563" t="s">
        <v>822</v>
      </c>
      <c r="F18" s="805" t="s">
        <v>311</v>
      </c>
      <c r="G18" s="1093" t="s">
        <v>311</v>
      </c>
      <c r="H18" s="1094" t="s">
        <v>311</v>
      </c>
      <c r="I18" s="805" t="s">
        <v>311</v>
      </c>
      <c r="J18" s="862" t="s">
        <v>311</v>
      </c>
      <c r="K18" s="573" t="s">
        <v>1175</v>
      </c>
      <c r="V18" s="789">
        <v>46</v>
      </c>
    </row>
    <row customHeight="1" ht="35.699999999999996">
      <c r="A19" s="789"/>
      <c r="C19" s="810"/>
      <c r="D19" s="823" t="s">
        <v>329</v>
      </c>
      <c r="E19" s="843" t="s">
        <v>824</v>
      </c>
      <c r="F19" s="805" t="s">
        <v>825</v>
      </c>
      <c r="G19" s="1101"/>
      <c r="H19" s="390"/>
      <c r="I19" s="1101"/>
      <c r="J19" s="1102"/>
      <c r="K19" s="963"/>
      <c r="V19" s="789">
        <v>34</v>
      </c>
    </row>
    <row customHeight="1" ht="35.699999999999996">
      <c r="A20" s="789"/>
      <c r="C20" s="810"/>
      <c r="D20" s="2174" t="s">
        <v>337</v>
      </c>
      <c r="E20" s="843" t="s">
        <v>826</v>
      </c>
      <c r="F20" s="805" t="s">
        <v>827</v>
      </c>
      <c r="G20" s="1101"/>
      <c r="H20" s="390"/>
      <c r="I20" s="1101"/>
      <c r="J20" s="390"/>
      <c r="K20" s="963"/>
      <c r="V20" s="789">
        <v>34</v>
      </c>
    </row>
    <row customHeight="1" ht="48.29999999999999">
      <c r="A21" s="789"/>
      <c r="C21" s="810"/>
      <c r="D21" s="2174" t="s">
        <v>339</v>
      </c>
      <c r="E21" s="843" t="s">
        <v>828</v>
      </c>
      <c r="F21" s="805" t="s">
        <v>579</v>
      </c>
      <c r="G21" s="964"/>
      <c r="H21" s="390"/>
      <c r="I21" s="964"/>
      <c r="J21" s="390"/>
      <c r="K21" s="963"/>
      <c r="V21" s="789">
        <v>46</v>
      </c>
    </row>
    <row customHeight="1" ht="67.5" hidden="1">
      <c r="A22" s="789"/>
      <c r="C22" s="810"/>
      <c r="D22" s="805">
        <v>5</v>
      </c>
      <c r="E22" s="563" t="s">
        <v>1176</v>
      </c>
      <c r="F22" s="805" t="s">
        <v>566</v>
      </c>
      <c r="G22" s="965"/>
      <c r="H22" s="966"/>
      <c r="I22" s="965"/>
      <c r="J22" s="966"/>
      <c r="K22" s="573" t="s">
        <v>1177</v>
      </c>
      <c r="V22" s="789">
        <v>0</v>
      </c>
    </row>
    <row customHeight="1" ht="33.75" hidden="1">
      <c r="C23" s="735"/>
      <c r="D23" s="805">
        <v>6</v>
      </c>
      <c r="E23" s="563" t="s">
        <v>1178</v>
      </c>
      <c r="F23" s="805" t="s">
        <v>1179</v>
      </c>
      <c r="G23" s="965"/>
      <c r="H23" s="965"/>
      <c r="I23" s="965"/>
      <c r="J23" s="965"/>
      <c r="K23" s="573" t="s">
        <v>1180</v>
      </c>
      <c r="V23" s="789">
        <v>0</v>
      </c>
    </row>
    <row customHeight="1" ht="15.75">
      <c r="V24" s="789">
        <v>15</v>
      </c>
    </row>
    <row customHeight="1" ht="15.75">
      <c r="V25" s="789">
        <v>15</v>
      </c>
    </row>
    <row customHeight="1" ht="15.75">
      <c r="V26" s="789">
        <v>15</v>
      </c>
    </row>
    <row customHeight="1" ht="15.75">
      <c r="V27" s="789">
        <v>15</v>
      </c>
    </row>
    <row customHeight="1" ht="15.75">
      <c r="V28" s="789">
        <v>15</v>
      </c>
    </row>
    <row customHeight="1" ht="15.75">
      <c r="J29" s="1103"/>
      <c r="V29" s="789">
        <v>15</v>
      </c>
    </row>
    <row customHeight="1" ht="22.5" hidden="1">
      <c r="A30" s="733" t="s">
        <v>83</v>
      </c>
      <c r="B30" s="789">
        <v>0</v>
      </c>
      <c r="C30" s="967">
        <v>4</v>
      </c>
      <c r="D30" s="789">
        <v>6</v>
      </c>
      <c r="E30" s="789">
        <v>47</v>
      </c>
      <c r="F30" s="789">
        <v>9</v>
      </c>
      <c r="G30" s="1042">
        <v>0</v>
      </c>
      <c r="H30" s="1042">
        <v>0</v>
      </c>
      <c r="I30" s="789">
        <v>25</v>
      </c>
      <c r="J30" s="789">
        <v>33</v>
      </c>
      <c r="K30" s="701">
        <v>50</v>
      </c>
      <c r="L30" s="789">
        <v>10</v>
      </c>
      <c r="M30" s="789">
        <v>10</v>
      </c>
      <c r="N30" s="789">
        <v>10</v>
      </c>
      <c r="O30" s="789">
        <v>10</v>
      </c>
      <c r="P30" s="789">
        <v>10</v>
      </c>
      <c r="Q30" s="789">
        <v>10</v>
      </c>
      <c r="R30" s="789">
        <v>10</v>
      </c>
      <c r="S30" s="789">
        <v>10</v>
      </c>
      <c r="T30" s="789">
        <v>10</v>
      </c>
      <c r="U30" s="959">
        <v>10</v>
      </c>
      <c r="V30" s="789">
        <v>23</v>
      </c>
    </row>
  </sheetData>
  <sheetProtection formatColumns="0" formatRows="0" autoFilter="0" sort="0" insertRows="0" insertColumns="1" deleteRows="0" deleteColumns="0"/>
  <mergeCells count="13">
    <mergeCell ref="D5:J5"/>
    <mergeCell ref="D6:J6"/>
    <mergeCell ref="K9:K13"/>
    <mergeCell ref="I9:J9"/>
    <mergeCell ref="E9:F9"/>
    <mergeCell ref="E10:F10"/>
    <mergeCell ref="E11:F11"/>
    <mergeCell ref="I10:J10"/>
    <mergeCell ref="I11:J11"/>
    <mergeCell ref="G9:H9"/>
    <mergeCell ref="G10:H10"/>
    <mergeCell ref="G11:H11"/>
    <mergeCell ref="D12:F12"/>
  </mergeCells>
  <dataValidations count="4">
    <dataValidation type="textLength" operator="lessThanOrEqual" allowBlank="1" showInputMessage="1" showErrorMessage="1" errorTitle="Ошибка" error="Допускается ввод не более 900 символов!" sqref="H19:H21 J19:J21">
      <formula1>900</formula1>
    </dataValidation>
    <dataValidation type="whole" allowBlank="1" showErrorMessage="1" errorTitle="Ошибка" error="Допускается ввод только неотрицательных целых чисел!" sqref="G19:G20 I19:I20">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decimal" allowBlank="1" showErrorMessage="1" errorTitle="Ошибка" error="Допускается ввод только неотрицательных чисел!" sqref="G21 I21">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361524B8-2D67-0771-F01C-CBD5CA633028}" mc:Ignorable="x14ac xr xr2 xr3">
  <sheetPr>
    <tabColor rgb="FFFFCC99"/>
  </sheetPr>
  <dimension ref="A1:EL118"/>
  <sheetViews>
    <sheetView topLeftCell="A1" showGridLines="0" workbookViewId="0">
      <selection activeCell="A1" sqref="A1"/>
    </sheetView>
  </sheetViews>
  <sheetFormatPr defaultColWidth="9.140625" customHeight="1" defaultRowHeight="11.25"/>
  <cols>
    <col min="1" max="1" style="16177" width="32.57421875" customWidth="1"/>
    <col min="2" max="2" style="14218" width="11.00390625" customWidth="1"/>
    <col min="3" max="3" style="14218" width="9.140625"/>
    <col min="4" max="4" style="14218" width="26.57421875" customWidth="1"/>
    <col min="5" max="5" style="16016" width="36.8515625" customWidth="1"/>
    <col min="6" max="6" style="16016" width="23.57421875" customWidth="1"/>
    <col min="7" max="7" style="16016" width="31.421875" customWidth="1"/>
    <col min="8" max="8" style="16016" width="40.8515625" customWidth="1"/>
    <col min="9" max="9" style="16016" width="14.57421875" customWidth="1"/>
    <col min="10" max="10" style="16016" width="26.8515625" customWidth="1"/>
    <col min="11" max="11" style="16016" width="50.00390625" customWidth="1"/>
    <col min="12" max="12" style="16016" width="52.421875" customWidth="1"/>
    <col min="13" max="13" style="16016" width="10.7109375" customWidth="1"/>
    <col min="14" max="14" style="16016" width="55.140625" customWidth="1"/>
    <col min="15" max="15" style="16016" width="31.8515625" customWidth="1"/>
    <col min="16" max="16" style="16016" width="23.8515625" customWidth="1"/>
    <col min="17" max="17" style="16016" width="46.57421875" customWidth="1"/>
    <col min="18" max="18" style="16016" width="24.00390625" customWidth="1"/>
    <col min="19" max="19" style="16016" width="20.57421875" customWidth="1"/>
    <col min="20" max="20" style="16016" width="22.00390625" customWidth="1"/>
    <col min="21" max="22" style="16016" width="26.421875" customWidth="1"/>
    <col min="23" max="23" style="16016" width="8.28125" hidden="1" customWidth="1"/>
    <col min="24" max="24" style="16016" width="59.7109375" customWidth="1"/>
    <col min="25" max="25" style="16016" width="49.140625" customWidth="1"/>
    <col min="26" max="26" style="16016" width="11.140625" customWidth="1"/>
    <col min="27" max="30" style="16016" width="29.00390625" customWidth="1"/>
    <col min="31" max="31" style="16016" width="9.140625"/>
    <col min="32" max="32" style="16016" width="34.7109375" customWidth="1"/>
    <col min="33" max="33" style="16016" width="9.140625"/>
    <col min="34" max="35" style="16016" width="34.421875" customWidth="1"/>
    <col min="36" max="36" style="16016" width="9.140625"/>
    <col min="37" max="37" style="16016" width="24.57421875" customWidth="1"/>
    <col min="38" max="38" style="16016" width="9.140625"/>
    <col min="39" max="39" style="16016" width="26.140625" customWidth="1"/>
    <col min="40" max="40" style="16016" width="1.7109375" customWidth="1"/>
    <col min="41" max="41" style="16016" width="9.140625"/>
    <col min="42" max="43" style="16016" width="47.8515625" customWidth="1"/>
    <col min="44" max="44" style="16016" width="1.7109375" customWidth="1"/>
    <col min="45" max="45" style="16016" width="21.421875" customWidth="1"/>
    <col min="46" max="46" style="16016" width="1.7109375" customWidth="1"/>
    <col min="47" max="47" style="16016" width="31.28125" customWidth="1"/>
    <col min="48" max="48" style="16016" width="1.7109375" customWidth="1"/>
    <col min="49" max="50" style="16016" width="9.140625"/>
    <col min="51" max="51" style="16016" width="3.7109375" customWidth="1"/>
    <col min="52" max="52" style="16016" width="60.8515625" customWidth="1"/>
    <col min="53" max="53" style="16016" width="49.28125" customWidth="1"/>
    <col min="54" max="54" style="16016" width="35.140625" customWidth="1"/>
    <col min="55" max="55" style="16016" width="9.140625"/>
    <col min="56" max="56" style="16016" width="1.7109375" customWidth="1"/>
    <col min="57" max="57" style="16178" width="12.57421875" customWidth="1"/>
    <col min="58" max="58" style="16178" width="14.28125" customWidth="1"/>
    <col min="59" max="59" style="16016" width="30.7109375" customWidth="1"/>
    <col min="60" max="60" style="16179" width="40.7109375" customWidth="1"/>
    <col min="61" max="61" style="16179" width="15.00390625" customWidth="1"/>
    <col min="62" max="62" style="16179" width="40.7109375" customWidth="1"/>
    <col min="63" max="63" style="16179" width="2.7109375" customWidth="1"/>
    <col min="64" max="64" style="16179" width="44.7109375" customWidth="1"/>
    <col min="65" max="65" style="16179" width="2.7109375" customWidth="1"/>
    <col min="66" max="66" style="16179" width="40.7109375" customWidth="1"/>
    <col min="67" max="68" style="16016" width="9.140625"/>
    <col min="69" max="69" style="16016" width="18.140625" customWidth="1"/>
    <col min="70" max="70" style="16016" width="57.8515625" customWidth="1"/>
    <col min="71" max="71" style="16016" width="1.7109375" customWidth="1"/>
    <col min="72" max="72" style="16016" width="22.57421875" customWidth="1"/>
    <col min="73" max="73" style="16016" width="57.8515625" customWidth="1"/>
    <col min="74" max="74" style="16016" width="1.7109375" customWidth="1"/>
    <col min="75" max="75" style="16016" width="22.57421875" customWidth="1"/>
    <col min="76" max="76" style="16016" width="57.8515625" customWidth="1"/>
    <col min="77" max="77" style="16016" width="1.7109375" customWidth="1"/>
    <col min="78" max="78" style="16016" width="22.57421875" customWidth="1"/>
    <col min="79" max="79" style="16016" width="57.8515625" customWidth="1"/>
    <col min="80" max="81" style="16016" width="9.140625"/>
    <col min="82" max="82" style="16016" width="49.57421875" customWidth="1"/>
  </cols>
  <sheetData>
    <row s="16080" customFormat="1" customHeight="1" ht="11.25">
      <c r="A1" s="1351" t="s">
        <v>1181</v>
      </c>
      <c r="B1" s="1351" t="s">
        <v>1182</v>
      </c>
      <c r="C1" s="1351" t="s">
        <v>1183</v>
      </c>
      <c r="D1" s="1351" t="s">
        <v>1184</v>
      </c>
      <c r="E1" s="1351" t="s">
        <v>1185</v>
      </c>
      <c r="F1" s="1351" t="s">
        <v>1186</v>
      </c>
      <c r="G1" s="1351" t="s">
        <v>1187</v>
      </c>
      <c r="H1" s="1351" t="s">
        <v>1188</v>
      </c>
      <c r="I1" s="1351" t="s">
        <v>1189</v>
      </c>
      <c r="J1" s="1351" t="s">
        <v>1190</v>
      </c>
      <c r="K1" s="1351" t="s">
        <v>1191</v>
      </c>
      <c r="L1" s="1351" t="s">
        <v>1192</v>
      </c>
      <c r="M1" s="1351"/>
      <c r="N1" s="1351" t="s">
        <v>1193</v>
      </c>
      <c r="O1" s="1351" t="s">
        <v>1194</v>
      </c>
      <c r="P1" s="1351" t="s">
        <v>1195</v>
      </c>
      <c r="Q1" s="1351" t="s">
        <v>1196</v>
      </c>
      <c r="R1" s="1351" t="s">
        <v>1197</v>
      </c>
      <c r="S1" s="1351" t="s">
        <v>1198</v>
      </c>
      <c r="T1" s="1351" t="s">
        <v>1199</v>
      </c>
      <c r="U1" s="1351" t="s">
        <v>1200</v>
      </c>
      <c r="V1" s="1351"/>
      <c r="W1" s="1081" t="s">
        <v>1201</v>
      </c>
      <c r="X1" s="1351" t="s">
        <v>1202</v>
      </c>
      <c r="Y1" s="1351" t="s">
        <v>1203</v>
      </c>
      <c r="Z1" s="1351"/>
      <c r="AA1" s="1351" t="s">
        <v>1204</v>
      </c>
      <c r="AB1" s="1351"/>
      <c r="AC1" s="1351" t="s">
        <v>1205</v>
      </c>
      <c r="AD1" s="1351"/>
      <c r="AF1" s="1351" t="s">
        <v>1206</v>
      </c>
      <c r="AH1" s="1351" t="s">
        <v>1207</v>
      </c>
      <c r="AI1" s="1351" t="s">
        <v>1208</v>
      </c>
      <c r="AK1" s="1351" t="s">
        <v>1209</v>
      </c>
      <c r="AM1" s="1351" t="s">
        <v>1210</v>
      </c>
      <c r="AP1" s="1351" t="s">
        <v>1211</v>
      </c>
      <c r="AQ1" s="1351" t="s">
        <v>1212</v>
      </c>
      <c r="AS1" s="1351" t="s">
        <v>1213</v>
      </c>
      <c r="AU1" s="1351" t="s">
        <v>1214</v>
      </c>
      <c r="AW1" s="1351" t="s">
        <v>1215</v>
      </c>
      <c r="AX1" s="1351" t="s">
        <v>1216</v>
      </c>
      <c r="AZ1" s="1436" t="s">
        <v>1217</v>
      </c>
      <c r="BB1" s="1351" t="s">
        <v>1218</v>
      </c>
      <c r="BC1" s="1351"/>
      <c r="BE1" s="1351" t="s">
        <v>1219</v>
      </c>
      <c r="BF1" s="1351" t="s">
        <v>1220</v>
      </c>
      <c r="BH1" s="1353" t="s">
        <v>815</v>
      </c>
      <c r="BI1" s="1354"/>
      <c r="BJ1" s="1355" t="s">
        <v>1221</v>
      </c>
      <c r="BK1" s="1354"/>
      <c r="BL1" s="1356" t="s">
        <v>914</v>
      </c>
      <c r="BM1" s="1354"/>
      <c r="BN1" s="1357" t="s">
        <v>1222</v>
      </c>
      <c r="BS1" s="1711"/>
    </row>
    <row customHeight="1" ht="11.25">
      <c r="A2" s="1358" t="s">
        <v>1223</v>
      </c>
      <c r="B2" s="1359">
        <v>2000</v>
      </c>
      <c r="C2" s="1359">
        <v>2022</v>
      </c>
      <c r="D2" s="1359" t="s">
        <v>67</v>
      </c>
      <c r="E2" s="1360" t="s">
        <v>1224</v>
      </c>
      <c r="F2" s="1360" t="s">
        <v>1225</v>
      </c>
      <c r="G2" s="1360" t="s">
        <v>1226</v>
      </c>
      <c r="H2" s="1361" t="s">
        <v>56</v>
      </c>
      <c r="I2" s="1360" t="s">
        <v>110</v>
      </c>
      <c r="J2" s="1360" t="s">
        <v>1227</v>
      </c>
      <c r="K2" s="1362" t="s">
        <v>1228</v>
      </c>
      <c r="L2" s="1363"/>
      <c r="M2" s="1362">
        <v>1</v>
      </c>
      <c r="N2" s="1446" t="s">
        <v>1229</v>
      </c>
      <c r="O2" s="1361" t="s">
        <v>453</v>
      </c>
      <c r="P2" s="1364" t="s">
        <v>1230</v>
      </c>
      <c r="Q2" s="1365" t="s">
        <v>451</v>
      </c>
      <c r="R2" s="427" t="s">
        <v>452</v>
      </c>
      <c r="S2" s="427" t="s">
        <v>1231</v>
      </c>
      <c r="T2" s="1366" t="s">
        <v>1232</v>
      </c>
      <c r="U2" s="1363" t="s">
        <v>1233</v>
      </c>
      <c r="V2" s="1367">
        <v>1</v>
      </c>
      <c r="W2" s="1368"/>
      <c r="X2" s="1368" t="s">
        <v>1234</v>
      </c>
      <c r="Y2" s="1359" t="s">
        <v>1235</v>
      </c>
      <c r="Z2" s="1369"/>
      <c r="AA2" s="1359" t="s">
        <v>1236</v>
      </c>
      <c r="AB2" s="1370" t="s">
        <v>1236</v>
      </c>
      <c r="AC2" s="1359" t="s">
        <v>1237</v>
      </c>
      <c r="AD2" s="1370" t="s">
        <v>1237</v>
      </c>
      <c r="AF2" s="1361" t="s">
        <v>1233</v>
      </c>
      <c r="AH2" s="1360" t="s">
        <v>1238</v>
      </c>
      <c r="AI2" s="1360" t="s">
        <v>1238</v>
      </c>
      <c r="AK2" s="1360" t="s">
        <v>1239</v>
      </c>
      <c r="AM2" s="1360" t="s">
        <v>1240</v>
      </c>
      <c r="AP2" s="1371" t="s">
        <v>1234</v>
      </c>
      <c r="AQ2" s="1372" t="s">
        <v>1234</v>
      </c>
      <c r="AS2" s="1359" t="s">
        <v>1241</v>
      </c>
      <c r="AU2" s="1404" t="s">
        <v>1242</v>
      </c>
      <c r="AW2" s="1404" t="s">
        <v>1243</v>
      </c>
      <c r="AX2" s="1404" t="s">
        <v>1243</v>
      </c>
      <c r="AZ2" s="1404" t="s">
        <v>54</v>
      </c>
      <c r="BB2" s="1404" t="s">
        <v>1244</v>
      </c>
      <c r="BC2" s="1404" t="s">
        <v>1245</v>
      </c>
      <c r="BE2" s="1404">
        <v>2000</v>
      </c>
      <c r="BF2" s="1404" t="s">
        <v>1246</v>
      </c>
    </row>
    <row customHeight="1" ht="11.25">
      <c r="A3" s="1358" t="s">
        <v>1247</v>
      </c>
      <c r="B3" s="1359">
        <v>2001</v>
      </c>
      <c r="C3" s="1359">
        <v>2023</v>
      </c>
      <c r="D3" s="1359" t="s">
        <v>19</v>
      </c>
      <c r="E3" s="1360" t="s">
        <v>1248</v>
      </c>
      <c r="F3" s="1360" t="s">
        <v>1249</v>
      </c>
      <c r="G3" s="1360" t="s">
        <v>1250</v>
      </c>
      <c r="H3" s="1361" t="s">
        <v>1251</v>
      </c>
      <c r="I3" s="1360" t="s">
        <v>111</v>
      </c>
      <c r="J3" s="1360" t="s">
        <v>564</v>
      </c>
      <c r="K3" s="1362" t="s">
        <v>1158</v>
      </c>
      <c r="L3" s="1363">
        <f>_xlfn.IFERROR(MATCH(K3,OFFER_METHOD,0),0)</f>
        <v>4</v>
      </c>
      <c r="M3" s="1362">
        <v>2</v>
      </c>
      <c r="N3" s="1446" t="s">
        <v>1252</v>
      </c>
      <c r="O3" s="1361" t="s">
        <v>1253</v>
      </c>
      <c r="P3" s="1364" t="s">
        <v>37</v>
      </c>
      <c r="Q3" s="1365" t="s">
        <v>1254</v>
      </c>
      <c r="R3" s="427" t="s">
        <v>455</v>
      </c>
      <c r="S3" s="427" t="s">
        <v>1255</v>
      </c>
      <c r="T3" s="1366" t="s">
        <v>1256</v>
      </c>
      <c r="U3" s="1363" t="s">
        <v>1257</v>
      </c>
      <c r="V3" s="1367">
        <v>2</v>
      </c>
      <c r="W3" s="1368"/>
      <c r="X3" s="1368" t="s">
        <v>1258</v>
      </c>
      <c r="Y3" s="1359" t="s">
        <v>1235</v>
      </c>
      <c r="Z3" s="1369"/>
      <c r="AA3" s="1359" t="s">
        <v>1259</v>
      </c>
      <c r="AB3" s="1370" t="s">
        <v>1259</v>
      </c>
      <c r="AC3" s="1359" t="s">
        <v>1260</v>
      </c>
      <c r="AD3" s="1370" t="s">
        <v>1260</v>
      </c>
      <c r="AF3" s="1361" t="s">
        <v>1257</v>
      </c>
      <c r="AH3" s="1360" t="s">
        <v>1261</v>
      </c>
      <c r="AI3" s="1360" t="s">
        <v>1262</v>
      </c>
      <c r="AK3" s="1360" t="s">
        <v>1263</v>
      </c>
      <c r="AM3" s="1360" t="s">
        <v>1264</v>
      </c>
      <c r="AP3" s="1371" t="s">
        <v>1265</v>
      </c>
      <c r="AQ3" s="1372" t="s">
        <v>1265</v>
      </c>
      <c r="AS3" s="1359" t="s">
        <v>1266</v>
      </c>
      <c r="AU3" s="1404" t="s">
        <v>1267</v>
      </c>
      <c r="AW3" s="1404" t="s">
        <v>1268</v>
      </c>
      <c r="AX3" s="1404" t="s">
        <v>1268</v>
      </c>
      <c r="AZ3" s="1404" t="s">
        <v>1269</v>
      </c>
      <c r="BB3" s="1404" t="s">
        <v>1270</v>
      </c>
      <c r="BC3" s="1404" t="s">
        <v>1245</v>
      </c>
      <c r="BE3" s="1404">
        <v>2001</v>
      </c>
      <c r="BF3" s="1404" t="s">
        <v>1271</v>
      </c>
      <c r="BH3" s="1351" t="s">
        <v>1272</v>
      </c>
      <c r="BJ3" s="1351" t="s">
        <v>1273</v>
      </c>
      <c r="BL3" s="1351" t="s">
        <v>1274</v>
      </c>
      <c r="BN3" s="1351" t="s">
        <v>1275</v>
      </c>
      <c r="BR3" s="1351" t="s">
        <v>1276</v>
      </c>
      <c r="BS3" s="1712"/>
      <c r="BT3" s="1354"/>
      <c r="BU3" s="1351" t="s">
        <v>1277</v>
      </c>
      <c r="BV3" s="1354"/>
      <c r="BW3" s="1974"/>
      <c r="BX3" s="1976" t="s">
        <v>1278</v>
      </c>
      <c r="CA3" s="1351" t="s">
        <v>1279</v>
      </c>
    </row>
    <row customHeight="1" ht="11.25">
      <c r="A4" s="1358" t="s">
        <v>1280</v>
      </c>
      <c r="B4" s="1359">
        <v>2002</v>
      </c>
      <c r="C4" s="1359">
        <v>2024</v>
      </c>
      <c r="E4" s="1360" t="s">
        <v>1281</v>
      </c>
      <c r="F4" s="1360" t="s">
        <v>1282</v>
      </c>
      <c r="H4" s="1361" t="s">
        <v>1283</v>
      </c>
      <c r="I4" s="1360" t="s">
        <v>91</v>
      </c>
      <c r="J4" s="1360" t="s">
        <v>1284</v>
      </c>
      <c r="K4" s="1362" t="s">
        <v>1285</v>
      </c>
      <c r="L4" s="1363">
        <f>_xlfn.IFERROR(MATCH(K4,OFFER_METHOD,0),0)</f>
        <v>0</v>
      </c>
      <c r="M4" s="1362">
        <v>3</v>
      </c>
      <c r="N4" s="1446" t="s">
        <v>1286</v>
      </c>
      <c r="O4" s="1360" t="s">
        <v>1287</v>
      </c>
      <c r="Q4" s="1365" t="s">
        <v>1288</v>
      </c>
      <c r="R4" s="427" t="s">
        <v>1289</v>
      </c>
      <c r="S4" s="427" t="s">
        <v>1290</v>
      </c>
      <c r="T4" s="1366" t="s">
        <v>1291</v>
      </c>
      <c r="U4" s="1363" t="s">
        <v>1292</v>
      </c>
      <c r="V4" s="1367">
        <v>3</v>
      </c>
      <c r="W4" s="1368"/>
      <c r="X4" s="1368" t="s">
        <v>1293</v>
      </c>
      <c r="Y4" s="1359" t="s">
        <v>1235</v>
      </c>
      <c r="Z4" s="1375"/>
      <c r="AC4" s="1359" t="s">
        <v>1294</v>
      </c>
      <c r="AD4" s="1370" t="s">
        <v>1294</v>
      </c>
      <c r="AF4" s="1361" t="s">
        <v>1292</v>
      </c>
      <c r="AH4" s="1361" t="s">
        <v>1295</v>
      </c>
      <c r="AK4" s="1360" t="s">
        <v>1296</v>
      </c>
      <c r="AM4" s="1360" t="s">
        <v>1297</v>
      </c>
      <c r="AP4" s="1371" t="s">
        <v>1258</v>
      </c>
      <c r="AQ4" s="1372" t="s">
        <v>1258</v>
      </c>
      <c r="AS4" s="1359" t="s">
        <v>1298</v>
      </c>
      <c r="AU4" s="1404" t="s">
        <v>1299</v>
      </c>
      <c r="AW4" s="1404" t="s">
        <v>1300</v>
      </c>
      <c r="AX4" s="1404" t="s">
        <v>1300</v>
      </c>
      <c r="AZ4" s="1404" t="s">
        <v>1301</v>
      </c>
      <c r="BB4" s="1404" t="s">
        <v>1302</v>
      </c>
      <c r="BC4" s="1404" t="s">
        <v>1303</v>
      </c>
      <c r="BE4" s="1404">
        <v>2002</v>
      </c>
      <c r="BF4" s="1404" t="s">
        <v>1304</v>
      </c>
      <c r="BH4" s="1352" t="s">
        <v>1305</v>
      </c>
      <c r="BJ4" s="1352" t="s">
        <v>1305</v>
      </c>
      <c r="BL4" s="1352" t="s">
        <v>1305</v>
      </c>
      <c r="BN4" s="1352" t="s">
        <v>1305</v>
      </c>
      <c r="BQ4" s="1716" t="s">
        <v>1306</v>
      </c>
      <c r="BR4" s="1443" t="s">
        <v>1307</v>
      </c>
      <c r="BS4" s="558"/>
      <c r="BT4" s="1716" t="s">
        <v>1308</v>
      </c>
      <c r="BU4" s="1443" t="s">
        <v>1309</v>
      </c>
      <c r="BV4" s="1354"/>
      <c r="BW4" s="1981" t="s">
        <v>1310</v>
      </c>
      <c r="BX4" s="1975" t="s">
        <v>1311</v>
      </c>
      <c r="BZ4" s="1716" t="s">
        <v>1312</v>
      </c>
      <c r="CA4" s="1443" t="s">
        <v>1313</v>
      </c>
    </row>
    <row customHeight="1" ht="11.25">
      <c r="A5" s="1358" t="s">
        <v>1314</v>
      </c>
      <c r="B5" s="1359">
        <v>2003</v>
      </c>
      <c r="C5" s="1359">
        <v>2025</v>
      </c>
      <c r="E5" s="1360" t="s">
        <v>1315</v>
      </c>
      <c r="F5" s="1360" t="s">
        <v>1316</v>
      </c>
      <c r="H5" s="1361" t="s">
        <v>1317</v>
      </c>
      <c r="I5" s="1360" t="s">
        <v>92</v>
      </c>
      <c r="K5" s="1362" t="s">
        <v>1318</v>
      </c>
      <c r="L5" s="1363">
        <f>_xlfn.IFERROR(MATCH(K5,OFFER_METHOD,0),0)</f>
        <v>0</v>
      </c>
      <c r="M5" s="1362">
        <v>4</v>
      </c>
      <c r="N5" s="1376" t="s">
        <v>1319</v>
      </c>
      <c r="O5" s="1360" t="s">
        <v>1320</v>
      </c>
      <c r="Q5" s="1365" t="s">
        <v>1321</v>
      </c>
      <c r="R5" s="427" t="s">
        <v>456</v>
      </c>
      <c r="T5" s="1361" t="s">
        <v>1322</v>
      </c>
      <c r="U5" s="1363" t="s">
        <v>1323</v>
      </c>
      <c r="V5" s="1367">
        <v>4</v>
      </c>
      <c r="W5" s="1368"/>
      <c r="X5" s="1368" t="s">
        <v>173</v>
      </c>
      <c r="Y5" s="1359" t="s">
        <v>1324</v>
      </c>
      <c r="Z5" s="1375">
        <v>1</v>
      </c>
      <c r="AF5" s="1361" t="s">
        <v>1325</v>
      </c>
      <c r="AH5" s="1360" t="s">
        <v>1326</v>
      </c>
      <c r="AK5" s="1360" t="s">
        <v>1327</v>
      </c>
      <c r="AM5" s="1360" t="s">
        <v>1328</v>
      </c>
      <c r="AP5" s="1371" t="s">
        <v>173</v>
      </c>
      <c r="AQ5" s="1372" t="s">
        <v>173</v>
      </c>
      <c r="AU5" s="1404" t="s">
        <v>1329</v>
      </c>
      <c r="AW5" s="1404" t="s">
        <v>1330</v>
      </c>
      <c r="AX5" s="1404" t="s">
        <v>1330</v>
      </c>
      <c r="AZ5" s="1404" t="s">
        <v>1331</v>
      </c>
      <c r="BB5" s="1404" t="s">
        <v>1332</v>
      </c>
      <c r="BC5" s="1404" t="s">
        <v>1333</v>
      </c>
      <c r="BE5" s="1404">
        <v>2003</v>
      </c>
      <c r="BF5" s="1404" t="s">
        <v>1334</v>
      </c>
      <c r="BH5" s="1352" t="s">
        <v>1335</v>
      </c>
      <c r="BJ5" s="1352" t="s">
        <v>1335</v>
      </c>
      <c r="BL5" s="1352" t="s">
        <v>1335</v>
      </c>
      <c r="BN5" s="1352" t="s">
        <v>1336</v>
      </c>
      <c r="BQ5" s="1565">
        <v>4213775</v>
      </c>
      <c r="BR5" s="1352" t="s">
        <v>1234</v>
      </c>
      <c r="BS5" s="1713"/>
      <c r="BT5" s="1565">
        <v>64236871</v>
      </c>
      <c r="BU5" s="1352" t="s">
        <v>234</v>
      </c>
      <c r="BV5" s="1354"/>
      <c r="BW5" s="1979">
        <v>4213767</v>
      </c>
      <c r="BX5" s="1977" t="s">
        <v>1337</v>
      </c>
      <c r="BZ5" s="1565">
        <v>64237509</v>
      </c>
      <c r="CA5" s="1579" t="s">
        <v>1338</v>
      </c>
    </row>
    <row customHeight="1" ht="11.25">
      <c r="A6" s="1358" t="s">
        <v>1339</v>
      </c>
      <c r="B6" s="1359">
        <v>2004</v>
      </c>
      <c r="C6" s="1359">
        <v>2026</v>
      </c>
      <c r="E6" s="1360" t="s">
        <v>1340</v>
      </c>
      <c r="F6" s="1377"/>
      <c r="H6" s="1361" t="s">
        <v>1341</v>
      </c>
      <c r="I6" s="1360" t="s">
        <v>112</v>
      </c>
      <c r="J6" s="1351" t="s">
        <v>1342</v>
      </c>
      <c r="L6" s="1363">
        <f>SUM(kind_of_control_method_filter)</f>
        <v>4</v>
      </c>
      <c r="N6" s="1376" t="s">
        <v>1343</v>
      </c>
      <c r="O6" s="1360" t="s">
        <v>1344</v>
      </c>
      <c r="R6" s="427" t="s">
        <v>451</v>
      </c>
      <c r="T6" s="1361" t="s">
        <v>1345</v>
      </c>
      <c r="U6" s="1363" t="s">
        <v>1325</v>
      </c>
      <c r="V6" s="1367">
        <v>5</v>
      </c>
      <c r="W6" s="1368"/>
      <c r="X6" s="1359" t="s">
        <v>179</v>
      </c>
      <c r="Y6" s="1359" t="s">
        <v>1346</v>
      </c>
      <c r="Z6" s="1375"/>
      <c r="AA6" s="1378"/>
      <c r="AH6" s="1360" t="s">
        <v>1347</v>
      </c>
      <c r="AK6" s="1360" t="s">
        <v>1348</v>
      </c>
      <c r="AM6" s="1360" t="s">
        <v>1349</v>
      </c>
      <c r="AP6" s="1371" t="s">
        <v>179</v>
      </c>
      <c r="AQ6" s="1372" t="s">
        <v>179</v>
      </c>
      <c r="AU6" s="1404" t="s">
        <v>1350</v>
      </c>
      <c r="AW6" s="1404" t="s">
        <v>1351</v>
      </c>
      <c r="AX6" s="1404" t="s">
        <v>1351</v>
      </c>
      <c r="BB6" s="1404" t="s">
        <v>1352</v>
      </c>
      <c r="BC6" s="1404" t="s">
        <v>1333</v>
      </c>
      <c r="BE6" s="1404">
        <v>2004</v>
      </c>
      <c r="BF6" s="1404" t="s">
        <v>1353</v>
      </c>
      <c r="BH6" s="1352" t="s">
        <v>1354</v>
      </c>
      <c r="BJ6" s="1352" t="s">
        <v>1355</v>
      </c>
      <c r="BL6" s="1352" t="s">
        <v>1355</v>
      </c>
      <c r="BN6" s="1352" t="s">
        <v>1356</v>
      </c>
      <c r="BQ6" s="1565">
        <v>4213784</v>
      </c>
      <c r="BR6" s="1579" t="s">
        <v>1265</v>
      </c>
      <c r="BS6" s="1714"/>
      <c r="BT6" s="1565">
        <v>64236872</v>
      </c>
      <c r="BU6" s="1352" t="s">
        <v>239</v>
      </c>
      <c r="BV6" s="1354"/>
      <c r="BW6" s="1979">
        <v>4213768</v>
      </c>
      <c r="BX6" s="1977" t="s">
        <v>259</v>
      </c>
      <c r="BZ6" s="1565">
        <v>64237510</v>
      </c>
      <c r="CA6" s="1352" t="s">
        <v>1357</v>
      </c>
    </row>
    <row customHeight="1" ht="11.25">
      <c r="A7" s="1358" t="s">
        <v>1358</v>
      </c>
      <c r="B7" s="1359">
        <v>2005</v>
      </c>
      <c r="E7" s="1360" t="s">
        <v>1359</v>
      </c>
      <c r="F7" s="1377"/>
      <c r="H7" s="1361" t="s">
        <v>1360</v>
      </c>
      <c r="I7" s="1360" t="s">
        <v>93</v>
      </c>
      <c r="J7" s="1360" t="s">
        <v>1361</v>
      </c>
      <c r="N7" s="1380" t="s">
        <v>1362</v>
      </c>
      <c r="O7" s="1360" t="s">
        <v>1363</v>
      </c>
      <c r="U7" s="1363" t="s">
        <v>19</v>
      </c>
      <c r="V7" s="654" t="s">
        <v>93</v>
      </c>
      <c r="W7" s="1368"/>
      <c r="X7" s="1359" t="s">
        <v>185</v>
      </c>
      <c r="Y7" s="1359" t="s">
        <v>1324</v>
      </c>
      <c r="Z7" s="1375"/>
      <c r="AA7" s="1378"/>
      <c r="AH7" s="1360" t="s">
        <v>1364</v>
      </c>
      <c r="AK7" s="1360" t="s">
        <v>1365</v>
      </c>
      <c r="AM7" s="1360" t="s">
        <v>1366</v>
      </c>
      <c r="AP7" s="1371" t="s">
        <v>185</v>
      </c>
      <c r="AQ7" s="1372" t="s">
        <v>185</v>
      </c>
      <c r="AU7" s="1404" t="s">
        <v>1367</v>
      </c>
      <c r="AW7" s="1404" t="s">
        <v>1368</v>
      </c>
      <c r="AX7" s="1404" t="s">
        <v>1368</v>
      </c>
      <c r="AZ7" s="1351" t="s">
        <v>1369</v>
      </c>
      <c r="BB7" s="1404" t="s">
        <v>1370</v>
      </c>
      <c r="BC7" s="1404" t="s">
        <v>1333</v>
      </c>
      <c r="BE7" s="1404">
        <v>2005</v>
      </c>
      <c r="BF7" s="1404" t="s">
        <v>1371</v>
      </c>
      <c r="BH7" s="1352" t="s">
        <v>1372</v>
      </c>
      <c r="BJ7" s="1352" t="s">
        <v>1354</v>
      </c>
      <c r="BL7" s="1352" t="s">
        <v>1354</v>
      </c>
      <c r="BN7" s="1352" t="s">
        <v>1373</v>
      </c>
      <c r="BQ7" s="1565">
        <v>4213781</v>
      </c>
      <c r="BR7" s="1352" t="s">
        <v>1258</v>
      </c>
      <c r="BS7" s="1713"/>
      <c r="BT7" s="1565">
        <v>64236873</v>
      </c>
      <c r="BU7" s="1352" t="s">
        <v>244</v>
      </c>
      <c r="BV7" s="1354"/>
      <c r="BW7" s="1979">
        <v>4213769</v>
      </c>
      <c r="BX7" s="1977" t="s">
        <v>1374</v>
      </c>
      <c r="BZ7" s="1565">
        <v>64237511</v>
      </c>
      <c r="CA7" s="1352" t="s">
        <v>274</v>
      </c>
    </row>
    <row customHeight="1" ht="11.25">
      <c r="A8" s="1358" t="s">
        <v>1375</v>
      </c>
      <c r="B8" s="1359">
        <v>2006</v>
      </c>
      <c r="E8" s="1360" t="s">
        <v>1376</v>
      </c>
      <c r="F8" s="1377"/>
      <c r="H8" s="1361" t="s">
        <v>1377</v>
      </c>
      <c r="I8" s="1360" t="s">
        <v>94</v>
      </c>
      <c r="J8" s="1360" t="s">
        <v>1378</v>
      </c>
      <c r="N8" s="1447" t="s">
        <v>1379</v>
      </c>
      <c r="O8" s="1360" t="s">
        <v>1380</v>
      </c>
      <c r="V8" s="654" t="s">
        <v>94</v>
      </c>
      <c r="W8" s="1368"/>
      <c r="X8" s="1359" t="s">
        <v>191</v>
      </c>
      <c r="Y8" s="1359" t="s">
        <v>1324</v>
      </c>
      <c r="Z8" s="1375"/>
      <c r="AA8" s="1378"/>
      <c r="AK8" s="1360" t="s">
        <v>1381</v>
      </c>
      <c r="AP8" s="1371" t="s">
        <v>191</v>
      </c>
      <c r="AQ8" s="1372" t="s">
        <v>191</v>
      </c>
      <c r="AU8" s="1404" t="s">
        <v>1382</v>
      </c>
      <c r="AW8" s="1404" t="s">
        <v>1383</v>
      </c>
      <c r="AX8" s="1404" t="s">
        <v>1383</v>
      </c>
      <c r="AZ8" s="1404" t="s">
        <v>1384</v>
      </c>
      <c r="BB8" s="1404" t="s">
        <v>1385</v>
      </c>
      <c r="BC8" s="1404" t="s">
        <v>1333</v>
      </c>
      <c r="BE8" s="1404">
        <v>2006</v>
      </c>
      <c r="BF8" s="1404" t="s">
        <v>1386</v>
      </c>
      <c r="BH8" s="1352" t="s">
        <v>1387</v>
      </c>
      <c r="BJ8" s="1352" t="s">
        <v>1388</v>
      </c>
      <c r="BL8" s="1352" t="s">
        <v>1388</v>
      </c>
      <c r="BN8" s="1352" t="s">
        <v>1389</v>
      </c>
      <c r="BQ8" s="1565">
        <v>4213776</v>
      </c>
      <c r="BR8" s="1352" t="s">
        <v>173</v>
      </c>
      <c r="BS8" s="1713"/>
      <c r="BT8" s="1565">
        <v>64236874</v>
      </c>
      <c r="BU8" s="1579" t="s">
        <v>1390</v>
      </c>
      <c r="BV8" s="1354"/>
      <c r="BW8" s="1979">
        <v>4213770</v>
      </c>
      <c r="BX8" s="1980" t="s">
        <v>1391</v>
      </c>
      <c r="BZ8" s="1565">
        <v>64237512</v>
      </c>
      <c r="CA8" s="1352" t="s">
        <v>269</v>
      </c>
    </row>
    <row customHeight="1" ht="11.25">
      <c r="A9" s="1358" t="s">
        <v>1392</v>
      </c>
      <c r="B9" s="1359">
        <v>2007</v>
      </c>
      <c r="E9" s="1360" t="s">
        <v>1393</v>
      </c>
      <c r="F9" s="1377"/>
      <c r="G9" s="1351" t="s">
        <v>1394</v>
      </c>
      <c r="H9" s="1351" t="s">
        <v>1395</v>
      </c>
      <c r="I9" s="1360" t="s">
        <v>113</v>
      </c>
      <c r="O9" s="1360" t="s">
        <v>1396</v>
      </c>
      <c r="V9" s="654" t="s">
        <v>113</v>
      </c>
      <c r="W9" s="1368"/>
      <c r="X9" s="1359" t="s">
        <v>197</v>
      </c>
      <c r="Y9" s="1359" t="s">
        <v>1235</v>
      </c>
      <c r="Z9" s="1375">
        <v>1</v>
      </c>
      <c r="AA9" s="1378"/>
      <c r="AK9" s="1360" t="s">
        <v>1397</v>
      </c>
      <c r="AP9" s="1371" t="s">
        <v>1398</v>
      </c>
      <c r="AQ9" s="1372" t="s">
        <v>1398</v>
      </c>
      <c r="AW9" s="1404" t="s">
        <v>1399</v>
      </c>
      <c r="AX9" s="1404" t="s">
        <v>1399</v>
      </c>
      <c r="AZ9" s="1404" t="s">
        <v>1400</v>
      </c>
      <c r="BB9" s="1404" t="s">
        <v>1401</v>
      </c>
      <c r="BC9" s="1404" t="s">
        <v>1333</v>
      </c>
      <c r="BE9" s="1404">
        <v>2007</v>
      </c>
      <c r="BF9" s="1404" t="s">
        <v>1402</v>
      </c>
      <c r="BH9" s="1352" t="s">
        <v>1403</v>
      </c>
      <c r="BJ9" s="1352" t="s">
        <v>1404</v>
      </c>
      <c r="BL9" s="1352" t="s">
        <v>1404</v>
      </c>
      <c r="BN9" s="1352" t="s">
        <v>1405</v>
      </c>
      <c r="BQ9" s="1565">
        <v>4213777</v>
      </c>
      <c r="BR9" s="1352" t="s">
        <v>179</v>
      </c>
      <c r="BS9" s="1713"/>
      <c r="BT9" s="1565">
        <v>64236875</v>
      </c>
      <c r="BU9" s="1352" t="s">
        <v>249</v>
      </c>
      <c r="BV9" s="1354"/>
      <c r="BW9" s="1974"/>
      <c r="BX9" s="1974"/>
    </row>
    <row customHeight="1" ht="11.25">
      <c r="A10" s="1358" t="s">
        <v>1406</v>
      </c>
      <c r="B10" s="1359">
        <v>2008</v>
      </c>
      <c r="E10" s="1360" t="s">
        <v>1407</v>
      </c>
      <c r="F10" s="1377"/>
      <c r="G10" s="1360" t="s">
        <v>1408</v>
      </c>
      <c r="H10" s="1360" t="s">
        <v>1409</v>
      </c>
      <c r="I10" s="1360" t="s">
        <v>149</v>
      </c>
      <c r="J10" s="1351" t="s">
        <v>1410</v>
      </c>
      <c r="K10" s="1351" t="s">
        <v>1411</v>
      </c>
      <c r="O10" s="1360" t="s">
        <v>1412</v>
      </c>
      <c r="V10" s="655" t="s">
        <v>149</v>
      </c>
      <c r="W10" s="1381"/>
      <c r="X10" s="1381" t="s">
        <v>1413</v>
      </c>
      <c r="Y10" s="1382" t="s">
        <v>1414</v>
      </c>
      <c r="Z10" s="1375"/>
      <c r="AP10" s="1371" t="s">
        <v>1413</v>
      </c>
      <c r="AQ10" s="1372" t="s">
        <v>1413</v>
      </c>
      <c r="AW10" s="1404" t="s">
        <v>1415</v>
      </c>
      <c r="AX10" s="1404" t="s">
        <v>1415</v>
      </c>
      <c r="AZ10" s="1404" t="s">
        <v>1416</v>
      </c>
      <c r="BB10" s="1404" t="s">
        <v>1417</v>
      </c>
      <c r="BC10" s="1404" t="s">
        <v>1333</v>
      </c>
      <c r="BE10" s="1404">
        <v>2008</v>
      </c>
      <c r="BF10" s="1404" t="s">
        <v>1418</v>
      </c>
      <c r="BH10" s="1352" t="s">
        <v>1419</v>
      </c>
      <c r="BJ10" s="1352" t="s">
        <v>1420</v>
      </c>
      <c r="BL10" s="1352" t="s">
        <v>1420</v>
      </c>
      <c r="BN10" s="1352" t="s">
        <v>1421</v>
      </c>
      <c r="BQ10" s="1565">
        <v>4213778</v>
      </c>
      <c r="BR10" s="1352" t="s">
        <v>185</v>
      </c>
      <c r="BS10" s="1713"/>
      <c r="BT10" s="1565">
        <v>64236876</v>
      </c>
      <c r="BU10" s="1352" t="s">
        <v>229</v>
      </c>
      <c r="BV10" s="1354"/>
      <c r="BW10" s="1974"/>
      <c r="BX10" s="1974"/>
    </row>
    <row customHeight="1" ht="11.25">
      <c r="A11" s="1358" t="s">
        <v>1422</v>
      </c>
      <c r="B11" s="1359">
        <v>2009</v>
      </c>
      <c r="E11" s="1360" t="s">
        <v>1423</v>
      </c>
      <c r="F11" s="1377"/>
      <c r="G11" s="1360" t="s">
        <v>1424</v>
      </c>
      <c r="H11" s="1360" t="s">
        <v>1425</v>
      </c>
      <c r="I11" s="1360" t="s">
        <v>150</v>
      </c>
      <c r="J11" s="1361" t="s">
        <v>1426</v>
      </c>
      <c r="K11" s="1383" t="s">
        <v>1427</v>
      </c>
      <c r="O11" s="1361" t="s">
        <v>1428</v>
      </c>
      <c r="V11" s="654" t="s">
        <v>150</v>
      </c>
      <c r="W11" s="559"/>
      <c r="X11" s="1368" t="s">
        <v>1398</v>
      </c>
      <c r="Y11" s="1359" t="s">
        <v>1429</v>
      </c>
      <c r="Z11" s="1375"/>
      <c r="AP11" s="1371" t="s">
        <v>197</v>
      </c>
      <c r="AQ11" s="1373" t="s">
        <v>197</v>
      </c>
      <c r="AW11" s="1404" t="s">
        <v>1430</v>
      </c>
      <c r="AX11" s="1404" t="s">
        <v>1430</v>
      </c>
      <c r="AZ11" s="1404" t="s">
        <v>1431</v>
      </c>
      <c r="BB11" s="1404" t="s">
        <v>1432</v>
      </c>
      <c r="BC11" s="1404" t="s">
        <v>1333</v>
      </c>
      <c r="BE11" s="1404">
        <v>2009</v>
      </c>
      <c r="BF11" s="1404" t="s">
        <v>1433</v>
      </c>
      <c r="BH11" s="1352" t="s">
        <v>1434</v>
      </c>
      <c r="BJ11" s="1352" t="s">
        <v>1403</v>
      </c>
      <c r="BL11" s="1352" t="s">
        <v>1403</v>
      </c>
      <c r="BN11" s="1352" t="s">
        <v>1435</v>
      </c>
      <c r="BQ11" s="1565">
        <v>4213780</v>
      </c>
      <c r="BR11" s="1352" t="s">
        <v>191</v>
      </c>
      <c r="BS11" s="1713"/>
      <c r="BW11" s="1974"/>
      <c r="BX11" s="1974"/>
    </row>
    <row customHeight="1" ht="11.25">
      <c r="A12" s="1358" t="s">
        <v>1436</v>
      </c>
      <c r="B12" s="1359">
        <v>2010</v>
      </c>
      <c r="E12" s="1360" t="s">
        <v>1437</v>
      </c>
      <c r="F12" s="1377"/>
      <c r="G12" s="1360" t="s">
        <v>1425</v>
      </c>
      <c r="I12" s="1360" t="s">
        <v>151</v>
      </c>
      <c r="J12" s="1361" t="s">
        <v>1438</v>
      </c>
      <c r="K12" s="1383" t="s">
        <v>1439</v>
      </c>
      <c r="O12" s="1361" t="s">
        <v>451</v>
      </c>
      <c r="V12" s="654" t="s">
        <v>151</v>
      </c>
      <c r="W12" s="1373"/>
      <c r="X12" s="1368" t="s">
        <v>1440</v>
      </c>
      <c r="Y12" s="1359" t="s">
        <v>1235</v>
      </c>
      <c r="AP12" s="1371"/>
      <c r="AW12" s="1404" t="s">
        <v>150</v>
      </c>
      <c r="AX12" s="1404" t="s">
        <v>150</v>
      </c>
      <c r="AZ12" s="1404" t="s">
        <v>1441</v>
      </c>
      <c r="BB12" s="1404" t="s">
        <v>1442</v>
      </c>
      <c r="BC12" s="1404" t="s">
        <v>1333</v>
      </c>
      <c r="BE12" s="1404">
        <v>2010</v>
      </c>
      <c r="BF12" s="1404" t="s">
        <v>1443</v>
      </c>
      <c r="BH12" s="1352" t="s">
        <v>1444</v>
      </c>
      <c r="BJ12" s="1352" t="s">
        <v>1445</v>
      </c>
      <c r="BL12" s="1352" t="s">
        <v>1445</v>
      </c>
      <c r="BN12" s="1352" t="s">
        <v>1446</v>
      </c>
      <c r="BQ12" s="1565">
        <v>4213779</v>
      </c>
      <c r="BR12" s="1352" t="s">
        <v>1398</v>
      </c>
      <c r="BS12" s="1713"/>
      <c r="BT12" s="1354"/>
      <c r="BU12" s="1354"/>
      <c r="BV12" s="1354"/>
      <c r="BW12" s="1974"/>
      <c r="BX12" s="1974"/>
    </row>
    <row customHeight="1" ht="11.25">
      <c r="A13" s="1358" t="s">
        <v>1447</v>
      </c>
      <c r="B13" s="1359">
        <v>2011</v>
      </c>
      <c r="E13" s="1360" t="s">
        <v>1448</v>
      </c>
      <c r="F13" s="1377"/>
      <c r="I13" s="1360" t="s">
        <v>152</v>
      </c>
      <c r="K13" s="1383" t="s">
        <v>1397</v>
      </c>
      <c r="V13" s="654" t="s">
        <v>152</v>
      </c>
      <c r="W13" s="1373"/>
      <c r="X13" s="1373"/>
      <c r="Y13" s="1373"/>
      <c r="AW13" s="1404" t="s">
        <v>151</v>
      </c>
      <c r="AX13" s="1404" t="s">
        <v>151</v>
      </c>
      <c r="BB13" s="1404" t="s">
        <v>1449</v>
      </c>
      <c r="BC13" s="1404" t="s">
        <v>1450</v>
      </c>
      <c r="BE13" s="1404">
        <v>2011</v>
      </c>
      <c r="BF13" s="1404" t="s">
        <v>1451</v>
      </c>
      <c r="BH13" s="1352" t="s">
        <v>1452</v>
      </c>
      <c r="BJ13" s="1352" t="s">
        <v>1434</v>
      </c>
      <c r="BL13" s="1352" t="s">
        <v>1434</v>
      </c>
      <c r="BN13" s="1352" t="s">
        <v>1453</v>
      </c>
      <c r="BQ13" s="1565">
        <v>4213783</v>
      </c>
      <c r="BR13" s="1352" t="s">
        <v>1413</v>
      </c>
      <c r="BS13" s="1713"/>
      <c r="BT13" s="1354"/>
      <c r="BU13" s="1354"/>
      <c r="BV13" s="1354"/>
      <c r="BW13" s="1978"/>
      <c r="BX13" s="1974"/>
    </row>
    <row customHeight="1" ht="11.25">
      <c r="A14" s="1358" t="s">
        <v>1454</v>
      </c>
      <c r="B14" s="1359">
        <v>2012</v>
      </c>
      <c r="I14" s="1360" t="s">
        <v>153</v>
      </c>
      <c r="J14" s="1351" t="s">
        <v>1455</v>
      </c>
      <c r="N14" s="1351" t="s">
        <v>1456</v>
      </c>
      <c r="V14" s="1367">
        <v>13</v>
      </c>
      <c r="W14" s="1368"/>
      <c r="X14" s="1368" t="s">
        <v>1265</v>
      </c>
      <c r="Y14" s="1359" t="s">
        <v>1235</v>
      </c>
      <c r="AW14" s="1404" t="s">
        <v>152</v>
      </c>
      <c r="AX14" s="1404" t="s">
        <v>152</v>
      </c>
      <c r="AZ14" s="1351" t="s">
        <v>1457</v>
      </c>
      <c r="BB14" s="1404" t="s">
        <v>1458</v>
      </c>
      <c r="BC14" s="1404" t="s">
        <v>1450</v>
      </c>
      <c r="BE14" s="1404">
        <v>2012</v>
      </c>
      <c r="BH14" s="1352" t="s">
        <v>1373</v>
      </c>
      <c r="BJ14" s="1501" t="s">
        <v>1459</v>
      </c>
      <c r="BL14" s="1501" t="s">
        <v>1459</v>
      </c>
      <c r="BN14" s="1352" t="s">
        <v>1460</v>
      </c>
      <c r="BQ14" s="1565">
        <v>4213782</v>
      </c>
      <c r="BR14" s="1352" t="s">
        <v>197</v>
      </c>
      <c r="BS14" s="1713"/>
      <c r="BT14" s="1354"/>
      <c r="BU14" s="1354"/>
      <c r="BV14" s="1354"/>
      <c r="BW14" s="1978"/>
      <c r="BX14" s="1974"/>
    </row>
    <row customHeight="1" ht="19.5">
      <c r="A15" s="1358" t="s">
        <v>1461</v>
      </c>
      <c r="B15" s="1359">
        <v>2013</v>
      </c>
      <c r="E15" s="1982" t="s">
        <v>1462</v>
      </c>
      <c r="G15" s="1351" t="s">
        <v>1463</v>
      </c>
      <c r="H15" s="1351" t="s">
        <v>1464</v>
      </c>
      <c r="I15" s="1362" t="s">
        <v>154</v>
      </c>
      <c r="J15" s="1373" t="s">
        <v>591</v>
      </c>
      <c r="N15" s="1442" t="s">
        <v>1465</v>
      </c>
      <c r="X15" s="1371"/>
      <c r="AW15" s="1404" t="s">
        <v>153</v>
      </c>
      <c r="AX15" s="1404" t="s">
        <v>153</v>
      </c>
      <c r="AZ15" s="1404" t="s">
        <v>1384</v>
      </c>
      <c r="BB15" s="1404" t="s">
        <v>1466</v>
      </c>
      <c r="BC15" s="1404" t="s">
        <v>1450</v>
      </c>
      <c r="BE15" s="1404">
        <v>2013</v>
      </c>
      <c r="BH15" s="1352" t="s">
        <v>1389</v>
      </c>
      <c r="BJ15" s="1501" t="s">
        <v>1467</v>
      </c>
      <c r="BL15" s="1501" t="s">
        <v>1467</v>
      </c>
      <c r="BN15" s="1352" t="s">
        <v>1468</v>
      </c>
      <c r="BR15" s="1354"/>
      <c r="BS15" s="1715"/>
      <c r="BT15" s="1354"/>
      <c r="BU15" s="1354"/>
      <c r="BV15" s="1354"/>
      <c r="BW15" s="1978"/>
      <c r="BX15" s="1974"/>
    </row>
    <row customHeight="1" ht="21">
      <c r="A16" s="2154" t="s">
        <v>1469</v>
      </c>
      <c r="B16" s="1359">
        <v>2014</v>
      </c>
      <c r="E16" s="1983" t="s">
        <v>1470</v>
      </c>
      <c r="G16" s="1360" t="s">
        <v>1471</v>
      </c>
      <c r="H16" s="1360" t="s">
        <v>1472</v>
      </c>
      <c r="I16" s="1362" t="s">
        <v>1473</v>
      </c>
      <c r="J16" s="1373" t="s">
        <v>564</v>
      </c>
      <c r="N16" s="1442" t="s">
        <v>1474</v>
      </c>
      <c r="AW16" s="1404" t="s">
        <v>154</v>
      </c>
      <c r="AX16" s="1404" t="s">
        <v>154</v>
      </c>
      <c r="AZ16" s="1404" t="s">
        <v>1400</v>
      </c>
      <c r="BB16" s="1404" t="s">
        <v>1475</v>
      </c>
      <c r="BC16" s="1404" t="s">
        <v>1450</v>
      </c>
      <c r="BE16" s="1404">
        <v>2014</v>
      </c>
      <c r="BH16" s="1352" t="s">
        <v>1405</v>
      </c>
      <c r="BJ16" s="1501" t="s">
        <v>1476</v>
      </c>
      <c r="BL16" s="1501" t="s">
        <v>1476</v>
      </c>
      <c r="BN16" s="1352" t="s">
        <v>1477</v>
      </c>
      <c r="BR16" s="1354"/>
      <c r="BS16" s="1715"/>
      <c r="BT16" s="1354"/>
      <c r="BU16" s="1354"/>
      <c r="BV16" s="1354"/>
      <c r="BW16" s="1978"/>
      <c r="BX16" s="1974"/>
    </row>
    <row customHeight="1" ht="21">
      <c r="A17" s="1358" t="s">
        <v>1478</v>
      </c>
      <c r="B17" s="1359">
        <v>2015</v>
      </c>
      <c r="G17" s="1360" t="s">
        <v>1425</v>
      </c>
      <c r="H17" s="1360" t="s">
        <v>1425</v>
      </c>
      <c r="I17" s="1360" t="s">
        <v>1479</v>
      </c>
      <c r="N17" s="1442" t="s">
        <v>1480</v>
      </c>
      <c r="X17" s="1371"/>
      <c r="AW17" s="1404" t="s">
        <v>1473</v>
      </c>
      <c r="AX17" s="1404" t="s">
        <v>1473</v>
      </c>
      <c r="AZ17" s="1404" t="s">
        <v>1481</v>
      </c>
      <c r="BB17" s="1404" t="s">
        <v>1482</v>
      </c>
      <c r="BC17" s="1404" t="s">
        <v>1333</v>
      </c>
      <c r="BE17" s="1404">
        <v>2015</v>
      </c>
      <c r="BH17" s="1352" t="s">
        <v>1421</v>
      </c>
      <c r="BJ17" s="1501" t="s">
        <v>1483</v>
      </c>
      <c r="BL17" s="1501" t="s">
        <v>1483</v>
      </c>
      <c r="BN17" s="1352" t="s">
        <v>1484</v>
      </c>
      <c r="BR17" s="1351" t="s">
        <v>1276</v>
      </c>
      <c r="BS17" s="1712"/>
      <c r="BU17" s="1351" t="s">
        <v>1485</v>
      </c>
      <c r="BV17" s="1354"/>
      <c r="BW17" s="1974"/>
      <c r="BX17" s="1976" t="s">
        <v>1486</v>
      </c>
      <c r="CA17" s="1351" t="s">
        <v>1487</v>
      </c>
      <c r="CD17" s="1351" t="s">
        <v>1488</v>
      </c>
    </row>
    <row customHeight="1" ht="21">
      <c r="A18" s="1358" t="s">
        <v>1489</v>
      </c>
      <c r="B18" s="1359">
        <v>2016</v>
      </c>
      <c r="E18" s="2289" t="s">
        <v>1490</v>
      </c>
      <c r="I18" s="1360" t="s">
        <v>1491</v>
      </c>
      <c r="N18" s="1442" t="s">
        <v>1492</v>
      </c>
      <c r="X18" s="1371"/>
      <c r="AW18" s="1404" t="s">
        <v>1479</v>
      </c>
      <c r="AX18" s="1404" t="s">
        <v>1479</v>
      </c>
      <c r="BB18" s="1404" t="s">
        <v>1493</v>
      </c>
      <c r="BC18" s="1404" t="s">
        <v>1333</v>
      </c>
      <c r="BE18" s="1404">
        <v>2016</v>
      </c>
      <c r="BH18" s="1352" t="s">
        <v>1435</v>
      </c>
      <c r="BJ18" s="1501" t="s">
        <v>1494</v>
      </c>
      <c r="BL18" s="1501" t="s">
        <v>1494</v>
      </c>
      <c r="BN18" s="1352" t="s">
        <v>1495</v>
      </c>
      <c r="BQ18" s="1716" t="s">
        <v>1306</v>
      </c>
      <c r="BR18" s="1443" t="s">
        <v>1307</v>
      </c>
      <c r="BS18" s="558"/>
      <c r="BT18" s="1716" t="s">
        <v>1496</v>
      </c>
      <c r="BU18" s="1443" t="s">
        <v>1497</v>
      </c>
      <c r="BV18" s="1354"/>
      <c r="BW18" s="1981" t="s">
        <v>1498</v>
      </c>
      <c r="BX18" s="1975" t="s">
        <v>1499</v>
      </c>
      <c r="BZ18" s="1716" t="s">
        <v>1500</v>
      </c>
      <c r="CA18" s="1443" t="s">
        <v>1501</v>
      </c>
      <c r="CC18" s="1716" t="s">
        <v>1502</v>
      </c>
      <c r="CD18" s="1443" t="s">
        <v>1503</v>
      </c>
    </row>
    <row customHeight="1" ht="21">
      <c r="A19" s="2154" t="s">
        <v>1504</v>
      </c>
      <c r="B19" s="1359">
        <v>2017</v>
      </c>
      <c r="E19" s="1358" t="s">
        <v>161</v>
      </c>
      <c r="I19" s="1360" t="s">
        <v>1505</v>
      </c>
      <c r="N19" s="1442" t="s">
        <v>1506</v>
      </c>
      <c r="X19" s="1371"/>
      <c r="AW19" s="1404" t="s">
        <v>1491</v>
      </c>
      <c r="AX19" s="1404" t="s">
        <v>1491</v>
      </c>
      <c r="AZ19" s="1351" t="s">
        <v>1507</v>
      </c>
      <c r="BB19" s="1404" t="s">
        <v>1508</v>
      </c>
      <c r="BC19" s="1404" t="s">
        <v>1333</v>
      </c>
      <c r="BE19" s="1404">
        <v>2017</v>
      </c>
      <c r="BH19" s="1352" t="s">
        <v>1509</v>
      </c>
      <c r="BJ19" s="1501" t="s">
        <v>1510</v>
      </c>
      <c r="BL19" s="1501" t="s">
        <v>1510</v>
      </c>
      <c r="BQ19" s="1565">
        <v>4190064</v>
      </c>
      <c r="BR19" s="1352" t="s">
        <v>1511</v>
      </c>
      <c r="BS19" s="1713"/>
      <c r="BT19" s="1565">
        <v>4189671</v>
      </c>
      <c r="BU19" s="1352" t="s">
        <v>1512</v>
      </c>
      <c r="BV19" s="1354"/>
      <c r="BW19" s="1979">
        <v>4189706</v>
      </c>
      <c r="BX19" s="1977" t="s">
        <v>1513</v>
      </c>
      <c r="BZ19" s="1565">
        <v>4189714</v>
      </c>
      <c r="CA19" s="1352" t="s">
        <v>1514</v>
      </c>
      <c r="CC19" s="1565">
        <v>4189708</v>
      </c>
      <c r="CD19" s="1352" t="s">
        <v>1515</v>
      </c>
    </row>
    <row customHeight="1" ht="21">
      <c r="A20" s="1358" t="s">
        <v>1516</v>
      </c>
      <c r="B20" s="1359">
        <v>2018</v>
      </c>
      <c r="E20" s="1358" t="s">
        <v>1265</v>
      </c>
      <c r="I20" s="1360" t="s">
        <v>1517</v>
      </c>
      <c r="N20" s="1442" t="s">
        <v>1518</v>
      </c>
      <c r="AW20" s="1404" t="s">
        <v>1505</v>
      </c>
      <c r="AX20" s="1404" t="s">
        <v>1505</v>
      </c>
      <c r="AZ20" s="1404" t="s">
        <v>1519</v>
      </c>
      <c r="BB20" s="1404" t="s">
        <v>1520</v>
      </c>
      <c r="BC20" s="1404" t="s">
        <v>1450</v>
      </c>
      <c r="BE20" s="1404">
        <v>2018</v>
      </c>
      <c r="BH20" s="1352" t="s">
        <v>1446</v>
      </c>
      <c r="BJ20" s="1352" t="s">
        <v>1373</v>
      </c>
      <c r="BL20" s="1352" t="s">
        <v>1373</v>
      </c>
      <c r="BQ20" s="1565">
        <v>4190065</v>
      </c>
      <c r="BR20" s="1352" t="s">
        <v>1521</v>
      </c>
      <c r="BS20" s="1713"/>
      <c r="BT20" s="1565">
        <v>4189672</v>
      </c>
      <c r="BU20" s="1352" t="s">
        <v>1522</v>
      </c>
      <c r="BV20" s="1354"/>
      <c r="BW20" s="1979">
        <v>4189705</v>
      </c>
      <c r="BX20" s="1977" t="s">
        <v>1523</v>
      </c>
      <c r="BZ20" s="1565">
        <v>4189713</v>
      </c>
      <c r="CA20" s="1352" t="s">
        <v>1523</v>
      </c>
      <c r="CC20" s="1565">
        <v>4189709</v>
      </c>
      <c r="CD20" s="1352" t="s">
        <v>1524</v>
      </c>
    </row>
    <row customHeight="1" ht="21">
      <c r="A21" s="1358" t="s">
        <v>1525</v>
      </c>
      <c r="B21" s="1359">
        <v>2019</v>
      </c>
      <c r="I21" s="1360" t="s">
        <v>1526</v>
      </c>
      <c r="N21" s="1442" t="s">
        <v>1527</v>
      </c>
      <c r="AW21" s="1404" t="s">
        <v>1517</v>
      </c>
      <c r="AX21" s="1404" t="s">
        <v>1517</v>
      </c>
      <c r="AZ21" s="1404" t="s">
        <v>1528</v>
      </c>
      <c r="BB21" s="1404" t="s">
        <v>1529</v>
      </c>
      <c r="BC21" s="1404" t="s">
        <v>1333</v>
      </c>
      <c r="BE21" s="1404">
        <v>2019</v>
      </c>
      <c r="BH21" s="1352" t="s">
        <v>1453</v>
      </c>
      <c r="BJ21" s="1352" t="s">
        <v>1389</v>
      </c>
      <c r="BL21" s="1352" t="s">
        <v>1389</v>
      </c>
      <c r="BQ21" s="1565">
        <v>4190066</v>
      </c>
      <c r="BR21" s="1352" t="s">
        <v>1530</v>
      </c>
      <c r="BS21" s="1713"/>
      <c r="BT21" s="1565">
        <v>4189673</v>
      </c>
      <c r="BU21" s="1352" t="s">
        <v>1531</v>
      </c>
      <c r="BV21" s="1354"/>
      <c r="BW21" s="1979">
        <v>4189707</v>
      </c>
      <c r="BX21" s="1977" t="s">
        <v>1532</v>
      </c>
      <c r="BZ21" s="1565">
        <v>4189712</v>
      </c>
      <c r="CA21" s="1352" t="s">
        <v>1533</v>
      </c>
      <c r="CC21" s="1565">
        <v>4189710</v>
      </c>
      <c r="CD21" s="1352" t="s">
        <v>1534</v>
      </c>
    </row>
    <row customHeight="1" ht="21">
      <c r="A22" s="1358" t="s">
        <v>1535</v>
      </c>
      <c r="B22" s="1359">
        <v>2020</v>
      </c>
      <c r="N22" s="1442" t="s">
        <v>1536</v>
      </c>
      <c r="AW22" s="1404" t="s">
        <v>1526</v>
      </c>
      <c r="AX22" s="1404" t="s">
        <v>1526</v>
      </c>
      <c r="AZ22" s="1404" t="s">
        <v>1537</v>
      </c>
      <c r="BB22" s="1404" t="s">
        <v>1538</v>
      </c>
      <c r="BC22" s="1404" t="s">
        <v>1333</v>
      </c>
      <c r="BE22" s="1404">
        <v>2020</v>
      </c>
      <c r="BH22" s="1352" t="s">
        <v>1460</v>
      </c>
      <c r="BJ22" s="1352" t="s">
        <v>1405</v>
      </c>
      <c r="BL22" s="1352" t="s">
        <v>1405</v>
      </c>
      <c r="BQ22" s="1565">
        <v>4190067</v>
      </c>
      <c r="BR22" s="1352" t="s">
        <v>1539</v>
      </c>
      <c r="BS22" s="1713"/>
      <c r="BT22" s="1565">
        <v>4189674</v>
      </c>
      <c r="BU22" s="1352" t="s">
        <v>1540</v>
      </c>
      <c r="BV22" s="1354"/>
      <c r="BW22" s="1354"/>
      <c r="CC22" s="1565">
        <v>4189711</v>
      </c>
      <c r="CD22" s="1352" t="s">
        <v>298</v>
      </c>
    </row>
    <row customHeight="1" ht="21">
      <c r="A23" s="1358" t="s">
        <v>1541</v>
      </c>
      <c r="B23" s="1359">
        <v>2021</v>
      </c>
      <c r="AW23" s="1404" t="s">
        <v>1542</v>
      </c>
      <c r="AX23" s="1404" t="s">
        <v>1542</v>
      </c>
      <c r="AZ23" s="1404" t="s">
        <v>1543</v>
      </c>
      <c r="BB23" s="1404" t="s">
        <v>1544</v>
      </c>
      <c r="BC23" s="1404" t="s">
        <v>1245</v>
      </c>
      <c r="BE23" s="1404">
        <v>2021</v>
      </c>
      <c r="BH23" s="1352" t="s">
        <v>1468</v>
      </c>
      <c r="BJ23" s="1352" t="s">
        <v>1421</v>
      </c>
      <c r="BL23" s="1352" t="s">
        <v>1421</v>
      </c>
      <c r="BQ23" s="1565">
        <v>4190068</v>
      </c>
      <c r="BR23" s="1352" t="s">
        <v>1545</v>
      </c>
      <c r="BS23" s="1713"/>
      <c r="BT23" s="1565">
        <v>4189675</v>
      </c>
      <c r="BU23" s="1352" t="s">
        <v>1546</v>
      </c>
      <c r="BV23" s="1354"/>
      <c r="BW23" s="1354"/>
      <c r="CC23" s="1565">
        <v>5110778</v>
      </c>
      <c r="CD23" s="1352" t="s">
        <v>1547</v>
      </c>
    </row>
    <row customHeight="1" ht="21">
      <c r="A24" s="1358" t="s">
        <v>1548</v>
      </c>
      <c r="B24" s="1359">
        <v>2022</v>
      </c>
      <c r="AW24" s="1404" t="s">
        <v>1549</v>
      </c>
      <c r="AX24" s="1404" t="s">
        <v>1549</v>
      </c>
      <c r="AZ24" s="1404" t="s">
        <v>1550</v>
      </c>
      <c r="BB24" s="1404" t="s">
        <v>1551</v>
      </c>
      <c r="BC24" s="1404" t="s">
        <v>1552</v>
      </c>
      <c r="BE24" s="1404">
        <v>2022</v>
      </c>
      <c r="BH24" s="1352" t="s">
        <v>1477</v>
      </c>
      <c r="BJ24" s="1352" t="s">
        <v>1435</v>
      </c>
      <c r="BL24" s="1352" t="s">
        <v>1435</v>
      </c>
      <c r="BQ24" s="1565">
        <v>4190069</v>
      </c>
      <c r="BR24" s="1352" t="s">
        <v>1553</v>
      </c>
      <c r="BS24" s="1713"/>
      <c r="BT24" s="1565">
        <v>4189676</v>
      </c>
      <c r="BU24" s="1352" t="s">
        <v>1554</v>
      </c>
      <c r="BV24" s="1354"/>
      <c r="BW24" s="1354"/>
      <c r="CC24" s="1565">
        <v>25575374</v>
      </c>
      <c r="CD24" s="1352" t="s">
        <v>1555</v>
      </c>
    </row>
    <row customHeight="1" ht="11.25">
      <c r="A25" s="1358" t="s">
        <v>1556</v>
      </c>
      <c r="B25" s="1359">
        <v>2023</v>
      </c>
      <c r="AW25" s="1404" t="s">
        <v>1557</v>
      </c>
      <c r="AX25" s="1404" t="s">
        <v>1557</v>
      </c>
      <c r="AZ25" s="1404" t="s">
        <v>1558</v>
      </c>
      <c r="BB25" s="1404" t="s">
        <v>1559</v>
      </c>
      <c r="BC25" s="1404" t="s">
        <v>1552</v>
      </c>
      <c r="BE25" s="1404">
        <v>2023</v>
      </c>
      <c r="BH25" s="1352" t="s">
        <v>1484</v>
      </c>
      <c r="BJ25" s="1352" t="s">
        <v>1509</v>
      </c>
      <c r="BL25" s="1352" t="s">
        <v>1509</v>
      </c>
      <c r="BQ25" s="1565">
        <v>4190070</v>
      </c>
      <c r="BR25" s="1352" t="s">
        <v>1560</v>
      </c>
      <c r="BS25" s="1713"/>
      <c r="BT25" s="1565">
        <v>4189677</v>
      </c>
      <c r="BU25" s="1352" t="s">
        <v>1561</v>
      </c>
      <c r="BV25" s="1354"/>
      <c r="BW25" s="1354"/>
    </row>
    <row customHeight="1" ht="11.25">
      <c r="A26" s="1358" t="s">
        <v>1562</v>
      </c>
      <c r="B26" s="1359">
        <v>2024</v>
      </c>
      <c r="J26" s="2015" t="s">
        <v>1563</v>
      </c>
      <c r="AX26" s="1404" t="s">
        <v>1564</v>
      </c>
      <c r="AZ26" s="1404" t="s">
        <v>1428</v>
      </c>
      <c r="BB26" s="1404" t="s">
        <v>1565</v>
      </c>
      <c r="BC26" s="1404" t="s">
        <v>1552</v>
      </c>
      <c r="BE26" s="1404">
        <v>2024</v>
      </c>
      <c r="BH26" s="1352" t="s">
        <v>1495</v>
      </c>
      <c r="BJ26" s="1352" t="s">
        <v>1446</v>
      </c>
      <c r="BL26" s="1352" t="s">
        <v>1446</v>
      </c>
      <c r="BQ26" s="1565">
        <v>4190071</v>
      </c>
      <c r="BR26" s="1352" t="s">
        <v>1566</v>
      </c>
      <c r="BS26" s="1713"/>
      <c r="BV26" s="1354"/>
      <c r="BW26" s="1354"/>
    </row>
    <row customHeight="1" ht="11.25">
      <c r="A27" s="1358" t="s">
        <v>1567</v>
      </c>
      <c r="B27" s="1359">
        <v>2025</v>
      </c>
      <c r="J27" s="460" t="s">
        <v>454</v>
      </c>
      <c r="AX27" s="1404" t="s">
        <v>1568</v>
      </c>
      <c r="BB27" s="1404" t="s">
        <v>1569</v>
      </c>
      <c r="BC27" s="1404" t="s">
        <v>1552</v>
      </c>
      <c r="BE27" s="1404">
        <v>2025</v>
      </c>
      <c r="BH27" s="1354" t="s">
        <v>28</v>
      </c>
      <c r="BJ27" s="1352" t="s">
        <v>1453</v>
      </c>
      <c r="BL27" s="1352" t="s">
        <v>1453</v>
      </c>
      <c r="BN27" s="1354" t="s">
        <v>28</v>
      </c>
      <c r="BQ27" s="1565">
        <v>4190072</v>
      </c>
      <c r="BR27" s="1352" t="s">
        <v>1570</v>
      </c>
      <c r="BS27" s="1713"/>
      <c r="BV27" s="1354"/>
      <c r="BW27" s="1354"/>
    </row>
    <row customHeight="1" ht="11.25">
      <c r="A28" s="1358" t="s">
        <v>1571</v>
      </c>
      <c r="D28" s="1385"/>
      <c r="E28" s="1386"/>
      <c r="F28" s="1386"/>
      <c r="H28" s="1387" t="s">
        <v>1572</v>
      </c>
      <c r="AX28" s="1404" t="s">
        <v>1573</v>
      </c>
      <c r="AZ28" s="1351" t="s">
        <v>1574</v>
      </c>
      <c r="BB28" s="1404" t="s">
        <v>1575</v>
      </c>
      <c r="BC28" s="1404" t="s">
        <v>1576</v>
      </c>
      <c r="BE28" s="1404">
        <v>2026</v>
      </c>
      <c r="BH28" s="1354" t="s">
        <v>28</v>
      </c>
      <c r="BJ28" s="1352" t="s">
        <v>1460</v>
      </c>
      <c r="BL28" s="1352" t="s">
        <v>1460</v>
      </c>
      <c r="BN28" s="1354" t="s">
        <v>28</v>
      </c>
      <c r="BQ28" s="1565">
        <v>4190073</v>
      </c>
      <c r="BR28" s="1352" t="s">
        <v>1577</v>
      </c>
      <c r="BS28" s="1713"/>
      <c r="BV28" s="1354"/>
      <c r="BW28" s="1354"/>
    </row>
    <row customHeight="1" ht="11.25">
      <c r="A29" s="1358" t="s">
        <v>1578</v>
      </c>
      <c r="D29" s="1388" t="s">
        <v>1579</v>
      </c>
      <c r="E29" s="1389" t="str">
        <f>IF(TEMPLATE_GROUP="","",INDEX(StartDateList,MATCH(TEMPLATE_GROUP,CodeTemplateList,0),1))</f>
        <v>01.01.2025</v>
      </c>
      <c r="F29" s="1389" t="str">
        <f>IF(TEMPLATE_GROUP="","",INDEX(EndDateList,MATCH(TEMPLATE_GROUP,CodeTemplateList,0),1))</f>
        <v>31.12.2025</v>
      </c>
      <c r="H29" s="1390" t="s">
        <v>1580</v>
      </c>
      <c r="AX29" s="1404" t="s">
        <v>1581</v>
      </c>
      <c r="AZ29" s="1404" t="s">
        <v>452</v>
      </c>
      <c r="BB29" s="1404" t="s">
        <v>1428</v>
      </c>
      <c r="BC29" s="1375"/>
      <c r="BE29" s="1404">
        <v>2027</v>
      </c>
      <c r="BJ29" s="1352" t="s">
        <v>1468</v>
      </c>
      <c r="BL29" s="1352" t="s">
        <v>1468</v>
      </c>
    </row>
    <row customHeight="1" ht="11.25">
      <c r="A30" s="1358" t="s">
        <v>1582</v>
      </c>
      <c r="D30" s="1391"/>
      <c r="E30" s="1392"/>
      <c r="F30" s="1392"/>
      <c r="AX30" s="1404" t="s">
        <v>1583</v>
      </c>
      <c r="AZ30" s="1404" t="s">
        <v>455</v>
      </c>
      <c r="BE30" s="1404">
        <v>2028</v>
      </c>
      <c r="BJ30" s="1352" t="s">
        <v>1584</v>
      </c>
      <c r="BL30" s="1352" t="s">
        <v>1584</v>
      </c>
    </row>
    <row customHeight="1" ht="12.75">
      <c r="A31" s="1358" t="s">
        <v>1585</v>
      </c>
      <c r="D31" s="1385"/>
      <c r="E31" s="1386"/>
      <c r="F31" s="1386"/>
      <c r="H31" s="1393"/>
      <c r="AX31" s="1404" t="s">
        <v>1586</v>
      </c>
      <c r="AZ31" s="1404" t="s">
        <v>457</v>
      </c>
      <c r="BE31" s="1404">
        <v>2029</v>
      </c>
      <c r="BJ31" s="1352" t="s">
        <v>1587</v>
      </c>
      <c r="BL31" s="1352" t="s">
        <v>1587</v>
      </c>
    </row>
    <row customHeight="1" ht="11.25">
      <c r="A32" s="1358" t="s">
        <v>1588</v>
      </c>
      <c r="D32" s="1388" t="s">
        <v>1589</v>
      </c>
      <c r="E32" s="1389" t="str">
        <f>IF(TEMPLATE_GROUP="","",INDEX(StartDateList,MATCH(TEMPLATE_GROUP,CodeTemplateList,0),1))</f>
        <v>01.01.2025</v>
      </c>
      <c r="F32" s="1389" t="str">
        <f>IF(TEMPLATE_GROUP="","",INDEX(EndDateList,MATCH(TEMPLATE_GROUP,CodeTemplateList,0),1))</f>
        <v>31.12.2025</v>
      </c>
      <c r="H32" s="1394" t="s">
        <v>1590</v>
      </c>
      <c r="O32" s="1358" t="s">
        <v>453</v>
      </c>
      <c r="AX32" s="1404" t="s">
        <v>1591</v>
      </c>
      <c r="AZ32" s="1404" t="s">
        <v>456</v>
      </c>
      <c r="BE32" s="1404">
        <v>2030</v>
      </c>
      <c r="BJ32" s="1352" t="s">
        <v>1477</v>
      </c>
      <c r="BL32" s="1352" t="s">
        <v>1477</v>
      </c>
    </row>
    <row customHeight="1" ht="11.25">
      <c r="A33" s="1358" t="s">
        <v>1592</v>
      </c>
      <c r="O33" s="1358" t="s">
        <v>1253</v>
      </c>
      <c r="AX33" s="1404" t="s">
        <v>1593</v>
      </c>
      <c r="AZ33" s="1404" t="s">
        <v>451</v>
      </c>
      <c r="BE33" s="1404">
        <v>2031</v>
      </c>
      <c r="BJ33" s="1352" t="s">
        <v>1484</v>
      </c>
      <c r="BL33" s="1352" t="s">
        <v>1484</v>
      </c>
    </row>
    <row customHeight="1" ht="11.25">
      <c r="A34" s="1358" t="s">
        <v>1594</v>
      </c>
      <c r="O34" s="1358" t="s">
        <v>1287</v>
      </c>
      <c r="AX34" s="1404" t="s">
        <v>1595</v>
      </c>
      <c r="BE34" s="1404">
        <v>2032</v>
      </c>
      <c r="BJ34" s="1352" t="s">
        <v>1495</v>
      </c>
      <c r="BL34" s="1352" t="s">
        <v>1495</v>
      </c>
    </row>
    <row customHeight="1" ht="11.25">
      <c r="A35" s="1358" t="s">
        <v>1596</v>
      </c>
      <c r="O35" s="1358" t="s">
        <v>1320</v>
      </c>
      <c r="AX35" s="1404" t="s">
        <v>1597</v>
      </c>
      <c r="AZ35" s="1351" t="s">
        <v>1598</v>
      </c>
      <c r="BE35" s="1404">
        <v>2033</v>
      </c>
      <c r="BL35" s="1352" t="s">
        <v>1599</v>
      </c>
    </row>
    <row customHeight="1" ht="11.25">
      <c r="A36" s="2154" t="s">
        <v>1600</v>
      </c>
      <c r="D36" s="1395" t="s">
        <v>1601</v>
      </c>
      <c r="E36" s="1396" t="s">
        <v>815</v>
      </c>
      <c r="F36" s="1397" t="str">
        <f>INDEX(E37:E41,MATCH(TEMPLATE_SPHERE,F37:F41,0))</f>
        <v>теплоснабжения</v>
      </c>
      <c r="G36" s="1397" t="str">
        <f>INDEX(G37:G41,MATCH(TEMPLATE_SPHERE,F37:F41,0))</f>
        <v>теплоснабжение</v>
      </c>
      <c r="O36" s="1358" t="s">
        <v>1344</v>
      </c>
      <c r="AX36" s="1404" t="s">
        <v>1602</v>
      </c>
      <c r="AZ36" s="1404" t="s">
        <v>451</v>
      </c>
      <c r="BE36" s="1404">
        <v>2034</v>
      </c>
      <c r="BL36" s="1352" t="s">
        <v>1603</v>
      </c>
    </row>
    <row customHeight="1" ht="11.25">
      <c r="A37" s="1358" t="s">
        <v>1604</v>
      </c>
      <c r="E37" s="691" t="s">
        <v>1605</v>
      </c>
      <c r="F37" s="1398" t="s">
        <v>815</v>
      </c>
      <c r="G37" s="691" t="s">
        <v>1606</v>
      </c>
      <c r="O37" s="1358" t="s">
        <v>1363</v>
      </c>
      <c r="AX37" s="1404" t="s">
        <v>1607</v>
      </c>
      <c r="AZ37" s="1404" t="s">
        <v>1254</v>
      </c>
      <c r="BE37" s="1404">
        <v>2035</v>
      </c>
    </row>
    <row customHeight="1" ht="11.25">
      <c r="A38" s="1358" t="s">
        <v>1608</v>
      </c>
      <c r="E38" s="691" t="s">
        <v>1609</v>
      </c>
      <c r="F38" s="1399" t="s">
        <v>861</v>
      </c>
      <c r="G38" s="691" t="s">
        <v>1610</v>
      </c>
      <c r="O38" s="1358" t="s">
        <v>1380</v>
      </c>
      <c r="AX38" s="1404" t="s">
        <v>1611</v>
      </c>
      <c r="AZ38" s="1404" t="s">
        <v>1288</v>
      </c>
      <c r="BE38" s="1404">
        <v>2036</v>
      </c>
      <c r="BH38" s="1351" t="s">
        <v>1612</v>
      </c>
      <c r="BJ38" s="1351" t="s">
        <v>1613</v>
      </c>
      <c r="BL38" s="1351" t="s">
        <v>1614</v>
      </c>
      <c r="BN38" s="1351" t="s">
        <v>1615</v>
      </c>
    </row>
    <row customHeight="1" ht="11.25">
      <c r="A39" s="1358" t="s">
        <v>1616</v>
      </c>
      <c r="E39" s="691" t="s">
        <v>1617</v>
      </c>
      <c r="F39" s="1399" t="s">
        <v>914</v>
      </c>
      <c r="G39" s="691" t="s">
        <v>1618</v>
      </c>
      <c r="O39" s="1358" t="s">
        <v>1396</v>
      </c>
      <c r="AX39" s="1404" t="s">
        <v>1619</v>
      </c>
      <c r="AZ39" s="1404" t="s">
        <v>1321</v>
      </c>
      <c r="BE39" s="1404">
        <v>2037</v>
      </c>
      <c r="BH39" s="1352" t="s">
        <v>1620</v>
      </c>
      <c r="BJ39" s="1501" t="s">
        <v>1620</v>
      </c>
      <c r="BL39" s="1501" t="s">
        <v>1620</v>
      </c>
      <c r="BN39" s="1352" t="s">
        <v>1621</v>
      </c>
    </row>
    <row customHeight="1" ht="11.25">
      <c r="A40" s="1358" t="s">
        <v>1622</v>
      </c>
      <c r="E40" s="691" t="s">
        <v>1623</v>
      </c>
      <c r="F40" s="1399" t="s">
        <v>901</v>
      </c>
      <c r="G40" s="691" t="s">
        <v>1624</v>
      </c>
      <c r="O40" s="1358" t="s">
        <v>1412</v>
      </c>
      <c r="AX40" s="1404" t="s">
        <v>1625</v>
      </c>
      <c r="BE40" s="1404">
        <v>2038</v>
      </c>
      <c r="BH40" s="1352" t="s">
        <v>1626</v>
      </c>
      <c r="BJ40" s="1501" t="s">
        <v>1034</v>
      </c>
      <c r="BL40" s="1501" t="s">
        <v>1034</v>
      </c>
      <c r="BN40" s="1352" t="s">
        <v>1068</v>
      </c>
    </row>
    <row customHeight="1" ht="11.25">
      <c r="A41" s="1358" t="s">
        <v>1627</v>
      </c>
      <c r="E41" s="691" t="s">
        <v>1628</v>
      </c>
      <c r="F41" s="1399" t="s">
        <v>1629</v>
      </c>
      <c r="G41" s="691" t="s">
        <v>1628</v>
      </c>
      <c r="O41" s="1358" t="s">
        <v>1428</v>
      </c>
      <c r="AX41" s="1404" t="s">
        <v>1630</v>
      </c>
      <c r="AZ41" s="1351" t="s">
        <v>1631</v>
      </c>
      <c r="BE41" s="1404">
        <v>2039</v>
      </c>
      <c r="BH41" s="1352" t="s">
        <v>1632</v>
      </c>
      <c r="BJ41" s="1501" t="s">
        <v>1030</v>
      </c>
      <c r="BL41" s="1501" t="s">
        <v>1030</v>
      </c>
      <c r="BN41" s="1352" t="s">
        <v>1055</v>
      </c>
    </row>
    <row customHeight="1" ht="11.25">
      <c r="A42" s="1358" t="s">
        <v>1633</v>
      </c>
      <c r="AX42" s="1404" t="s">
        <v>1634</v>
      </c>
      <c r="AZ42" s="1404" t="s">
        <v>453</v>
      </c>
      <c r="BE42" s="1404">
        <v>2040</v>
      </c>
      <c r="BH42" s="1352" t="s">
        <v>1052</v>
      </c>
      <c r="BJ42" s="1501" t="s">
        <v>1032</v>
      </c>
      <c r="BL42" s="1501" t="s">
        <v>1032</v>
      </c>
      <c r="BN42" s="1352" t="s">
        <v>1635</v>
      </c>
    </row>
    <row customHeight="1" ht="11.25">
      <c r="A43" s="1358" t="s">
        <v>1636</v>
      </c>
      <c r="AX43" s="1404" t="s">
        <v>1637</v>
      </c>
      <c r="AZ43" s="1404" t="s">
        <v>1253</v>
      </c>
      <c r="BE43" s="1404">
        <v>2041</v>
      </c>
      <c r="BH43" s="1352" t="s">
        <v>1638</v>
      </c>
      <c r="BJ43" s="1501" t="s">
        <v>1632</v>
      </c>
      <c r="BL43" s="1501" t="s">
        <v>1632</v>
      </c>
      <c r="BN43" s="1352" t="s">
        <v>1639</v>
      </c>
    </row>
    <row customHeight="1" ht="11.25">
      <c r="A44" s="1358" t="s">
        <v>1640</v>
      </c>
      <c r="G44" s="1378">
        <f>YEAR(TODAY())</f>
        <v>2024</v>
      </c>
      <c r="I44" s="1083" t="s">
        <v>1641</v>
      </c>
      <c r="J44" s="1373" t="s">
        <v>1642</v>
      </c>
      <c r="K44" s="1373" t="s">
        <v>1643</v>
      </c>
      <c r="AX44" s="1404" t="s">
        <v>1644</v>
      </c>
      <c r="AZ44" s="1404" t="s">
        <v>1287</v>
      </c>
      <c r="BE44" s="1404">
        <v>2042</v>
      </c>
      <c r="BH44" s="1352" t="s">
        <v>1645</v>
      </c>
      <c r="BJ44" s="1501" t="s">
        <v>1052</v>
      </c>
      <c r="BL44" s="1501" t="s">
        <v>1052</v>
      </c>
      <c r="BN44" s="1352" t="s">
        <v>1646</v>
      </c>
    </row>
    <row customHeight="1" ht="11.25">
      <c r="A45" s="1358" t="s">
        <v>1647</v>
      </c>
      <c r="D45" s="1395" t="s">
        <v>1648</v>
      </c>
      <c r="E45" s="1396" t="s">
        <v>1649</v>
      </c>
      <c r="F45" s="1081" t="s">
        <v>1650</v>
      </c>
      <c r="G45" s="1080" t="s">
        <v>1651</v>
      </c>
      <c r="H45" s="1083" t="s">
        <v>1652</v>
      </c>
      <c r="I45" s="2025">
        <f>INDEX(PeriodIsEmptyList,MATCH(TEMPLATE_GROUP,CodeTemplateList,0),1)</f>
        <v>0</v>
      </c>
      <c r="J45" s="2028" t="str">
        <f>INDEX(NameTemplatesInTitleList,MATCH(TEMPLATE_GROUP,CodeTemplateList,0),1)</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45" s="2028"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действия тарифа)</v>
      </c>
      <c r="AX45" s="1404" t="s">
        <v>1653</v>
      </c>
      <c r="AZ45" s="1404" t="s">
        <v>1320</v>
      </c>
      <c r="BE45" s="1404">
        <v>2043</v>
      </c>
      <c r="BH45" s="1352" t="s">
        <v>1654</v>
      </c>
      <c r="BJ45" s="1501" t="s">
        <v>1046</v>
      </c>
      <c r="BL45" s="1501" t="s">
        <v>1046</v>
      </c>
      <c r="BN45" s="1352" t="s">
        <v>1655</v>
      </c>
    </row>
    <row customHeight="1" ht="11.25">
      <c r="A46" s="1358" t="s">
        <v>1656</v>
      </c>
      <c r="E46" s="691" t="s">
        <v>26</v>
      </c>
      <c r="F46" s="1398" t="s">
        <v>1657</v>
      </c>
      <c r="G46" s="1400" t="str">
        <f>_xlfn.IFERROR(IF(TITLE_DATE_FIL="","01.01."&amp;CURRENT_YEAR,"01.01."&amp;YEAR(TITLE_DATE_FIL)),"01.01."&amp;CURRENT_YEAR)</f>
        <v>01.01.2024</v>
      </c>
      <c r="H46" s="1400" t="str">
        <f>_xlfn.IFERROR(IF(TITLE_DATE_FIL="","31.12."&amp;CURRENT_YEAR,"31.12."&amp;YEAR(TITLE_DATE_FIL)),"31.12."&amp;CURRENT_YEAR)</f>
        <v>31.12.2024</v>
      </c>
      <c r="I46" s="2026">
        <f>IF(TITLE_DATE_FIL="",TRUE,FALSE)</f>
        <v>1</v>
      </c>
      <c r="J46" s="2029" t="str">
        <f>"Общая информация о регулируемой организации ("&amp;TEMPLATE_SPHERE_RUS&amp;")"</f>
        <v>Общая информация о регулируемой организации (теплоснабжения)</v>
      </c>
      <c r="K46" s="2030"/>
      <c r="AX46" s="1404" t="s">
        <v>1658</v>
      </c>
      <c r="AZ46" s="1404" t="s">
        <v>1344</v>
      </c>
      <c r="BE46" s="1404">
        <v>2044</v>
      </c>
      <c r="BH46" s="1352" t="s">
        <v>1055</v>
      </c>
      <c r="BJ46" s="1501" t="s">
        <v>1036</v>
      </c>
      <c r="BL46" s="1501" t="s">
        <v>1036</v>
      </c>
      <c r="BN46" s="1352" t="s">
        <v>1659</v>
      </c>
    </row>
    <row customHeight="1" ht="11.25">
      <c r="A47" s="1358" t="s">
        <v>1660</v>
      </c>
      <c r="E47" s="691" t="s">
        <v>33</v>
      </c>
      <c r="F47" s="1399" t="s">
        <v>1661</v>
      </c>
      <c r="G47" s="1400" t="str">
        <f>_xlfn.IFERROR(IF(f_year="","01.01."&amp;CURRENT_YEAR,IF(LEN(f_quart)=0,"01.01."&amp;f_year,IF(f_quart="I квартал","01.01."&amp;f_year,IF(f_quart="II квартал","01.04."&amp;f_year,(IF(f_quart="III квартал","01.07."&amp;f_year,"01.10."&amp;f_year)))))),"01.01."&amp;CURRENT_YEAR)</f>
        <v>01.01.2024</v>
      </c>
      <c r="H47" s="1400" t="str">
        <f>_xlfn.IFERROR(IF(f_year="","31.12."&amp;CURRENT_YEAR,IF(LEN(f_quart)=0,"31.12."&amp;f_year,IF(f_quart="I квартал","31.03."&amp;f_year,IF(f_quart="II квартал","30.06."&amp;f_year,(IF(f_quart="III квартал","30.09."&amp;f_year,"31.12."&amp;f_year)))))),"31.12."&amp;CURRENT_YEAR)</f>
        <v>31.12.2024</v>
      </c>
      <c r="I47" s="2027">
        <f>IF(OR(f_year="",f_quart=""),TRUE,FALSE)</f>
        <v>1</v>
      </c>
      <c r="J47" s="2029"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7" s="2030"/>
      <c r="AX47" s="1404" t="s">
        <v>1662</v>
      </c>
      <c r="AZ47" s="1404" t="s">
        <v>1363</v>
      </c>
      <c r="BE47" s="1404">
        <v>2045</v>
      </c>
      <c r="BH47" s="1352" t="s">
        <v>1635</v>
      </c>
      <c r="BJ47" s="1501" t="s">
        <v>1038</v>
      </c>
      <c r="BL47" s="1501" t="s">
        <v>1038</v>
      </c>
      <c r="BN47" s="1352" t="s">
        <v>1663</v>
      </c>
    </row>
    <row customHeight="1" ht="11.25">
      <c r="A48" s="1358" t="s">
        <v>1664</v>
      </c>
      <c r="E48" s="691" t="s">
        <v>1665</v>
      </c>
      <c r="F48" s="1399" t="s">
        <v>1666</v>
      </c>
      <c r="G48" s="1400" t="str">
        <f>_xlfn.IFERROR(IF(f_year="","01.01."&amp;CURRENT_YEAR,"01.01."&amp;f_year),"01.01."&amp;CURRENT_YEAR)</f>
        <v>01.01.2024</v>
      </c>
      <c r="H48" s="1400" t="str">
        <f>_xlfn.IFERROR(IF(f_year="","31.12."&amp;CURRENT_YEAR,"31.12."&amp;f_year),"31.12."&amp;CURRENT_YEAR)</f>
        <v>31.12.2024</v>
      </c>
      <c r="I48" s="2026">
        <f>IF(f_year="",TRUE,FALSE)</f>
        <v>1</v>
      </c>
      <c r="J48" s="2029" t="s">
        <v>1667</v>
      </c>
      <c r="K48" s="2030"/>
      <c r="AX48" s="1404" t="s">
        <v>1668</v>
      </c>
      <c r="AZ48" s="1404" t="s">
        <v>1380</v>
      </c>
      <c r="BE48" s="1404">
        <v>2046</v>
      </c>
      <c r="BH48" s="1352" t="s">
        <v>1639</v>
      </c>
      <c r="BJ48" s="1501" t="s">
        <v>1040</v>
      </c>
      <c r="BL48" s="1501" t="s">
        <v>1040</v>
      </c>
      <c r="BN48" s="1352" t="s">
        <v>1669</v>
      </c>
    </row>
    <row customHeight="1" ht="11.25">
      <c r="A49" s="1358" t="s">
        <v>1670</v>
      </c>
      <c r="E49" s="691" t="s">
        <v>1671</v>
      </c>
      <c r="F49" s="1399" t="s">
        <v>1672</v>
      </c>
      <c r="G49" s="1400" t="str">
        <f>_xlfn.IFERROR(IF(f_year="","01.01."&amp;CURRENT_YEAR,"01.01."&amp;f_year),"01.01."&amp;CURRENT_YEAR)</f>
        <v>01.01.2024</v>
      </c>
      <c r="H49" s="1400" t="str">
        <f>_xlfn.IFERROR(IF(f_year="","31.12."&amp;CURRENT_YEAR,"31.12."&amp;f_year),"31.12."&amp;CURRENT_YEAR)</f>
        <v>31.12.2024</v>
      </c>
      <c r="I49" s="2026">
        <f>IF(f_year="",TRUE,FALSE)</f>
        <v>1</v>
      </c>
      <c r="J49" s="2029"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теплоснабжения</v>
      </c>
      <c r="K49" s="2030"/>
      <c r="AX49" s="1404" t="s">
        <v>1673</v>
      </c>
      <c r="AZ49" s="1404" t="s">
        <v>1396</v>
      </c>
      <c r="BE49" s="1404">
        <v>2047</v>
      </c>
      <c r="BH49" s="1352" t="s">
        <v>1056</v>
      </c>
      <c r="BJ49" s="1501" t="s">
        <v>1042</v>
      </c>
      <c r="BL49" s="1501" t="s">
        <v>1042</v>
      </c>
    </row>
    <row customHeight="1" ht="11.25">
      <c r="A50" s="1358" t="s">
        <v>1674</v>
      </c>
      <c r="E50" s="691" t="s">
        <v>1675</v>
      </c>
      <c r="F50" s="1399" t="s">
        <v>1026</v>
      </c>
      <c r="G50" s="1400" t="str">
        <f>_xlfn.IFERROR(IF(f_year="","01.01."&amp;CURRENT_YEAR,"01.01."&amp;f_year),"01.01."&amp;CURRENT_YEAR)</f>
        <v>01.01.2024</v>
      </c>
      <c r="H50" s="1400" t="str">
        <f>_xlfn.IFERROR(IF(f_year="","31.12."&amp;CURRENT_YEAR,"31.12."&amp;f_year),"31.12."&amp;CURRENT_YEAR)</f>
        <v>31.12.2024</v>
      </c>
      <c r="I50" s="2026">
        <f>IF(f_year="",TRUE,FALSE)</f>
        <v>1</v>
      </c>
      <c r="J50" s="2029"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теплоснабжения</v>
      </c>
      <c r="K50" s="2030"/>
      <c r="AX50" s="1404" t="s">
        <v>1676</v>
      </c>
      <c r="AZ50" s="1404" t="s">
        <v>1412</v>
      </c>
      <c r="BE50" s="1404">
        <v>2048</v>
      </c>
      <c r="BH50" s="1352" t="s">
        <v>1646</v>
      </c>
      <c r="BJ50" s="1501" t="s">
        <v>1044</v>
      </c>
      <c r="BL50" s="1501" t="s">
        <v>1044</v>
      </c>
    </row>
    <row customHeight="1" ht="11.25">
      <c r="A51" s="1358" t="s">
        <v>1677</v>
      </c>
      <c r="E51" s="691" t="s">
        <v>1678</v>
      </c>
      <c r="F51" s="1399" t="s">
        <v>1649</v>
      </c>
      <c r="G51" s="1400" t="str">
        <f>_xlfn.IFERROR(IF(TITLE_PERIOD_START="","01.01."&amp;CURRENT_YEAR,"01.01."&amp;YEAR(TITLE_PERIOD_START)),"01.01."&amp;CURRENT_YEAR)</f>
        <v>01.01.2025</v>
      </c>
      <c r="H51" s="1400" t="str">
        <f>_xlfn.IFERROR(IF(TITLE_PERIOD_END="","31.12."&amp;CURRENT_YEAR,"31.12."&amp;YEAR(TITLE_PERIOD_END)),"31.12."&amp;CURRENT_YEAR)</f>
        <v>31.12.2025</v>
      </c>
      <c r="I51" s="2027">
        <f>IF(OR(TITLE_PERIOD_START="",TITLE_PERIOD_END=""),TRUE,FALSE)</f>
        <v>0</v>
      </c>
      <c r="J51" s="2029"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2030"/>
      <c r="AX51" s="1404" t="s">
        <v>1679</v>
      </c>
      <c r="AZ51" s="1404" t="s">
        <v>1428</v>
      </c>
      <c r="BE51" s="1404">
        <v>2049</v>
      </c>
      <c r="BH51" s="1352" t="s">
        <v>1655</v>
      </c>
      <c r="BJ51" s="1501" t="s">
        <v>1680</v>
      </c>
      <c r="BL51" s="1501" t="s">
        <v>1680</v>
      </c>
    </row>
    <row customHeight="1" ht="11.25">
      <c r="A52" s="1358" t="s">
        <v>1681</v>
      </c>
      <c r="E52" s="691" t="s">
        <v>1682</v>
      </c>
      <c r="F52" s="1399" t="s">
        <v>1683</v>
      </c>
      <c r="G52" s="1400" t="str">
        <f>_xlfn.IFERROR(IF(TITLE_PERIOD_START="","01.01."&amp;CURRENT_YEAR,"01.01."&amp;YEAR(TITLE_PERIOD_START)),"01.01."&amp;CURRENT_YEAR)</f>
        <v>01.01.2025</v>
      </c>
      <c r="H52" s="1400" t="str">
        <f>_xlfn.IFERROR(IF(TITLE_PERIOD_END="","31.12."&amp;CURRENT_YEAR,"31.12."&amp;YEAR(TITLE_PERIOD_END)),"31.12."&amp;CURRENT_YEAR)</f>
        <v>31.12.2025</v>
      </c>
      <c r="I52" s="2027">
        <f>IF(OR(TITLE_PERIOD_START="",TITLE_PERIOD_END=""),TRUE,FALSE)</f>
        <v>0</v>
      </c>
      <c r="J52" s="2029" t="str">
        <f>"Показатели, подлежащие раскрытию в сфере "&amp;TEMPLATE_SPHERE_RUS&amp;" (цены и тарифы)"</f>
        <v>Показатели, подлежащие раскрытию в сфере теплоснабжения (цены и тарифы)</v>
      </c>
      <c r="K52" s="2030"/>
      <c r="AX52" s="1404" t="s">
        <v>1684</v>
      </c>
      <c r="AZ52" s="1404" t="s">
        <v>451</v>
      </c>
      <c r="BE52" s="1404">
        <v>2050</v>
      </c>
      <c r="BH52" s="1352" t="s">
        <v>1659</v>
      </c>
      <c r="BJ52" s="1501" t="s">
        <v>1055</v>
      </c>
      <c r="BL52" s="1501" t="s">
        <v>1055</v>
      </c>
    </row>
    <row customHeight="1" ht="11.25">
      <c r="A53" s="1358" t="s">
        <v>1685</v>
      </c>
      <c r="E53" s="691" t="s">
        <v>1686</v>
      </c>
      <c r="F53" s="1399" t="s">
        <v>1686</v>
      </c>
      <c r="G53" s="1400" t="str">
        <f>_xlfn.IFERROR(IF(f_year="","01.01."&amp;CURRENT_YEAR,"01.01."&amp;f_year),"01.01."&amp;CURRENT_YEAR)</f>
        <v>01.01.2024</v>
      </c>
      <c r="H53" s="1400" t="str">
        <f>_xlfn.IFERROR(IF(f_year="","31.12."&amp;CURRENT_YEAR,"31.12."&amp;f_year),"31.12."&amp;CURRENT_YEAR)</f>
        <v>31.12.2024</v>
      </c>
      <c r="I53" s="2026">
        <f>IF(AND(f_year="",TITLE_DATE_FIL=""),TRUE,FALSE)</f>
        <v>1</v>
      </c>
      <c r="J53" s="2029" t="s">
        <v>1687</v>
      </c>
      <c r="K53" s="2030"/>
      <c r="AX53" s="1404" t="s">
        <v>1688</v>
      </c>
      <c r="BE53" s="1404">
        <v>2051</v>
      </c>
      <c r="BH53" s="1352" t="s">
        <v>1663</v>
      </c>
      <c r="BJ53" s="1501" t="s">
        <v>1635</v>
      </c>
      <c r="BL53" s="1501" t="s">
        <v>1635</v>
      </c>
    </row>
    <row customHeight="1" ht="11.25">
      <c r="A54" s="1358" t="s">
        <v>1689</v>
      </c>
      <c r="AX54" s="1404" t="s">
        <v>1690</v>
      </c>
      <c r="AZ54" s="1351" t="s">
        <v>1691</v>
      </c>
      <c r="BE54" s="1404">
        <v>2052</v>
      </c>
      <c r="BH54" s="1352" t="s">
        <v>1669</v>
      </c>
      <c r="BJ54" s="1501" t="s">
        <v>1639</v>
      </c>
      <c r="BL54" s="1501" t="s">
        <v>1639</v>
      </c>
    </row>
    <row customHeight="1" ht="11.25">
      <c r="A55" s="1358" t="s">
        <v>1692</v>
      </c>
      <c r="AX55" s="1404" t="s">
        <v>1693</v>
      </c>
      <c r="AZ55" s="1404" t="s">
        <v>1231</v>
      </c>
      <c r="BE55" s="1404">
        <v>2053</v>
      </c>
      <c r="BH55" s="1354" t="s">
        <v>28</v>
      </c>
      <c r="BJ55" s="1501" t="s">
        <v>1056</v>
      </c>
      <c r="BL55" s="1501" t="s">
        <v>1056</v>
      </c>
    </row>
    <row customHeight="1" ht="11.25">
      <c r="A56" s="1358" t="s">
        <v>1694</v>
      </c>
      <c r="D56" s="1402" t="s">
        <v>1695</v>
      </c>
      <c r="E56" s="1379" t="s">
        <v>112</v>
      </c>
      <c r="F56" s="1358" t="s">
        <v>1696</v>
      </c>
      <c r="AX56" s="1404" t="s">
        <v>1697</v>
      </c>
      <c r="AZ56" s="1404" t="s">
        <v>1255</v>
      </c>
      <c r="BE56" s="1404">
        <v>2054</v>
      </c>
      <c r="BH56" s="1354" t="s">
        <v>28</v>
      </c>
      <c r="BJ56" s="1501" t="s">
        <v>1646</v>
      </c>
      <c r="BL56" s="1501" t="s">
        <v>1646</v>
      </c>
    </row>
    <row customHeight="1" ht="11.25">
      <c r="A57" s="1358" t="s">
        <v>1698</v>
      </c>
      <c r="D57" s="1402" t="s">
        <v>1699</v>
      </c>
      <c r="E57" s="1379" t="s">
        <v>112</v>
      </c>
      <c r="F57" s="1358" t="s">
        <v>1696</v>
      </c>
      <c r="AX57" s="1404" t="s">
        <v>1700</v>
      </c>
      <c r="AZ57" s="1404" t="s">
        <v>1290</v>
      </c>
      <c r="BE57" s="1404">
        <v>2055</v>
      </c>
      <c r="BJ57" s="1501" t="s">
        <v>1655</v>
      </c>
      <c r="BL57" s="1501" t="s">
        <v>1655</v>
      </c>
    </row>
    <row customHeight="1" ht="11.25">
      <c r="A58" s="1358" t="s">
        <v>1701</v>
      </c>
      <c r="D58" s="1402" t="s">
        <v>1702</v>
      </c>
      <c r="E58" s="1379" t="s">
        <v>112</v>
      </c>
      <c r="F58" s="1358" t="s">
        <v>1696</v>
      </c>
      <c r="AX58" s="1404" t="s">
        <v>1703</v>
      </c>
      <c r="BE58" s="1404">
        <v>2056</v>
      </c>
      <c r="BJ58" s="1501" t="s">
        <v>1659</v>
      </c>
      <c r="BL58" s="1501" t="s">
        <v>1659</v>
      </c>
    </row>
    <row customHeight="1" ht="11.25">
      <c r="A59" s="1358" t="s">
        <v>1704</v>
      </c>
      <c r="D59" s="1402" t="s">
        <v>132</v>
      </c>
      <c r="E59" s="1379" t="s">
        <v>1591</v>
      </c>
      <c r="F59" s="1358" t="s">
        <v>1705</v>
      </c>
      <c r="AX59" s="1404" t="s">
        <v>1706</v>
      </c>
      <c r="AZ59" s="1351" t="s">
        <v>1707</v>
      </c>
      <c r="BE59" s="1404">
        <v>2057</v>
      </c>
      <c r="BJ59" s="1501" t="s">
        <v>1663</v>
      </c>
      <c r="BL59" s="1501" t="s">
        <v>1663</v>
      </c>
    </row>
    <row customHeight="1" ht="11.25">
      <c r="A60" s="1358" t="s">
        <v>1708</v>
      </c>
      <c r="D60" s="1402" t="s">
        <v>1709</v>
      </c>
      <c r="E60" s="1379" t="s">
        <v>1591</v>
      </c>
      <c r="F60" s="1358" t="s">
        <v>1705</v>
      </c>
      <c r="AX60" s="1404" t="s">
        <v>1710</v>
      </c>
      <c r="AZ60" s="1404" t="s">
        <v>1232</v>
      </c>
      <c r="BE60" s="1404">
        <v>2058</v>
      </c>
      <c r="BJ60" s="1501" t="s">
        <v>1669</v>
      </c>
      <c r="BL60" s="1501" t="s">
        <v>1669</v>
      </c>
    </row>
    <row customHeight="1" ht="11.25">
      <c r="A61" s="1358" t="s">
        <v>1711</v>
      </c>
      <c r="D61" s="1402" t="s">
        <v>1712</v>
      </c>
      <c r="E61" s="1379" t="s">
        <v>1591</v>
      </c>
      <c r="F61" s="1358" t="s">
        <v>1705</v>
      </c>
      <c r="AX61" s="1404" t="s">
        <v>1713</v>
      </c>
      <c r="AZ61" s="1404" t="s">
        <v>1256</v>
      </c>
      <c r="BE61" s="1404">
        <v>2059</v>
      </c>
      <c r="BL61" s="1501" t="s">
        <v>1048</v>
      </c>
    </row>
    <row customHeight="1" ht="11.25">
      <c r="A62" s="1358" t="s">
        <v>1714</v>
      </c>
      <c r="D62" s="1402" t="s">
        <v>131</v>
      </c>
      <c r="E62" s="1379">
        <v>30</v>
      </c>
      <c r="F62" s="1358" t="s">
        <v>1705</v>
      </c>
      <c r="AZ62" s="1404" t="s">
        <v>1291</v>
      </c>
      <c r="BE62" s="1404">
        <v>2060</v>
      </c>
      <c r="BL62" s="1501" t="s">
        <v>1050</v>
      </c>
    </row>
    <row customHeight="1" ht="11.25">
      <c r="A63" s="1358" t="s">
        <v>1715</v>
      </c>
      <c r="D63" s="1402" t="s">
        <v>1716</v>
      </c>
      <c r="E63" s="1379">
        <v>30</v>
      </c>
      <c r="F63" s="1358" t="s">
        <v>1705</v>
      </c>
      <c r="AZ63" s="1404" t="s">
        <v>1322</v>
      </c>
      <c r="BE63" s="1404">
        <v>2061</v>
      </c>
    </row>
    <row customHeight="1" ht="11.25">
      <c r="A64" s="1358" t="s">
        <v>1717</v>
      </c>
      <c r="D64" s="1402" t="s">
        <v>1718</v>
      </c>
      <c r="E64" s="1379">
        <v>30</v>
      </c>
      <c r="F64" s="1358" t="s">
        <v>1705</v>
      </c>
      <c r="AZ64" s="1404" t="s">
        <v>1345</v>
      </c>
      <c r="BE64" s="1404">
        <v>2062</v>
      </c>
    </row>
    <row customHeight="1" ht="11.25">
      <c r="A65" s="1358" t="s">
        <v>1719</v>
      </c>
      <c r="D65" s="1358"/>
      <c r="BE65" s="1404">
        <v>2063</v>
      </c>
    </row>
    <row customHeight="1" ht="11.25">
      <c r="A66" s="1358" t="s">
        <v>1720</v>
      </c>
      <c r="AZ66" s="1351" t="s">
        <v>1721</v>
      </c>
      <c r="BE66" s="1404">
        <v>2064</v>
      </c>
    </row>
    <row customHeight="1" ht="11.25">
      <c r="A67" s="1358" t="s">
        <v>1722</v>
      </c>
      <c r="AZ67" s="1404" t="s">
        <v>1233</v>
      </c>
      <c r="BE67" s="1404">
        <v>2065</v>
      </c>
    </row>
    <row customHeight="1" ht="11.25">
      <c r="A68" s="1358" t="s">
        <v>16</v>
      </c>
      <c r="AZ68" s="1404" t="s">
        <v>1257</v>
      </c>
      <c r="BE68" s="1404">
        <v>2066</v>
      </c>
      <c r="BH68" s="1351" t="s">
        <v>1723</v>
      </c>
      <c r="BJ68" s="1351" t="s">
        <v>1724</v>
      </c>
      <c r="BL68" s="1351" t="s">
        <v>1725</v>
      </c>
      <c r="BN68" s="1351" t="s">
        <v>1726</v>
      </c>
    </row>
    <row customHeight="1" ht="11.25">
      <c r="A69" s="1358" t="s">
        <v>1727</v>
      </c>
      <c r="AZ69" s="1404" t="s">
        <v>1292</v>
      </c>
      <c r="BE69" s="1404">
        <v>2067</v>
      </c>
      <c r="BH69" s="1352" t="s">
        <v>1728</v>
      </c>
      <c r="BI69" s="1401" t="s">
        <v>110</v>
      </c>
      <c r="BJ69" s="1352" t="s">
        <v>1729</v>
      </c>
      <c r="BK69" s="1401" t="s">
        <v>110</v>
      </c>
      <c r="BL69" s="1352" t="s">
        <v>1730</v>
      </c>
      <c r="BM69" s="1354" t="s">
        <v>110</v>
      </c>
      <c r="BN69" s="1352" t="s">
        <v>1731</v>
      </c>
    </row>
    <row customHeight="1" ht="11.25">
      <c r="A70" s="1358" t="s">
        <v>1732</v>
      </c>
      <c r="AZ70" s="1404" t="s">
        <v>1323</v>
      </c>
      <c r="BE70" s="1404">
        <v>2068</v>
      </c>
      <c r="BH70" s="1352" t="s">
        <v>1733</v>
      </c>
      <c r="BJ70" s="1352" t="s">
        <v>1734</v>
      </c>
      <c r="BL70" s="1352" t="s">
        <v>1735</v>
      </c>
      <c r="BN70" s="1352" t="s">
        <v>1736</v>
      </c>
    </row>
    <row customHeight="1" ht="11.25">
      <c r="A71" s="1358" t="s">
        <v>1737</v>
      </c>
      <c r="AZ71" s="1404" t="s">
        <v>1325</v>
      </c>
      <c r="BE71" s="1404">
        <v>2069</v>
      </c>
      <c r="BH71" s="1352" t="s">
        <v>1738</v>
      </c>
      <c r="BI71" s="1401" t="s">
        <v>91</v>
      </c>
      <c r="BJ71" s="1352" t="s">
        <v>1739</v>
      </c>
      <c r="BK71" s="1401" t="s">
        <v>91</v>
      </c>
      <c r="BL71" s="1352" t="s">
        <v>1740</v>
      </c>
      <c r="BM71" s="1354" t="s">
        <v>91</v>
      </c>
      <c r="BN71" s="1352" t="s">
        <v>1741</v>
      </c>
    </row>
    <row customHeight="1" ht="11.25">
      <c r="A72" s="1358" t="s">
        <v>1742</v>
      </c>
      <c r="AZ72" s="1404" t="s">
        <v>19</v>
      </c>
      <c r="BE72" s="1404">
        <v>2070</v>
      </c>
      <c r="BH72" s="1352" t="s">
        <v>1743</v>
      </c>
      <c r="BJ72" s="1352" t="s">
        <v>1743</v>
      </c>
      <c r="BL72" s="1352" t="s">
        <v>1743</v>
      </c>
      <c r="BN72" s="1352" t="s">
        <v>1744</v>
      </c>
    </row>
    <row customHeight="1" ht="11.25">
      <c r="A73" s="1358" t="s">
        <v>1745</v>
      </c>
      <c r="BH73" s="1352" t="s">
        <v>1746</v>
      </c>
      <c r="BI73" s="1401" t="s">
        <v>112</v>
      </c>
      <c r="BJ73" s="1352" t="s">
        <v>1747</v>
      </c>
      <c r="BK73" s="1401" t="s">
        <v>112</v>
      </c>
      <c r="BL73" s="1352" t="s">
        <v>1748</v>
      </c>
      <c r="BM73" s="1354" t="s">
        <v>112</v>
      </c>
      <c r="BN73" s="1352" t="s">
        <v>1749</v>
      </c>
    </row>
    <row customHeight="1" ht="11.25">
      <c r="A74" s="1358" t="s">
        <v>1750</v>
      </c>
      <c r="BH74" s="1352" t="s">
        <v>1751</v>
      </c>
      <c r="BJ74" s="1352" t="s">
        <v>1752</v>
      </c>
      <c r="BL74" s="1352" t="s">
        <v>1753</v>
      </c>
      <c r="BN74" s="1352" t="s">
        <v>1754</v>
      </c>
    </row>
    <row customHeight="1" ht="11.25">
      <c r="A75" s="1358" t="s">
        <v>1755</v>
      </c>
      <c r="AZ75" s="1351" t="s">
        <v>1756</v>
      </c>
      <c r="BH75" s="1352" t="s">
        <v>1757</v>
      </c>
      <c r="BJ75" s="1352" t="s">
        <v>1757</v>
      </c>
      <c r="BL75" s="1352" t="s">
        <v>1757</v>
      </c>
    </row>
    <row customHeight="1" ht="11.25">
      <c r="A76" s="1358" t="s">
        <v>1758</v>
      </c>
      <c r="AZ76" s="1404" t="s">
        <v>1242</v>
      </c>
      <c r="BH76" s="1352" t="s">
        <v>1759</v>
      </c>
      <c r="BJ76" s="1352" t="s">
        <v>1760</v>
      </c>
      <c r="BL76" s="1352" t="s">
        <v>1761</v>
      </c>
    </row>
    <row customHeight="1" ht="11.25">
      <c r="A77" s="1358" t="s">
        <v>1762</v>
      </c>
      <c r="AZ77" s="1404" t="s">
        <v>1267</v>
      </c>
    </row>
    <row customHeight="1" ht="11.25">
      <c r="A78" s="1358" t="s">
        <v>1763</v>
      </c>
      <c r="AZ78" s="1404" t="s">
        <v>1299</v>
      </c>
    </row>
    <row customHeight="1" ht="11.25">
      <c r="A79" s="1358" t="s">
        <v>1764</v>
      </c>
      <c r="AZ79" s="1404" t="s">
        <v>1329</v>
      </c>
      <c r="BH79" s="1351" t="s">
        <v>1765</v>
      </c>
      <c r="BJ79" s="1351" t="s">
        <v>1766</v>
      </c>
      <c r="BL79" s="1351" t="s">
        <v>1767</v>
      </c>
    </row>
    <row customHeight="1" ht="11.25">
      <c r="A80" s="1358" t="s">
        <v>1768</v>
      </c>
      <c r="AZ80" s="1404" t="s">
        <v>1350</v>
      </c>
      <c r="BH80" s="1352" t="s">
        <v>1769</v>
      </c>
      <c r="BJ80" s="1352" t="s">
        <v>1770</v>
      </c>
      <c r="BL80" s="1352" t="s">
        <v>1771</v>
      </c>
    </row>
    <row customHeight="1" ht="11.25">
      <c r="A81" s="1358" t="s">
        <v>1772</v>
      </c>
      <c r="AZ81" s="1404" t="s">
        <v>1367</v>
      </c>
      <c r="BH81" s="1352" t="s">
        <v>1773</v>
      </c>
      <c r="BJ81" s="1352" t="s">
        <v>1774</v>
      </c>
      <c r="BL81" s="1352" t="s">
        <v>1775</v>
      </c>
    </row>
    <row customHeight="1" ht="11.25">
      <c r="A82" s="1358" t="s">
        <v>1776</v>
      </c>
      <c r="AZ82" s="1404" t="s">
        <v>1382</v>
      </c>
      <c r="BH82" s="1352" t="s">
        <v>1777</v>
      </c>
      <c r="BJ82" s="1352" t="s">
        <v>1778</v>
      </c>
      <c r="BL82" s="1352" t="s">
        <v>1779</v>
      </c>
    </row>
    <row customHeight="1" ht="11.25">
      <c r="A83" s="1358" t="s">
        <v>1780</v>
      </c>
      <c r="BH83" s="1352" t="s">
        <v>1781</v>
      </c>
      <c r="BJ83" s="1352" t="s">
        <v>1782</v>
      </c>
      <c r="BL83" s="1352" t="s">
        <v>1783</v>
      </c>
    </row>
    <row customHeight="1" ht="11.25">
      <c r="A84" s="1358" t="s">
        <v>1784</v>
      </c>
      <c r="AZ84" s="1351" t="s">
        <v>1785</v>
      </c>
    </row>
    <row customHeight="1" ht="11.25">
      <c r="A85" s="2154" t="s">
        <v>1786</v>
      </c>
      <c r="AZ85" s="1404" t="s">
        <v>1787</v>
      </c>
    </row>
    <row customHeight="1" ht="11.25">
      <c r="A86" s="1358" t="s">
        <v>1788</v>
      </c>
      <c r="AZ86" s="1404" t="s">
        <v>1789</v>
      </c>
      <c r="BH86" s="1351" t="s">
        <v>1790</v>
      </c>
      <c r="BJ86" s="1351" t="s">
        <v>1791</v>
      </c>
      <c r="BL86" s="1351" t="s">
        <v>1792</v>
      </c>
    </row>
    <row customHeight="1" ht="11.25">
      <c r="A87" s="1358" t="s">
        <v>1793</v>
      </c>
      <c r="AZ87" s="1404" t="s">
        <v>1794</v>
      </c>
      <c r="BH87" s="1352" t="s">
        <v>1795</v>
      </c>
      <c r="BJ87" s="1352" t="s">
        <v>1796</v>
      </c>
      <c r="BL87" s="1352" t="s">
        <v>1797</v>
      </c>
    </row>
    <row customHeight="1" ht="11.25">
      <c r="A88" s="1358" t="s">
        <v>1798</v>
      </c>
      <c r="AZ88" s="1890"/>
      <c r="BH88" s="1352" t="s">
        <v>1799</v>
      </c>
      <c r="BJ88" s="1352" t="s">
        <v>1800</v>
      </c>
      <c r="BL88" s="1352" t="s">
        <v>1801</v>
      </c>
    </row>
    <row customHeight="1" ht="11.25">
      <c r="A89" s="1358" t="s">
        <v>1802</v>
      </c>
      <c r="AZ89" s="1351" t="s">
        <v>1803</v>
      </c>
    </row>
    <row customHeight="1" ht="11.25">
      <c r="A90" s="1358" t="s">
        <v>1804</v>
      </c>
      <c r="AZ90" s="1404" t="s">
        <v>1026</v>
      </c>
    </row>
    <row customHeight="1" ht="11.25">
      <c r="A91" s="1358" t="s">
        <v>1805</v>
      </c>
      <c r="AZ91" s="1404" t="s">
        <v>1062</v>
      </c>
      <c r="BH91" s="1351" t="s">
        <v>1806</v>
      </c>
      <c r="BJ91" s="1351" t="s">
        <v>1807</v>
      </c>
      <c r="BL91" s="1351" t="s">
        <v>1808</v>
      </c>
    </row>
    <row customHeight="1" ht="11.25">
      <c r="AZ92" s="1404" t="s">
        <v>1809</v>
      </c>
      <c r="BH92" s="1352" t="s">
        <v>1810</v>
      </c>
      <c r="BJ92" s="1352" t="s">
        <v>1811</v>
      </c>
      <c r="BL92" s="1352" t="s">
        <v>1812</v>
      </c>
    </row>
    <row customHeight="1" ht="11.25">
      <c r="AZ93" s="1404" t="s">
        <v>1813</v>
      </c>
      <c r="BH93" s="1352" t="s">
        <v>1814</v>
      </c>
      <c r="BJ93" s="1352" t="s">
        <v>1815</v>
      </c>
      <c r="BL93" s="1352" t="s">
        <v>1816</v>
      </c>
    </row>
    <row customHeight="1" ht="11.25">
      <c r="AZ94" s="1404" t="s">
        <v>1817</v>
      </c>
    </row>
    <row r="96" customHeight="1" ht="11.25">
      <c r="AZ96" s="1351" t="s">
        <v>1818</v>
      </c>
      <c r="BH96" s="1351" t="s">
        <v>1819</v>
      </c>
      <c r="BJ96" s="1351" t="s">
        <v>1820</v>
      </c>
      <c r="BL96" s="1351" t="s">
        <v>1821</v>
      </c>
      <c r="BN96" s="1351" t="s">
        <v>1822</v>
      </c>
    </row>
    <row customHeight="1" ht="11.25">
      <c r="AZ97" s="2185" t="s">
        <v>1823</v>
      </c>
      <c r="BA97" s="2186" t="s">
        <v>1824</v>
      </c>
      <c r="BH97" s="1352" t="s">
        <v>1825</v>
      </c>
      <c r="BJ97" s="1352" t="s">
        <v>1826</v>
      </c>
      <c r="BL97" s="1352" t="s">
        <v>1827</v>
      </c>
      <c r="BN97" s="1352" t="s">
        <v>1828</v>
      </c>
    </row>
    <row customHeight="1" ht="11.25">
      <c r="AZ98" s="2185" t="s">
        <v>1829</v>
      </c>
      <c r="BA98" s="2186" t="s">
        <v>1830</v>
      </c>
      <c r="BH98" s="1352" t="s">
        <v>1831</v>
      </c>
      <c r="BJ98" s="1352" t="s">
        <v>1832</v>
      </c>
      <c r="BL98" s="1352" t="s">
        <v>1833</v>
      </c>
      <c r="BN98" s="1352" t="s">
        <v>1834</v>
      </c>
    </row>
    <row customHeight="1" ht="22.5">
      <c r="AZ99" s="2185" t="s">
        <v>1835</v>
      </c>
      <c r="BA99" s="2186" t="str">
        <f>"не позднее чем за "&amp;IF(TEMPLATE_SPHERE="TKO","3","10")&amp;" дней до дня проведения заседания правления"</f>
        <v>не позднее чем за 10 дней до дня проведения заседания правления</v>
      </c>
      <c r="BH99" s="1352" t="s">
        <v>1836</v>
      </c>
      <c r="BJ99" s="1352" t="s">
        <v>1837</v>
      </c>
      <c r="BL99" s="1352" t="s">
        <v>1838</v>
      </c>
      <c r="BN99" s="1352" t="s">
        <v>1839</v>
      </c>
    </row>
    <row customHeight="1" ht="22.5">
      <c r="AZ100" s="2185" t="s">
        <v>1840</v>
      </c>
      <c r="BA100" s="2186"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J100" s="1352" t="s">
        <v>1428</v>
      </c>
      <c r="BL100" s="1352" t="s">
        <v>1428</v>
      </c>
      <c r="BN100" s="1352" t="s">
        <v>1841</v>
      </c>
    </row>
    <row customHeight="1" ht="22.5">
      <c r="AZ101" s="2185" t="s">
        <v>1842</v>
      </c>
      <c r="BA101" s="2186" t="s">
        <v>1843</v>
      </c>
      <c r="BN101" s="1352" t="s">
        <v>1844</v>
      </c>
    </row>
    <row customHeight="1" ht="22.5">
      <c r="AZ102" s="2185" t="s">
        <v>1845</v>
      </c>
      <c r="BA102" s="2186"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N102" s="1352" t="s">
        <v>1846</v>
      </c>
    </row>
    <row customHeight="1" ht="11.25">
      <c r="AZ103" s="2185" t="s">
        <v>1847</v>
      </c>
      <c r="BA103" s="2186" t="s">
        <v>1848</v>
      </c>
      <c r="BN103" s="1352" t="s">
        <v>1849</v>
      </c>
    </row>
    <row customHeight="1" ht="11.25">
      <c r="BN104" s="1352" t="s">
        <v>1850</v>
      </c>
    </row>
    <row customHeight="1" ht="11.25">
      <c r="AZ105" s="1976" t="s">
        <v>1851</v>
      </c>
    </row>
    <row customHeight="1" ht="11.25">
      <c r="AZ106" s="1404" t="s">
        <v>1852</v>
      </c>
    </row>
    <row customHeight="1" ht="11.25">
      <c r="AZ107" s="1404" t="s">
        <v>1853</v>
      </c>
      <c r="BH107" s="1351" t="s">
        <v>1854</v>
      </c>
      <c r="BJ107" s="1351" t="s">
        <v>1855</v>
      </c>
      <c r="BL107" s="1351" t="s">
        <v>1856</v>
      </c>
      <c r="BN107" s="1351" t="s">
        <v>1857</v>
      </c>
    </row>
    <row customHeight="1" ht="11.25">
      <c r="AZ108" s="1404" t="s">
        <v>579</v>
      </c>
      <c r="BH108" s="1352" t="s">
        <v>1858</v>
      </c>
      <c r="BJ108" s="1352" t="s">
        <v>1859</v>
      </c>
      <c r="BL108" s="1352" t="s">
        <v>1514</v>
      </c>
      <c r="BN108" s="1352" t="s">
        <v>1860</v>
      </c>
    </row>
    <row customHeight="1" ht="11.25">
      <c r="BH109" s="1352" t="s">
        <v>1861</v>
      </c>
    </row>
    <row customHeight="1" ht="11.25">
      <c r="AZ110" s="1976" t="s">
        <v>1862</v>
      </c>
      <c r="BH110" s="1352" t="s">
        <v>1861</v>
      </c>
    </row>
    <row customHeight="1" ht="11.25">
      <c r="AZ111" s="2185" t="s">
        <v>1823</v>
      </c>
      <c r="BA111" s="2186" t="s">
        <v>1824</v>
      </c>
    </row>
    <row customHeight="1" ht="11.25">
      <c r="AZ112" s="2185" t="s">
        <v>1829</v>
      </c>
      <c r="BA112" s="2186" t="s">
        <v>1830</v>
      </c>
    </row>
    <row customHeight="1" ht="22.5">
      <c r="AZ113" s="2185" t="s">
        <v>1835</v>
      </c>
      <c r="BA113" s="2186" t="str">
        <f>"не позднее чем за "&amp;IF(TEMPLATE_SPHERE="TKO","3","10")&amp;" дней до дня проведения заседания правления"</f>
        <v>не позднее чем за 10 дней до дня проведения заседания правления</v>
      </c>
    </row>
    <row customHeight="1" ht="22.5">
      <c r="AZ114" s="2185" t="s">
        <v>1840</v>
      </c>
      <c r="BA114" s="2186"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4" s="1351" t="s">
        <v>1863</v>
      </c>
    </row>
    <row customHeight="1" ht="22.5">
      <c r="AZ115" s="2185" t="s">
        <v>1845</v>
      </c>
      <c r="BA115" s="2186"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5" s="1352" t="s">
        <v>451</v>
      </c>
    </row>
    <row customHeight="1" ht="11.25">
      <c r="AZ116" s="2185" t="s">
        <v>1847</v>
      </c>
      <c r="BA116" s="2186" t="s">
        <v>1848</v>
      </c>
      <c r="BH116" s="1352" t="s">
        <v>1254</v>
      </c>
    </row>
    <row customHeight="1" ht="11.25">
      <c r="BH117" s="1352" t="s">
        <v>1288</v>
      </c>
    </row>
    <row customHeight="1" ht="11.25">
      <c r="BH118" s="1352" t="s">
        <v>1321</v>
      </c>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1C66D89-CB4E-078A-FFEC-74CBF402C433}" mc:Ignorable="x14ac xr xr2 xr3">
  <dimension ref="A1:J25"/>
  <sheetViews>
    <sheetView topLeftCell="A1" showGridLines="0" zoomScale="90" workbookViewId="0">
      <selection activeCell="A1" sqref="A1"/>
    </sheetView>
  </sheetViews>
  <sheetFormatPr defaultColWidth="9.140625" customHeight="1" defaultRowHeight="11.25"/>
  <cols>
    <col min="1" max="2" style="14641" width="15.00390625" hidden="1" customWidth="1"/>
    <col min="3" max="3" style="14685" width="3.00390625" customWidth="1"/>
    <col min="4" max="4" style="14686" width="6.00390625" customWidth="1"/>
    <col min="5" max="5" style="14685" width="52.00390625" customWidth="1"/>
    <col min="6" max="6" style="14685" width="48.00390625" customWidth="1"/>
    <col min="7" max="7" style="14685" width="93.00390625" customWidth="1"/>
    <col min="8" max="8" style="14685" width="8.00390625" customWidth="1"/>
    <col min="9" max="9" style="14685" width="64.00390625" customWidth="1"/>
    <col min="10" max="10" style="14685" width="9.140625" hidden="1"/>
  </cols>
  <sheetData>
    <row customHeight="1" ht="11.25" hidden="1">
      <c r="A1" s="785" t="s">
        <v>304</v>
      </c>
      <c r="J1" s="739" t="s">
        <v>14</v>
      </c>
    </row>
    <row customHeight="1" ht="22.5" hidden="1">
      <c r="A2" s="786"/>
      <c r="B2" s="786"/>
      <c r="C2" s="2014" t="s">
        <v>454</v>
      </c>
      <c r="D2" s="1804"/>
      <c r="E2" s="1810"/>
      <c r="F2" s="1833"/>
      <c r="H2" s="759"/>
      <c r="J2" s="739">
        <v>0</v>
      </c>
    </row>
    <row customHeight="1" ht="11.25" hidden="1">
      <c r="J3" s="739">
        <v>0</v>
      </c>
    </row>
    <row customHeight="1" ht="11.549999999999999">
      <c r="A4" s="1834"/>
      <c r="B4" s="1834"/>
      <c r="J4" s="739">
        <v>11</v>
      </c>
    </row>
    <row customHeight="1" ht="27.299999999999997">
      <c r="D5" s="2522"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2. Информация об органе регулирования тарифов в сфере теплоснабжения (далее – орган регулирования тарифов)</v>
      </c>
      <c r="E5" s="2523"/>
      <c r="F5" s="2524"/>
      <c r="I5" s="999"/>
      <c r="J5" s="739">
        <v>26</v>
      </c>
    </row>
    <row customHeight="1" ht="18">
      <c r="D6" s="2460" t="str">
        <f>IF(region_name=0,"Не определено",region_name)</f>
        <v>Ростовская область</v>
      </c>
      <c r="E6" s="2460"/>
      <c r="F6" s="2460"/>
      <c r="I6" s="999"/>
      <c r="J6" s="739">
        <v>17</v>
      </c>
    </row>
    <row s="14599" customFormat="1" customHeight="1" ht="11.549999999999999">
      <c r="A7" s="785"/>
      <c r="B7" s="785"/>
      <c r="D7" s="998"/>
      <c r="E7" s="998"/>
      <c r="F7" s="1036"/>
      <c r="G7" s="998"/>
      <c r="J7" s="761">
        <v>11</v>
      </c>
    </row>
    <row customHeight="1" ht="11.25" hidden="1">
      <c r="A8" s="786"/>
      <c r="B8" s="786"/>
      <c r="C8" s="741"/>
      <c r="D8" s="747"/>
      <c r="E8" s="2491"/>
      <c r="F8" s="2491"/>
      <c r="J8" s="739">
        <v>0</v>
      </c>
    </row>
    <row customHeight="1" ht="11.549999999999999">
      <c r="A9" s="786"/>
      <c r="B9" s="786"/>
      <c r="C9" s="741"/>
      <c r="D9" s="2488" t="s">
        <v>305</v>
      </c>
      <c r="E9" s="2489"/>
      <c r="F9" s="2489"/>
      <c r="G9" s="2492" t="s">
        <v>306</v>
      </c>
      <c r="J9" s="739">
        <v>11</v>
      </c>
    </row>
    <row customHeight="1" ht="11.549999999999999">
      <c r="A10" s="786"/>
      <c r="B10" s="786"/>
      <c r="C10" s="741"/>
      <c r="D10" s="1758" t="s">
        <v>89</v>
      </c>
      <c r="E10" s="1760" t="s">
        <v>307</v>
      </c>
      <c r="F10" s="1760" t="s">
        <v>308</v>
      </c>
      <c r="G10" s="2493"/>
      <c r="J10" s="739">
        <v>11</v>
      </c>
    </row>
    <row customHeight="1" ht="1.05">
      <c r="A11" s="786"/>
      <c r="B11" s="786"/>
      <c r="C11" s="741"/>
      <c r="D11" s="748"/>
      <c r="E11" s="748"/>
      <c r="F11" s="748"/>
      <c r="G11" s="748"/>
      <c r="J11" s="739">
        <v>1</v>
      </c>
    </row>
    <row customHeight="1" ht="24">
      <c r="A12" s="786"/>
      <c r="B12" s="786"/>
      <c r="C12" s="741"/>
      <c r="D12" s="1804">
        <v>1</v>
      </c>
      <c r="E12" s="758"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Наименование органа тарифного регулирования </v>
      </c>
      <c r="F12" s="2192" t="str">
        <f>IF(org="","",org)</f>
        <v>МУП г. Азова "Теплоэнерго"</v>
      </c>
      <c r="G12" s="758"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тарифного  регулирования  образован.</v>
      </c>
      <c r="H12" s="1817"/>
      <c r="J12" s="739">
        <v>23</v>
      </c>
    </row>
    <row customHeight="1" ht="19.95">
      <c r="A13" s="786"/>
      <c r="B13" s="786"/>
      <c r="C13" s="741"/>
      <c r="D13" s="1804">
        <v>2</v>
      </c>
      <c r="E13" s="1811" t="s">
        <v>1864</v>
      </c>
      <c r="F13" s="1805" t="s">
        <v>311</v>
      </c>
      <c r="G13" s="758"/>
      <c r="H13" s="1817"/>
      <c r="J13" s="739">
        <v>19</v>
      </c>
    </row>
    <row customHeight="1" ht="19.95">
      <c r="A14" s="786"/>
      <c r="B14" s="786"/>
      <c r="C14" s="741"/>
      <c r="D14" s="1807" t="s">
        <v>716</v>
      </c>
      <c r="E14" s="1808" t="s">
        <v>1865</v>
      </c>
      <c r="F14" s="1810"/>
      <c r="G14" s="1809" t="s">
        <v>1866</v>
      </c>
      <c r="H14" s="1817"/>
      <c r="J14" s="739">
        <v>19</v>
      </c>
    </row>
    <row customHeight="1" ht="19.95">
      <c r="A15" s="786"/>
      <c r="B15" s="786"/>
      <c r="C15" s="741"/>
      <c r="D15" s="1807" t="s">
        <v>312</v>
      </c>
      <c r="E15" s="1808" t="s">
        <v>1867</v>
      </c>
      <c r="F15" s="1810"/>
      <c r="G15" s="1809" t="s">
        <v>1868</v>
      </c>
      <c r="H15" s="1817"/>
      <c r="J15" s="739">
        <v>19</v>
      </c>
    </row>
    <row customHeight="1" ht="24">
      <c r="A16" s="786"/>
      <c r="B16" s="786"/>
      <c r="C16" s="741"/>
      <c r="D16" s="1807" t="s">
        <v>315</v>
      </c>
      <c r="E16" s="1806" t="s">
        <v>1869</v>
      </c>
      <c r="F16" s="1815"/>
      <c r="G16" s="758" t="s">
        <v>1870</v>
      </c>
      <c r="H16" s="1817"/>
      <c r="J16" s="739">
        <v>23</v>
      </c>
    </row>
    <row customHeight="1" ht="48.29999999999999">
      <c r="A17" s="786"/>
      <c r="B17" s="786"/>
      <c r="C17" s="741"/>
      <c r="D17" s="1804">
        <v>3</v>
      </c>
      <c r="E17" s="1811" t="s">
        <v>1871</v>
      </c>
      <c r="F17" s="1810"/>
      <c r="G17" s="758" t="s">
        <v>1872</v>
      </c>
      <c r="H17" s="1817"/>
      <c r="J17" s="739">
        <v>46</v>
      </c>
    </row>
    <row customHeight="1" ht="48.29999999999999">
      <c r="A18" s="1759">
        <v>1</v>
      </c>
      <c r="B18" s="786"/>
      <c r="C18" s="1761"/>
      <c r="D18" s="1804" t="s">
        <v>92</v>
      </c>
      <c r="E18" s="1811" t="s">
        <v>1873</v>
      </c>
      <c r="F18" s="1810"/>
      <c r="G18" s="758" t="s">
        <v>1872</v>
      </c>
      <c r="H18" s="1817"/>
      <c r="I18" s="1136"/>
      <c r="J18" s="739">
        <v>46</v>
      </c>
    </row>
    <row customHeight="1" ht="23.25">
      <c r="A19" s="786"/>
      <c r="B19" s="786"/>
      <c r="C19" s="741"/>
      <c r="D19" s="1804" t="s">
        <v>112</v>
      </c>
      <c r="E19" s="1811" t="s">
        <v>1874</v>
      </c>
      <c r="F19" s="1805" t="s">
        <v>311</v>
      </c>
      <c r="G19" s="2755" t="s">
        <v>1875</v>
      </c>
      <c r="H19" s="759"/>
      <c r="J19" s="739">
        <v>22</v>
      </c>
    </row>
    <row s="16195" customFormat="1" customHeight="1" ht="5.25" hidden="1">
      <c r="A20" s="786"/>
      <c r="B20" s="786"/>
      <c r="C20" s="1813"/>
      <c r="D20" s="1812" t="s">
        <v>1123</v>
      </c>
      <c r="E20" s="1298"/>
      <c r="F20" s="1297"/>
      <c r="G20" s="2756"/>
      <c r="J20" s="1814">
        <v>0</v>
      </c>
    </row>
    <row customHeight="1" ht="15.75">
      <c r="A21" s="786"/>
      <c r="B21" s="786"/>
      <c r="C21" s="741"/>
      <c r="D21" s="751"/>
      <c r="E21" s="699" t="s">
        <v>344</v>
      </c>
      <c r="F21" s="753"/>
      <c r="G21" s="2757"/>
      <c r="H21" s="1817"/>
      <c r="J21" s="739">
        <v>15</v>
      </c>
    </row>
    <row s="14641" customFormat="1" customHeight="1" ht="26.25">
      <c r="A22" s="786"/>
      <c r="B22" s="786"/>
      <c r="C22" s="786"/>
      <c r="D22" s="1804" t="s">
        <v>93</v>
      </c>
      <c r="E22" s="758" t="s">
        <v>1876</v>
      </c>
      <c r="F22" s="1810"/>
      <c r="G22" s="758" t="s">
        <v>1877</v>
      </c>
      <c r="H22" s="1816"/>
      <c r="J22" s="785">
        <v>25</v>
      </c>
    </row>
    <row s="14641" customFormat="1" customHeight="1" ht="19.95">
      <c r="A23" s="786"/>
      <c r="B23" s="786"/>
      <c r="C23" s="786"/>
      <c r="D23" s="1804" t="s">
        <v>94</v>
      </c>
      <c r="E23" s="1811" t="s">
        <v>1878</v>
      </c>
      <c r="F23" s="1815"/>
      <c r="G23" s="758" t="s">
        <v>1879</v>
      </c>
      <c r="H23" s="1816"/>
      <c r="J23" s="785">
        <v>19</v>
      </c>
    </row>
    <row s="14641" customFormat="1" customHeight="1" ht="144" hidden="1">
      <c r="A24" s="786"/>
      <c r="B24" s="786"/>
      <c r="C24" s="786"/>
      <c r="D24" s="1804" t="s">
        <v>113</v>
      </c>
      <c r="E24" s="2181"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цен (тарифов) в сфере теплоснабжения в случае, если региональный государственный контроль (надзор) в области регулирования цен (тарифов) в сфере теплоснабжения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цен (тарифов)</v>
      </c>
      <c r="F24" s="2182"/>
      <c r="G24" s="2180"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Раскрывается исполнительным органом субъекта Российской Федерации в области государственного регулирования цен (тарифов). Указывается ссылка на документ, предварительно загруженный в хранилище файлов ФГИС ЕИАС.</v>
      </c>
      <c r="H24" s="1816"/>
      <c r="J24" s="785">
        <v>0</v>
      </c>
    </row>
    <row customHeight="1" ht="11.25" hidden="1">
      <c r="A25" s="785" t="s">
        <v>83</v>
      </c>
      <c r="B25" s="785">
        <v>0</v>
      </c>
      <c r="C25" s="739">
        <v>3</v>
      </c>
      <c r="D25" s="740">
        <v>6</v>
      </c>
      <c r="E25" s="739">
        <v>52</v>
      </c>
      <c r="F25" s="739">
        <v>48</v>
      </c>
      <c r="G25" s="739">
        <v>93</v>
      </c>
      <c r="H25" s="739">
        <v>8</v>
      </c>
      <c r="I25" s="739">
        <v>64</v>
      </c>
      <c r="J25" s="739">
        <v>11</v>
      </c>
    </row>
  </sheetData>
  <sheetProtection formatColumns="0" formatRows="0" autoFilter="0" sort="0" insertRows="0" insertColumns="1" deleteRows="0" deleteColumns="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sqref="F12 F14:F18 F22:F2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10FAB28-C878-6C68-006F-1FBF71DC642B}" mc:Ignorable="x14ac xr xr2 xr3">
  <dimension ref="A1:IU24"/>
  <sheetViews>
    <sheetView topLeftCell="A1" showGridLines="0" zoomScale="90" workbookViewId="0">
      <selection activeCell="A1" sqref="A1"/>
    </sheetView>
  </sheetViews>
  <sheetFormatPr defaultColWidth="9.140625" customHeight="1" defaultRowHeight="14.25"/>
  <cols>
    <col min="1" max="1" style="14077" width="9.140625" hidden="1"/>
    <col min="2" max="2" style="14157" width="9.140625" hidden="1"/>
    <col min="3" max="3" style="14077" width="3.7109375" hidden="1" customWidth="1"/>
    <col min="4" max="4" style="14246" width="3.00390625" customWidth="1"/>
    <col min="5" max="5" style="14077" width="6.00390625" customWidth="1"/>
    <col min="6" max="6" style="14077" width="46.00390625" customWidth="1"/>
    <col min="7" max="8" style="14077" width="16.00390625" customWidth="1"/>
    <col min="9" max="9" style="14077" width="35.00390625" customWidth="1"/>
    <col min="10" max="10" style="14077" width="89.00390625" customWidth="1"/>
    <col min="11" max="11" style="14247" width="3.00390625" customWidth="1"/>
    <col min="12" max="14" style="14247" width="8.00390625" customWidth="1"/>
    <col min="15" max="15" style="14247" width="25.00390625" customWidth="1"/>
    <col min="16" max="16" style="14247" width="14.00390625" customWidth="1"/>
    <col min="17" max="20" style="14248" width="8.00390625" customWidth="1"/>
    <col min="21" max="254" style="14077" width="8.00390625" customWidth="1"/>
    <col min="255" max="255" style="14077" width="9.140625" hidden="1"/>
  </cols>
  <sheetData>
    <row customHeight="1" ht="22.5" hidden="1">
      <c r="F1" s="1915" t="s">
        <v>1880</v>
      </c>
      <c r="G1" s="1915" t="s">
        <v>49</v>
      </c>
      <c r="H1" s="1915" t="s">
        <v>51</v>
      </c>
      <c r="IU1" s="1439" t="s">
        <v>14</v>
      </c>
    </row>
    <row s="14218" customFormat="1" customHeight="1" ht="22.5" hidden="1">
      <c r="A2" s="1115"/>
      <c r="B2" s="1444">
        <v>1</v>
      </c>
      <c r="C2" s="1444"/>
      <c r="D2" s="2212" t="s">
        <v>454</v>
      </c>
      <c r="E2" s="1768"/>
      <c r="F2" s="1775"/>
      <c r="G2" s="1775"/>
      <c r="H2" s="1775"/>
      <c r="I2" s="2268"/>
      <c r="J2" s="2269"/>
      <c r="K2" s="1819"/>
      <c r="L2" s="795"/>
      <c r="M2" s="795"/>
      <c r="N2" s="784" t="str">
        <f t="array" ref="N2:N2">IF(ISERROR(MATCH(MID(O2,1,250),MID(note_ter,1,250),0)),"n","y")</f>
        <v>n</v>
      </c>
      <c r="O2" s="795"/>
      <c r="P2" s="784" t="str">
        <f>G2&amp;"("&amp;J2&amp;")"</f>
        <v>()</v>
      </c>
      <c r="Q2" s="1444"/>
      <c r="R2" s="1444"/>
      <c r="S2" s="704"/>
      <c r="T2" s="1444"/>
      <c r="U2" s="1444"/>
      <c r="V2" s="1444"/>
      <c r="W2" s="706"/>
      <c r="X2" s="706"/>
      <c r="Y2" s="703"/>
      <c r="Z2" s="703"/>
      <c r="AA2" s="703"/>
      <c r="AB2" s="703"/>
      <c r="AC2" s="703"/>
      <c r="AD2" s="703"/>
      <c r="AE2" s="703"/>
      <c r="AF2" s="703"/>
      <c r="AG2" s="703"/>
      <c r="AH2" s="703"/>
      <c r="AI2" s="703"/>
      <c r="AJ2" s="703"/>
      <c r="AK2" s="703"/>
      <c r="AL2" s="703"/>
      <c r="AM2" s="703"/>
      <c r="AN2" s="703"/>
      <c r="AO2" s="703"/>
      <c r="AP2" s="703"/>
      <c r="AQ2" s="703"/>
      <c r="AR2" s="703"/>
      <c r="AS2" s="703"/>
      <c r="AT2" s="703"/>
      <c r="AU2" s="703"/>
      <c r="AV2" s="703"/>
      <c r="AW2" s="703"/>
      <c r="AX2" s="703"/>
      <c r="AY2" s="703"/>
      <c r="AZ2" s="703"/>
      <c r="BA2" s="703"/>
      <c r="BB2" s="703"/>
      <c r="BC2" s="703"/>
      <c r="BD2" s="703"/>
      <c r="BE2" s="703"/>
      <c r="BF2" s="703"/>
      <c r="BG2" s="703"/>
      <c r="BH2" s="703"/>
      <c r="BI2" s="703"/>
      <c r="BJ2" s="703"/>
      <c r="BK2" s="703"/>
      <c r="BL2" s="703"/>
      <c r="BM2" s="703"/>
      <c r="BN2" s="703"/>
      <c r="BO2" s="703"/>
      <c r="BP2" s="703"/>
      <c r="BQ2" s="703"/>
      <c r="BR2" s="703"/>
      <c r="BS2" s="703"/>
      <c r="BT2" s="706"/>
      <c r="BU2" s="706"/>
      <c r="BV2" s="706"/>
      <c r="BW2" s="706"/>
      <c r="BX2" s="706"/>
      <c r="BY2" s="706"/>
      <c r="BZ2" s="706"/>
      <c r="CA2" s="706"/>
      <c r="CB2" s="706"/>
      <c r="CC2" s="706"/>
      <c r="IU2" s="707">
        <v>0</v>
      </c>
    </row>
    <row s="14158" customFormat="1" customHeight="1" ht="4.2">
      <c r="A3" s="780"/>
      <c r="D3" s="778"/>
      <c r="F3" s="531" t="s">
        <v>84</v>
      </c>
      <c r="G3" s="778" t="s">
        <v>85</v>
      </c>
      <c r="H3" s="778"/>
      <c r="I3" s="778"/>
      <c r="J3" s="511" t="s">
        <v>86</v>
      </c>
      <c r="K3" s="531" t="s">
        <v>84</v>
      </c>
      <c r="L3" s="531"/>
      <c r="M3" s="531"/>
      <c r="N3" s="531"/>
      <c r="O3" s="532"/>
      <c r="P3" s="531"/>
      <c r="Q3" s="531"/>
      <c r="R3" s="531"/>
      <c r="S3" s="531"/>
      <c r="T3" s="531"/>
      <c r="U3" s="511"/>
      <c r="V3" s="511"/>
      <c r="W3" s="511"/>
      <c r="X3" s="511"/>
      <c r="Y3" s="511"/>
      <c r="Z3" s="511"/>
      <c r="AA3" s="511"/>
      <c r="AB3" s="511"/>
      <c r="AC3" s="511"/>
      <c r="AD3" s="511"/>
      <c r="AE3" s="511"/>
      <c r="AF3" s="511"/>
      <c r="AG3" s="511"/>
      <c r="AH3" s="511"/>
      <c r="AI3" s="511"/>
      <c r="AJ3" s="511"/>
      <c r="AK3" s="511"/>
      <c r="AL3" s="511"/>
      <c r="AM3" s="511"/>
      <c r="AN3" s="511"/>
      <c r="AO3" s="511"/>
      <c r="AP3" s="511"/>
      <c r="AQ3" s="511"/>
      <c r="AR3" s="511"/>
      <c r="AS3" s="511"/>
      <c r="AT3" s="511"/>
      <c r="AU3" s="511"/>
      <c r="AV3" s="511"/>
      <c r="AW3" s="511"/>
      <c r="AX3" s="511"/>
      <c r="AY3" s="511"/>
      <c r="AZ3" s="511"/>
      <c r="BA3" s="511"/>
      <c r="BB3" s="511"/>
      <c r="BC3" s="511"/>
      <c r="BD3" s="511"/>
      <c r="BE3" s="511"/>
      <c r="BF3" s="511"/>
      <c r="BG3" s="511"/>
      <c r="BH3" s="511"/>
      <c r="BI3" s="511"/>
      <c r="BJ3" s="511"/>
      <c r="BK3" s="511"/>
      <c r="BL3" s="511"/>
      <c r="BM3" s="511"/>
      <c r="BN3" s="511"/>
      <c r="BO3" s="511"/>
      <c r="BP3" s="511"/>
      <c r="BQ3" s="511"/>
      <c r="BR3" s="511"/>
      <c r="BS3" s="511"/>
      <c r="BT3" s="511"/>
      <c r="BU3" s="511"/>
      <c r="BV3" s="511"/>
      <c r="BW3" s="511"/>
      <c r="BX3" s="511"/>
      <c r="BY3" s="511"/>
      <c r="BZ3" s="511"/>
      <c r="CA3" s="511"/>
      <c r="CB3" s="511"/>
      <c r="CC3" s="511"/>
      <c r="CD3" s="511"/>
      <c r="CE3" s="511"/>
      <c r="CF3" s="511"/>
      <c r="CG3" s="511"/>
      <c r="CH3" s="511"/>
      <c r="CI3" s="511"/>
      <c r="CJ3" s="511"/>
      <c r="CK3" s="511"/>
      <c r="CL3" s="511"/>
      <c r="CM3" s="511"/>
      <c r="CN3" s="511"/>
      <c r="CO3" s="511"/>
      <c r="CP3" s="511"/>
      <c r="CQ3" s="511"/>
      <c r="CR3" s="511"/>
      <c r="CS3" s="511"/>
      <c r="CT3" s="511"/>
      <c r="CU3" s="511"/>
      <c r="CV3" s="511"/>
      <c r="CW3" s="511"/>
      <c r="CX3" s="511"/>
      <c r="CY3" s="511"/>
      <c r="CZ3" s="511"/>
      <c r="DA3" s="511"/>
      <c r="DB3" s="511"/>
      <c r="DC3" s="511"/>
      <c r="DD3" s="511"/>
      <c r="DE3" s="511"/>
      <c r="DF3" s="511"/>
      <c r="DG3" s="511"/>
      <c r="DH3" s="511"/>
      <c r="DI3" s="511"/>
      <c r="DJ3" s="511"/>
      <c r="DK3" s="511"/>
      <c r="DL3" s="511"/>
      <c r="DM3" s="511"/>
      <c r="DN3" s="511"/>
      <c r="DO3" s="511"/>
      <c r="DP3" s="511"/>
      <c r="DQ3" s="511"/>
      <c r="DR3" s="511"/>
      <c r="DS3" s="511"/>
      <c r="DT3" s="511"/>
      <c r="DU3" s="511"/>
      <c r="DV3" s="511"/>
      <c r="DW3" s="511"/>
      <c r="DX3" s="511"/>
      <c r="DY3" s="511"/>
      <c r="DZ3" s="511"/>
      <c r="EA3" s="511"/>
      <c r="EB3" s="511"/>
      <c r="EC3" s="511"/>
      <c r="ED3" s="511"/>
      <c r="EE3" s="511"/>
      <c r="EF3" s="511"/>
      <c r="EG3" s="511"/>
      <c r="EH3" s="511"/>
      <c r="EI3" s="511"/>
      <c r="EJ3" s="511"/>
      <c r="EK3" s="511"/>
      <c r="EL3" s="511"/>
      <c r="EM3" s="511"/>
      <c r="EN3" s="511"/>
      <c r="EO3" s="511"/>
      <c r="EP3" s="511"/>
      <c r="EQ3" s="511"/>
      <c r="ER3" s="511"/>
      <c r="ES3" s="511"/>
      <c r="ET3" s="511"/>
      <c r="EU3" s="511"/>
      <c r="EV3" s="511"/>
      <c r="EW3" s="511"/>
      <c r="EX3" s="511"/>
      <c r="EY3" s="511"/>
      <c r="EZ3" s="511"/>
      <c r="FA3" s="511"/>
      <c r="FB3" s="511"/>
      <c r="FC3" s="511"/>
      <c r="FD3" s="511"/>
      <c r="FE3" s="511"/>
      <c r="FF3" s="511"/>
      <c r="FG3" s="511"/>
      <c r="FH3" s="511"/>
      <c r="FI3" s="511"/>
      <c r="FJ3" s="511"/>
      <c r="FK3" s="511"/>
      <c r="FL3" s="511"/>
      <c r="FM3" s="511"/>
      <c r="FN3" s="511"/>
      <c r="FO3" s="511"/>
      <c r="FP3" s="511"/>
      <c r="FQ3" s="511"/>
      <c r="FR3" s="511"/>
      <c r="FS3" s="511"/>
      <c r="FT3" s="511"/>
      <c r="FU3" s="511"/>
      <c r="FV3" s="511"/>
      <c r="FW3" s="511"/>
      <c r="FX3" s="511"/>
      <c r="FY3" s="511"/>
      <c r="FZ3" s="511"/>
      <c r="GA3" s="511"/>
      <c r="GB3" s="511"/>
      <c r="GC3" s="511"/>
      <c r="GD3" s="511"/>
      <c r="GE3" s="511"/>
      <c r="GF3" s="511"/>
      <c r="GG3" s="511"/>
      <c r="GH3" s="511"/>
      <c r="GI3" s="511"/>
      <c r="GJ3" s="511"/>
      <c r="GK3" s="511"/>
      <c r="GL3" s="511"/>
      <c r="GM3" s="511"/>
      <c r="GN3" s="511"/>
      <c r="GO3" s="511"/>
      <c r="GP3" s="511"/>
      <c r="GQ3" s="511"/>
      <c r="GR3" s="511"/>
      <c r="GS3" s="511"/>
      <c r="GT3" s="511"/>
      <c r="GU3" s="511"/>
      <c r="GV3" s="511"/>
      <c r="GW3" s="511"/>
      <c r="GX3" s="511"/>
      <c r="GY3" s="511"/>
      <c r="GZ3" s="511"/>
      <c r="HA3" s="511"/>
      <c r="HB3" s="511"/>
      <c r="HC3" s="511"/>
      <c r="HD3" s="511"/>
      <c r="HE3" s="511"/>
      <c r="HF3" s="511"/>
      <c r="HG3" s="511"/>
      <c r="HH3" s="511"/>
      <c r="HI3" s="511"/>
      <c r="HJ3" s="511"/>
      <c r="HK3" s="511"/>
      <c r="HL3" s="511"/>
      <c r="HM3" s="511"/>
      <c r="HN3" s="511"/>
      <c r="HO3" s="511"/>
      <c r="HP3" s="511"/>
      <c r="HQ3" s="511"/>
      <c r="HR3" s="511"/>
      <c r="HS3" s="511"/>
      <c r="HT3" s="511"/>
      <c r="HU3" s="511"/>
      <c r="HV3" s="511"/>
      <c r="HW3" s="511"/>
      <c r="HX3" s="511"/>
      <c r="HY3" s="511"/>
      <c r="HZ3" s="511"/>
      <c r="IA3" s="511"/>
      <c r="IB3" s="511"/>
      <c r="IC3" s="511"/>
      <c r="ID3" s="511"/>
      <c r="IE3" s="511"/>
      <c r="IF3" s="511"/>
      <c r="IG3" s="511"/>
      <c r="IH3" s="511"/>
      <c r="II3" s="511"/>
      <c r="IJ3" s="511"/>
      <c r="IK3" s="511"/>
      <c r="IL3" s="511"/>
      <c r="IM3" s="511"/>
      <c r="IN3" s="511"/>
      <c r="IO3" s="511"/>
      <c r="IP3" s="511"/>
      <c r="IQ3" s="511"/>
      <c r="IR3" s="511"/>
      <c r="IS3" s="511"/>
      <c r="IT3" s="511"/>
      <c r="IU3" s="795">
        <v>4</v>
      </c>
    </row>
    <row s="14173" customFormat="1" customHeight="1" ht="14.699999999999998">
      <c r="A4" s="1439"/>
      <c r="B4" s="1444"/>
      <c r="C4" s="1439"/>
      <c r="D4" s="1779"/>
      <c r="E4" s="793"/>
      <c r="F4" s="1926"/>
      <c r="G4" s="793"/>
      <c r="H4" s="793"/>
      <c r="I4" s="793"/>
      <c r="J4" s="450"/>
      <c r="K4" s="531"/>
      <c r="L4" s="784"/>
      <c r="M4" s="784"/>
      <c r="N4" s="784"/>
      <c r="O4" s="510"/>
      <c r="P4" s="784"/>
      <c r="Q4" s="509"/>
      <c r="R4" s="509"/>
      <c r="S4" s="509"/>
      <c r="T4" s="509"/>
      <c r="IU4" s="791">
        <v>14</v>
      </c>
    </row>
    <row s="14173" customFormat="1" customHeight="1" ht="27.299999999999997">
      <c r="A5" s="1439"/>
      <c r="B5" s="1444"/>
      <c r="C5" s="1439"/>
      <c r="D5" s="1779"/>
      <c r="E5" s="2384"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3. Перечень 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v>
      </c>
      <c r="F5" s="2384"/>
      <c r="G5" s="2384"/>
      <c r="H5" s="2384"/>
      <c r="I5" s="2384"/>
      <c r="J5" s="2384"/>
      <c r="K5" s="531"/>
      <c r="L5" s="784"/>
      <c r="M5" s="784"/>
      <c r="N5" s="784"/>
      <c r="O5" s="510"/>
      <c r="P5" s="784"/>
      <c r="Q5" s="509"/>
      <c r="R5" s="509"/>
      <c r="S5" s="509"/>
      <c r="T5" s="509"/>
      <c r="IU5" s="791">
        <v>26</v>
      </c>
    </row>
    <row s="14173" customFormat="1" customHeight="1" ht="14.699999999999998">
      <c r="A6" s="1439"/>
      <c r="B6" s="1444"/>
      <c r="C6" s="1439"/>
      <c r="D6" s="1779"/>
      <c r="E6" s="793"/>
      <c r="F6" s="451"/>
      <c r="G6" s="451"/>
      <c r="H6" s="451"/>
      <c r="I6" s="451"/>
      <c r="J6" s="452"/>
      <c r="K6" s="784"/>
      <c r="L6" s="784"/>
      <c r="M6" s="784"/>
      <c r="N6" s="784"/>
      <c r="O6" s="510"/>
      <c r="P6" s="784"/>
      <c r="Q6" s="509"/>
      <c r="R6" s="509"/>
      <c r="S6" s="509"/>
      <c r="T6" s="509"/>
      <c r="IU6" s="791">
        <v>14</v>
      </c>
    </row>
    <row s="14173" customFormat="1" customHeight="1" ht="14.699999999999998">
      <c r="A7" s="1439"/>
      <c r="B7" s="1444"/>
      <c r="C7" s="1439"/>
      <c r="D7" s="1779"/>
      <c r="E7" s="2385" t="s">
        <v>305</v>
      </c>
      <c r="F7" s="2386"/>
      <c r="G7" s="2386"/>
      <c r="H7" s="2386"/>
      <c r="I7" s="2386"/>
      <c r="J7" s="2758" t="s">
        <v>306</v>
      </c>
      <c r="K7" s="784"/>
      <c r="L7" s="784"/>
      <c r="M7" s="784"/>
      <c r="N7" s="784"/>
      <c r="O7" s="510"/>
      <c r="P7" s="784"/>
      <c r="Q7" s="509"/>
      <c r="R7" s="509"/>
      <c r="S7" s="509"/>
      <c r="T7" s="509"/>
      <c r="IU7" s="791">
        <v>14</v>
      </c>
    </row>
    <row s="14173" customFormat="1" customHeight="1" ht="21">
      <c r="A8" s="1439"/>
      <c r="B8" s="1444"/>
      <c r="C8" s="1439"/>
      <c r="D8" s="1779"/>
      <c r="E8" s="1832" t="s">
        <v>89</v>
      </c>
      <c r="F8" s="1824" t="s">
        <v>1880</v>
      </c>
      <c r="G8" s="1824" t="s">
        <v>49</v>
      </c>
      <c r="H8" s="1824" t="s">
        <v>51</v>
      </c>
      <c r="I8" s="1824" t="s">
        <v>1881</v>
      </c>
      <c r="J8" s="2759"/>
      <c r="K8" s="784"/>
      <c r="L8" s="784"/>
      <c r="M8" s="784"/>
      <c r="N8" s="784"/>
      <c r="O8" s="510"/>
      <c r="P8" s="784"/>
      <c r="Q8" s="509"/>
      <c r="R8" s="509"/>
      <c r="S8" s="509"/>
      <c r="T8" s="509"/>
      <c r="IU8" s="791">
        <v>20</v>
      </c>
    </row>
    <row s="14218" customFormat="1" customHeight="1" ht="23.25">
      <c r="A9" s="1915"/>
      <c r="B9" s="1444">
        <v>1</v>
      </c>
      <c r="C9" s="1444"/>
      <c r="D9" s="1085"/>
      <c r="E9" s="1768">
        <v>1</v>
      </c>
      <c r="F9" s="1831"/>
      <c r="G9" s="1775"/>
      <c r="H9" s="1775"/>
      <c r="I9" s="1822"/>
      <c r="J9" s="2453"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819"/>
      <c r="L9" s="795"/>
      <c r="M9" s="795"/>
      <c r="N9" s="784" t="str">
        <f t="array" ref="N9:N9">IF(ISERROR(MATCH(MID(O9,1,250),MID(note_ter,1,250),0)),"n","y")</f>
        <v>n</v>
      </c>
      <c r="O9" s="795"/>
      <c r="P9" s="784"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444"/>
      <c r="R9" s="1444"/>
      <c r="S9" s="704"/>
      <c r="T9" s="1444"/>
      <c r="U9" s="1444"/>
      <c r="V9" s="1444"/>
      <c r="W9" s="706"/>
      <c r="X9" s="706"/>
      <c r="Y9" s="703"/>
      <c r="Z9" s="703"/>
      <c r="AA9" s="703"/>
      <c r="AB9" s="703"/>
      <c r="AC9" s="703"/>
      <c r="AD9" s="703"/>
      <c r="AE9" s="703"/>
      <c r="AF9" s="703"/>
      <c r="AG9" s="703"/>
      <c r="AH9" s="703"/>
      <c r="AI9" s="703"/>
      <c r="AJ9" s="703"/>
      <c r="AK9" s="703"/>
      <c r="AL9" s="703"/>
      <c r="AM9" s="703"/>
      <c r="AN9" s="703"/>
      <c r="AO9" s="703"/>
      <c r="AP9" s="703"/>
      <c r="AQ9" s="703"/>
      <c r="AR9" s="703"/>
      <c r="AS9" s="703"/>
      <c r="AT9" s="703"/>
      <c r="AU9" s="703"/>
      <c r="AV9" s="703"/>
      <c r="AW9" s="703"/>
      <c r="AX9" s="703"/>
      <c r="AY9" s="703"/>
      <c r="AZ9" s="703"/>
      <c r="BA9" s="703"/>
      <c r="BB9" s="703"/>
      <c r="BC9" s="703"/>
      <c r="BD9" s="703"/>
      <c r="BE9" s="703"/>
      <c r="BF9" s="703"/>
      <c r="BG9" s="703"/>
      <c r="BH9" s="703"/>
      <c r="BI9" s="703"/>
      <c r="BJ9" s="703"/>
      <c r="BK9" s="703"/>
      <c r="BL9" s="703"/>
      <c r="BM9" s="703"/>
      <c r="BN9" s="703"/>
      <c r="BO9" s="703"/>
      <c r="BP9" s="703"/>
      <c r="BQ9" s="703"/>
      <c r="BR9" s="703"/>
      <c r="BS9" s="703"/>
      <c r="BT9" s="706"/>
      <c r="BU9" s="706"/>
      <c r="BV9" s="706"/>
      <c r="BW9" s="706"/>
      <c r="BX9" s="706"/>
      <c r="BY9" s="706"/>
      <c r="BZ9" s="706"/>
      <c r="CA9" s="706"/>
      <c r="CB9" s="706"/>
      <c r="CC9" s="706"/>
      <c r="IU9" s="707">
        <v>22</v>
      </c>
    </row>
    <row s="14218" customFormat="1" customHeight="1" ht="15.75">
      <c r="A10" s="1915"/>
      <c r="B10" s="1444"/>
      <c r="C10" s="696"/>
      <c r="D10" s="1085"/>
      <c r="E10" s="1825"/>
      <c r="F10" s="1784" t="s">
        <v>1882</v>
      </c>
      <c r="G10" s="1826"/>
      <c r="H10" s="1826"/>
      <c r="I10" s="2183"/>
      <c r="J10" s="2455"/>
      <c r="K10" s="1820"/>
      <c r="L10" s="795"/>
      <c r="M10" s="795"/>
      <c r="N10" s="795"/>
      <c r="O10" s="784"/>
      <c r="P10" s="795"/>
      <c r="Q10" s="1444"/>
      <c r="R10" s="1444"/>
      <c r="S10" s="704"/>
      <c r="T10" s="1444"/>
      <c r="U10" s="1444"/>
      <c r="V10" s="1444"/>
      <c r="W10" s="706"/>
      <c r="X10" s="706"/>
      <c r="Y10" s="703"/>
      <c r="Z10" s="703"/>
      <c r="AA10" s="703"/>
      <c r="AB10" s="703"/>
      <c r="AC10" s="703"/>
      <c r="AD10" s="703"/>
      <c r="AE10" s="703"/>
      <c r="AF10" s="703"/>
      <c r="AG10" s="703"/>
      <c r="AH10" s="703"/>
      <c r="AI10" s="703"/>
      <c r="AJ10" s="703"/>
      <c r="AK10" s="703"/>
      <c r="AL10" s="703"/>
      <c r="AM10" s="703"/>
      <c r="AN10" s="703"/>
      <c r="AO10" s="703"/>
      <c r="AP10" s="703"/>
      <c r="AQ10" s="703"/>
      <c r="AR10" s="703"/>
      <c r="AS10" s="703"/>
      <c r="AT10" s="703"/>
      <c r="AU10" s="703"/>
      <c r="AV10" s="703"/>
      <c r="AW10" s="703"/>
      <c r="AX10" s="703"/>
      <c r="AY10" s="703"/>
      <c r="AZ10" s="703"/>
      <c r="BA10" s="703"/>
      <c r="BB10" s="703"/>
      <c r="BC10" s="703"/>
      <c r="BD10" s="703"/>
      <c r="BE10" s="703"/>
      <c r="BF10" s="703"/>
      <c r="BG10" s="703"/>
      <c r="BH10" s="703"/>
      <c r="BI10" s="703"/>
      <c r="BJ10" s="703"/>
      <c r="BK10" s="703"/>
      <c r="BL10" s="703"/>
      <c r="BM10" s="703"/>
      <c r="BN10" s="703"/>
      <c r="BO10" s="703"/>
      <c r="BP10" s="703"/>
      <c r="BQ10" s="703"/>
      <c r="BR10" s="703"/>
      <c r="BS10" s="703"/>
      <c r="BT10" s="706"/>
      <c r="BU10" s="706"/>
      <c r="BV10" s="706"/>
      <c r="BW10" s="706"/>
      <c r="BX10" s="706"/>
      <c r="BY10" s="706"/>
      <c r="BZ10" s="706"/>
      <c r="CA10" s="706"/>
      <c r="CB10" s="706"/>
      <c r="CC10" s="706"/>
      <c r="IU10" s="707">
        <v>15</v>
      </c>
    </row>
    <row s="14173" customFormat="1" customHeight="1" ht="22.049999999999997">
      <c r="A11" s="1439"/>
      <c r="B11" s="1444"/>
      <c r="C11" s="1439"/>
      <c r="D11" s="735"/>
      <c r="E11" s="464"/>
      <c r="F11" s="464"/>
      <c r="G11" s="464"/>
      <c r="H11" s="464"/>
      <c r="I11" s="464"/>
      <c r="J11" s="464"/>
      <c r="K11" s="784"/>
      <c r="L11" s="784"/>
      <c r="M11" s="784"/>
      <c r="N11" s="784"/>
      <c r="O11" s="510"/>
      <c r="P11" s="784"/>
      <c r="Q11" s="509"/>
      <c r="R11" s="509"/>
      <c r="S11" s="509"/>
      <c r="T11" s="509"/>
      <c r="IU11" s="791">
        <v>21</v>
      </c>
    </row>
    <row s="14173" customFormat="1" customHeight="1" ht="14.699999999999998">
      <c r="A12" s="1439"/>
      <c r="B12" s="1444"/>
      <c r="C12" s="1439"/>
      <c r="D12" s="735"/>
      <c r="E12" s="1439"/>
      <c r="F12" s="1439"/>
      <c r="G12" s="1439"/>
      <c r="H12" s="1439"/>
      <c r="I12" s="1439"/>
      <c r="J12" s="1439"/>
      <c r="K12" s="784"/>
      <c r="L12" s="784"/>
      <c r="M12" s="784"/>
      <c r="N12" s="784"/>
      <c r="O12" s="510"/>
      <c r="P12" s="784"/>
      <c r="Q12" s="509"/>
      <c r="R12" s="509"/>
      <c r="S12" s="509"/>
      <c r="T12" s="509"/>
      <c r="IU12" s="791">
        <v>14</v>
      </c>
    </row>
    <row s="14173" customFormat="1" customHeight="1" ht="1.05">
      <c r="A13" s="1439"/>
      <c r="B13" s="1444"/>
      <c r="C13" s="1439"/>
      <c r="D13" s="735"/>
      <c r="E13" s="1439"/>
      <c r="F13" s="1439"/>
      <c r="G13" s="1439"/>
      <c r="H13" s="1439"/>
      <c r="I13" s="1439"/>
      <c r="J13" s="1439"/>
      <c r="K13" s="784"/>
      <c r="L13" s="784"/>
      <c r="M13" s="784"/>
      <c r="N13" s="784"/>
      <c r="O13" s="510"/>
      <c r="P13" s="784"/>
      <c r="Q13" s="509"/>
      <c r="R13" s="509"/>
      <c r="S13" s="509"/>
      <c r="T13" s="509"/>
      <c r="IU13" s="791">
        <v>1</v>
      </c>
    </row>
    <row s="14241" customFormat="1" customHeight="1" ht="10.5">
      <c r="B14" s="1118"/>
      <c r="D14" s="466"/>
      <c r="K14" s="784"/>
      <c r="L14" s="784"/>
      <c r="M14" s="784"/>
      <c r="N14" s="784"/>
      <c r="O14" s="510"/>
      <c r="P14" s="784"/>
      <c r="Q14" s="509"/>
      <c r="R14" s="509"/>
      <c r="S14" s="509"/>
      <c r="T14" s="509"/>
      <c r="IU14" s="465">
        <v>10</v>
      </c>
    </row>
    <row s="14241" customFormat="1" customHeight="1" ht="10.5">
      <c r="B15" s="1118"/>
      <c r="D15" s="466"/>
      <c r="K15" s="784"/>
      <c r="L15" s="784"/>
      <c r="M15" s="784"/>
      <c r="N15" s="784"/>
      <c r="O15" s="510"/>
      <c r="P15" s="784"/>
      <c r="Q15" s="509"/>
      <c r="R15" s="509"/>
      <c r="S15" s="509"/>
      <c r="T15" s="509"/>
      <c r="IU15" s="465">
        <v>10</v>
      </c>
    </row>
    <row customHeight="1" ht="14.699999999999998">
      <c r="IU16" s="1439">
        <v>14</v>
      </c>
    </row>
    <row customHeight="1" ht="14.699999999999998">
      <c r="IU17" s="1439">
        <v>14</v>
      </c>
    </row>
    <row customHeight="1" ht="14.699999999999998">
      <c r="IU18" s="1439">
        <v>14</v>
      </c>
    </row>
    <row customHeight="1" ht="14.699999999999998">
      <c r="G19" s="657"/>
      <c r="H19" s="657"/>
      <c r="I19" s="657"/>
      <c r="IU19" s="1439">
        <v>14</v>
      </c>
    </row>
    <row customHeight="1" ht="14.699999999999998">
      <c r="IU20" s="1439">
        <v>14</v>
      </c>
    </row>
    <row customHeight="1" ht="14.699999999999998">
      <c r="IU21" s="1439">
        <v>14</v>
      </c>
    </row>
    <row customHeight="1" ht="14.699999999999998">
      <c r="IU22" s="1439">
        <v>14</v>
      </c>
    </row>
    <row customHeight="1" ht="14.699999999999998">
      <c r="K23" s="1439"/>
      <c r="L23" s="1439"/>
      <c r="M23" s="1439"/>
      <c r="IU23" s="1439">
        <v>14</v>
      </c>
    </row>
    <row customHeight="1" ht="22.5" hidden="1">
      <c r="A24" s="1439" t="s">
        <v>83</v>
      </c>
      <c r="B24" s="1444">
        <v>0</v>
      </c>
      <c r="C24" s="1439">
        <v>0</v>
      </c>
      <c r="D24" s="735">
        <v>3</v>
      </c>
      <c r="E24" s="1439">
        <v>6</v>
      </c>
      <c r="F24" s="1439">
        <v>46</v>
      </c>
      <c r="G24" s="1439">
        <v>16</v>
      </c>
      <c r="H24" s="1439">
        <v>16</v>
      </c>
      <c r="I24" s="1439">
        <v>35</v>
      </c>
      <c r="J24" s="1439">
        <v>89</v>
      </c>
      <c r="K24" s="784">
        <v>3</v>
      </c>
      <c r="L24" s="784">
        <v>8</v>
      </c>
      <c r="M24" s="784">
        <v>8</v>
      </c>
      <c r="N24" s="784">
        <v>8</v>
      </c>
      <c r="O24" s="510">
        <v>25</v>
      </c>
      <c r="P24" s="784">
        <v>14</v>
      </c>
      <c r="Q24" s="509">
        <v>8</v>
      </c>
      <c r="R24" s="509">
        <v>8</v>
      </c>
      <c r="S24" s="509">
        <v>8</v>
      </c>
      <c r="T24" s="509">
        <v>8</v>
      </c>
      <c r="U24" s="1439">
        <v>8</v>
      </c>
      <c r="V24" s="1439">
        <v>8</v>
      </c>
      <c r="W24" s="1439">
        <v>8</v>
      </c>
      <c r="X24" s="1439">
        <v>8</v>
      </c>
      <c r="Y24" s="1439">
        <v>8</v>
      </c>
      <c r="Z24" s="1439">
        <v>8</v>
      </c>
      <c r="AA24" s="1439">
        <v>8</v>
      </c>
      <c r="AB24" s="1439">
        <v>8</v>
      </c>
      <c r="AC24" s="1439">
        <v>8</v>
      </c>
      <c r="AD24" s="1439">
        <v>8</v>
      </c>
      <c r="AE24" s="1439">
        <v>8</v>
      </c>
      <c r="AF24" s="1439">
        <v>8</v>
      </c>
      <c r="AG24" s="1439">
        <v>8</v>
      </c>
      <c r="AH24" s="1439">
        <v>8</v>
      </c>
      <c r="AI24" s="1439">
        <v>8</v>
      </c>
      <c r="AJ24" s="1439">
        <v>8</v>
      </c>
      <c r="AK24" s="1439">
        <v>8</v>
      </c>
      <c r="AL24" s="1439">
        <v>8</v>
      </c>
      <c r="AM24" s="1439">
        <v>8</v>
      </c>
      <c r="AN24" s="1439">
        <v>8</v>
      </c>
      <c r="AO24" s="1439">
        <v>8</v>
      </c>
      <c r="AP24" s="1439">
        <v>8</v>
      </c>
      <c r="AQ24" s="1439">
        <v>8</v>
      </c>
      <c r="AR24" s="1439">
        <v>8</v>
      </c>
      <c r="AS24" s="1439">
        <v>8</v>
      </c>
      <c r="AT24" s="1439">
        <v>8</v>
      </c>
      <c r="AU24" s="1439">
        <v>8</v>
      </c>
      <c r="AV24" s="1439">
        <v>8</v>
      </c>
      <c r="AW24" s="1439">
        <v>8</v>
      </c>
      <c r="AX24" s="1439">
        <v>8</v>
      </c>
      <c r="AY24" s="1439">
        <v>8</v>
      </c>
      <c r="AZ24" s="1439">
        <v>8</v>
      </c>
      <c r="BA24" s="1439">
        <v>8</v>
      </c>
      <c r="BB24" s="1439">
        <v>8</v>
      </c>
      <c r="BC24" s="1439">
        <v>8</v>
      </c>
      <c r="BD24" s="1439">
        <v>8</v>
      </c>
      <c r="BE24" s="1439">
        <v>8</v>
      </c>
      <c r="BF24" s="1439">
        <v>8</v>
      </c>
      <c r="BG24" s="1439">
        <v>8</v>
      </c>
      <c r="BH24" s="1439">
        <v>8</v>
      </c>
      <c r="BI24" s="1439">
        <v>8</v>
      </c>
      <c r="BJ24" s="1439">
        <v>8</v>
      </c>
      <c r="BK24" s="1439">
        <v>8</v>
      </c>
      <c r="BL24" s="1439">
        <v>8</v>
      </c>
      <c r="BM24" s="1439">
        <v>8</v>
      </c>
      <c r="BN24" s="1439">
        <v>8</v>
      </c>
      <c r="BO24" s="1439">
        <v>8</v>
      </c>
      <c r="BP24" s="1439">
        <v>8</v>
      </c>
      <c r="BQ24" s="1439">
        <v>8</v>
      </c>
      <c r="BR24" s="1439">
        <v>8</v>
      </c>
      <c r="BS24" s="1439">
        <v>8</v>
      </c>
      <c r="BT24" s="1439">
        <v>8</v>
      </c>
      <c r="BU24" s="1439">
        <v>8</v>
      </c>
      <c r="BV24" s="1439">
        <v>8</v>
      </c>
      <c r="BW24" s="1439">
        <v>8</v>
      </c>
      <c r="BX24" s="1439">
        <v>8</v>
      </c>
      <c r="BY24" s="1439">
        <v>8</v>
      </c>
      <c r="BZ24" s="1439">
        <v>8</v>
      </c>
      <c r="CA24" s="1439">
        <v>8</v>
      </c>
      <c r="CB24" s="1439">
        <v>8</v>
      </c>
      <c r="CC24" s="1439">
        <v>8</v>
      </c>
      <c r="CD24" s="1439">
        <v>8</v>
      </c>
      <c r="CE24" s="1439">
        <v>8</v>
      </c>
      <c r="CF24" s="1439">
        <v>8</v>
      </c>
      <c r="CG24" s="1439">
        <v>8</v>
      </c>
      <c r="CH24" s="1439">
        <v>8</v>
      </c>
      <c r="CI24" s="1439">
        <v>8</v>
      </c>
      <c r="CJ24" s="1439">
        <v>8</v>
      </c>
      <c r="CK24" s="1439">
        <v>8</v>
      </c>
      <c r="CL24" s="1439">
        <v>8</v>
      </c>
      <c r="CM24" s="1439">
        <v>8</v>
      </c>
      <c r="CN24" s="1439">
        <v>8</v>
      </c>
      <c r="CO24" s="1439">
        <v>8</v>
      </c>
      <c r="CP24" s="1439">
        <v>8</v>
      </c>
      <c r="CQ24" s="1439">
        <v>8</v>
      </c>
      <c r="CR24" s="1439">
        <v>8</v>
      </c>
      <c r="CS24" s="1439">
        <v>8</v>
      </c>
      <c r="CT24" s="1439">
        <v>8</v>
      </c>
      <c r="CU24" s="1439">
        <v>8</v>
      </c>
      <c r="CV24" s="1439">
        <v>8</v>
      </c>
      <c r="CW24" s="1439">
        <v>8</v>
      </c>
      <c r="CX24" s="1439">
        <v>8</v>
      </c>
      <c r="CY24" s="1439">
        <v>8</v>
      </c>
      <c r="CZ24" s="1439">
        <v>8</v>
      </c>
      <c r="DA24" s="1439">
        <v>8</v>
      </c>
      <c r="DB24" s="1439">
        <v>8</v>
      </c>
      <c r="DC24" s="1439">
        <v>8</v>
      </c>
      <c r="DD24" s="1439">
        <v>8</v>
      </c>
      <c r="DE24" s="1439">
        <v>8</v>
      </c>
      <c r="DF24" s="1439">
        <v>8</v>
      </c>
      <c r="DG24" s="1439">
        <v>8</v>
      </c>
      <c r="DH24" s="1439">
        <v>8</v>
      </c>
      <c r="DI24" s="1439">
        <v>8</v>
      </c>
      <c r="DJ24" s="1439">
        <v>8</v>
      </c>
      <c r="DK24" s="1439">
        <v>8</v>
      </c>
      <c r="DL24" s="1439">
        <v>8</v>
      </c>
      <c r="DM24" s="1439">
        <v>8</v>
      </c>
      <c r="DN24" s="1439">
        <v>8</v>
      </c>
      <c r="DO24" s="1439">
        <v>8</v>
      </c>
      <c r="DP24" s="1439">
        <v>8</v>
      </c>
      <c r="DQ24" s="1439">
        <v>8</v>
      </c>
      <c r="DR24" s="1439">
        <v>8</v>
      </c>
      <c r="DS24" s="1439">
        <v>8</v>
      </c>
      <c r="DT24" s="1439">
        <v>8</v>
      </c>
      <c r="DU24" s="1439">
        <v>8</v>
      </c>
      <c r="DV24" s="1439">
        <v>8</v>
      </c>
      <c r="DW24" s="1439">
        <v>8</v>
      </c>
      <c r="DX24" s="1439">
        <v>8</v>
      </c>
      <c r="DY24" s="1439">
        <v>8</v>
      </c>
      <c r="DZ24" s="1439">
        <v>8</v>
      </c>
      <c r="EA24" s="1439">
        <v>8</v>
      </c>
      <c r="EB24" s="1439">
        <v>8</v>
      </c>
      <c r="EC24" s="1439">
        <v>8</v>
      </c>
      <c r="ED24" s="1439">
        <v>8</v>
      </c>
      <c r="EE24" s="1439">
        <v>8</v>
      </c>
      <c r="EF24" s="1439">
        <v>8</v>
      </c>
      <c r="EG24" s="1439">
        <v>8</v>
      </c>
      <c r="EH24" s="1439">
        <v>8</v>
      </c>
      <c r="EI24" s="1439">
        <v>8</v>
      </c>
      <c r="EJ24" s="1439">
        <v>8</v>
      </c>
      <c r="EK24" s="1439">
        <v>8</v>
      </c>
      <c r="EL24" s="1439">
        <v>8</v>
      </c>
      <c r="EM24" s="1439">
        <v>8</v>
      </c>
      <c r="EN24" s="1439">
        <v>8</v>
      </c>
      <c r="EO24" s="1439">
        <v>8</v>
      </c>
      <c r="EP24" s="1439">
        <v>8</v>
      </c>
      <c r="EQ24" s="1439">
        <v>8</v>
      </c>
      <c r="ER24" s="1439">
        <v>8</v>
      </c>
      <c r="ES24" s="1439">
        <v>8</v>
      </c>
      <c r="ET24" s="1439">
        <v>8</v>
      </c>
      <c r="EU24" s="1439">
        <v>8</v>
      </c>
      <c r="EV24" s="1439">
        <v>8</v>
      </c>
      <c r="EW24" s="1439">
        <v>8</v>
      </c>
      <c r="EX24" s="1439">
        <v>8</v>
      </c>
      <c r="EY24" s="1439">
        <v>8</v>
      </c>
      <c r="EZ24" s="1439">
        <v>8</v>
      </c>
      <c r="FA24" s="1439">
        <v>8</v>
      </c>
      <c r="FB24" s="1439">
        <v>8</v>
      </c>
      <c r="FC24" s="1439">
        <v>8</v>
      </c>
      <c r="FD24" s="1439">
        <v>8</v>
      </c>
      <c r="FE24" s="1439">
        <v>8</v>
      </c>
      <c r="FF24" s="1439">
        <v>8</v>
      </c>
      <c r="FG24" s="1439">
        <v>8</v>
      </c>
      <c r="FH24" s="1439">
        <v>8</v>
      </c>
      <c r="FI24" s="1439">
        <v>8</v>
      </c>
      <c r="FJ24" s="1439">
        <v>8</v>
      </c>
      <c r="FK24" s="1439">
        <v>8</v>
      </c>
      <c r="FL24" s="1439">
        <v>8</v>
      </c>
      <c r="FM24" s="1439">
        <v>8</v>
      </c>
      <c r="FN24" s="1439">
        <v>8</v>
      </c>
      <c r="FO24" s="1439">
        <v>8</v>
      </c>
      <c r="FP24" s="1439">
        <v>8</v>
      </c>
      <c r="FQ24" s="1439">
        <v>8</v>
      </c>
      <c r="FR24" s="1439">
        <v>8</v>
      </c>
      <c r="FS24" s="1439">
        <v>8</v>
      </c>
      <c r="FT24" s="1439">
        <v>8</v>
      </c>
      <c r="FU24" s="1439">
        <v>8</v>
      </c>
      <c r="FV24" s="1439">
        <v>8</v>
      </c>
      <c r="FW24" s="1439">
        <v>8</v>
      </c>
      <c r="FX24" s="1439">
        <v>8</v>
      </c>
      <c r="FY24" s="1439">
        <v>8</v>
      </c>
      <c r="FZ24" s="1439">
        <v>8</v>
      </c>
      <c r="GA24" s="1439">
        <v>8</v>
      </c>
      <c r="GB24" s="1439">
        <v>8</v>
      </c>
      <c r="GC24" s="1439">
        <v>8</v>
      </c>
      <c r="GD24" s="1439">
        <v>8</v>
      </c>
      <c r="GE24" s="1439">
        <v>8</v>
      </c>
      <c r="GF24" s="1439">
        <v>8</v>
      </c>
      <c r="GG24" s="1439">
        <v>8</v>
      </c>
      <c r="GH24" s="1439">
        <v>8</v>
      </c>
      <c r="GI24" s="1439">
        <v>8</v>
      </c>
      <c r="GJ24" s="1439">
        <v>8</v>
      </c>
      <c r="GK24" s="1439">
        <v>8</v>
      </c>
      <c r="GL24" s="1439">
        <v>8</v>
      </c>
      <c r="GM24" s="1439">
        <v>8</v>
      </c>
      <c r="GN24" s="1439">
        <v>8</v>
      </c>
      <c r="GO24" s="1439">
        <v>8</v>
      </c>
      <c r="GP24" s="1439">
        <v>8</v>
      </c>
      <c r="GQ24" s="1439">
        <v>8</v>
      </c>
      <c r="GR24" s="1439">
        <v>8</v>
      </c>
      <c r="GS24" s="1439">
        <v>8</v>
      </c>
      <c r="GT24" s="1439">
        <v>8</v>
      </c>
      <c r="GU24" s="1439">
        <v>8</v>
      </c>
      <c r="GV24" s="1439">
        <v>8</v>
      </c>
      <c r="GW24" s="1439">
        <v>8</v>
      </c>
      <c r="GX24" s="1439">
        <v>8</v>
      </c>
      <c r="GY24" s="1439">
        <v>8</v>
      </c>
      <c r="GZ24" s="1439">
        <v>8</v>
      </c>
      <c r="HA24" s="1439">
        <v>8</v>
      </c>
      <c r="HB24" s="1439">
        <v>8</v>
      </c>
      <c r="HC24" s="1439">
        <v>8</v>
      </c>
      <c r="HD24" s="1439">
        <v>8</v>
      </c>
      <c r="HE24" s="1439">
        <v>8</v>
      </c>
      <c r="HF24" s="1439">
        <v>8</v>
      </c>
      <c r="HG24" s="1439">
        <v>8</v>
      </c>
      <c r="HH24" s="1439">
        <v>8</v>
      </c>
      <c r="HI24" s="1439">
        <v>8</v>
      </c>
      <c r="HJ24" s="1439">
        <v>8</v>
      </c>
      <c r="HK24" s="1439">
        <v>8</v>
      </c>
      <c r="HL24" s="1439">
        <v>8</v>
      </c>
      <c r="HM24" s="1439">
        <v>8</v>
      </c>
      <c r="HN24" s="1439">
        <v>8</v>
      </c>
      <c r="HO24" s="1439">
        <v>8</v>
      </c>
      <c r="HP24" s="1439">
        <v>8</v>
      </c>
      <c r="HQ24" s="1439">
        <v>8</v>
      </c>
      <c r="HR24" s="1439">
        <v>8</v>
      </c>
      <c r="HS24" s="1439">
        <v>8</v>
      </c>
      <c r="HT24" s="1439">
        <v>8</v>
      </c>
      <c r="HU24" s="1439">
        <v>8</v>
      </c>
      <c r="HV24" s="1439">
        <v>8</v>
      </c>
      <c r="HW24" s="1439">
        <v>8</v>
      </c>
      <c r="HX24" s="1439">
        <v>8</v>
      </c>
      <c r="HY24" s="1439">
        <v>8</v>
      </c>
      <c r="HZ24" s="1439">
        <v>8</v>
      </c>
      <c r="IA24" s="1439">
        <v>8</v>
      </c>
      <c r="IB24" s="1439">
        <v>8</v>
      </c>
      <c r="IC24" s="1439">
        <v>8</v>
      </c>
      <c r="ID24" s="1439">
        <v>8</v>
      </c>
      <c r="IE24" s="1439">
        <v>8</v>
      </c>
      <c r="IF24" s="1439">
        <v>8</v>
      </c>
      <c r="IG24" s="1439">
        <v>8</v>
      </c>
      <c r="IH24" s="1439">
        <v>8</v>
      </c>
      <c r="II24" s="1439">
        <v>8</v>
      </c>
      <c r="IJ24" s="1439">
        <v>8</v>
      </c>
      <c r="IK24" s="1439">
        <v>8</v>
      </c>
      <c r="IL24" s="1439">
        <v>8</v>
      </c>
      <c r="IM24" s="1439">
        <v>8</v>
      </c>
      <c r="IN24" s="1439">
        <v>8</v>
      </c>
      <c r="IO24" s="1439">
        <v>8</v>
      </c>
      <c r="IP24" s="1439">
        <v>8</v>
      </c>
      <c r="IQ24" s="1439">
        <v>8</v>
      </c>
      <c r="IR24" s="1439">
        <v>8</v>
      </c>
      <c r="IS24" s="1439">
        <v>8</v>
      </c>
      <c r="IT24" s="1439">
        <v>8</v>
      </c>
      <c r="IU24" s="1439">
        <v>23</v>
      </c>
    </row>
  </sheetData>
  <sheetProtection formatColumns="0" formatRows="0" autoFilter="0" sort="0" insertRows="0" insertColumns="1" deleteRows="0" deleteColumns="0"/>
  <mergeCells count="4">
    <mergeCell ref="E5:J5"/>
    <mergeCell ref="E7:I7"/>
    <mergeCell ref="J7:J8"/>
    <mergeCell ref="J9:J10"/>
  </mergeCells>
  <dataValidations count="2">
    <dataValidation type="textLength" allowBlank="1" showInputMessage="1" showErrorMessage="1" sqref="I3">
      <formula1>13</formula1>
      <formula2>15</formula2>
    </dataValidation>
    <dataValidation type="textLength" allowBlank="1" showInputMessage="1" showErrorMessage="1" prompt="ОГРН состоит из 13 цифр, ОГРНИП - из 15" sqref="I9 I2">
      <formula1>13</formula1>
      <formula2>15</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2ECC688-DBC7-585C-A4F8-ADF7EC35AF38}" mc:Ignorable="x14ac xr xr2 xr3">
  <dimension ref="A1:IW15"/>
  <sheetViews>
    <sheetView topLeftCell="A1" showGridLines="0" zoomScale="90" workbookViewId="0">
      <selection activeCell="A1" sqref="A1"/>
    </sheetView>
  </sheetViews>
  <sheetFormatPr defaultColWidth="9.140625" customHeight="1" defaultRowHeight="14.25"/>
  <cols>
    <col min="1" max="1" style="14077" width="9.140625" hidden="1"/>
    <col min="2" max="2" style="14157" width="9.140625" hidden="1"/>
    <col min="3" max="3" style="14077" width="3.7109375" hidden="1" customWidth="1"/>
    <col min="4" max="4" style="14246" width="3.00390625" customWidth="1"/>
    <col min="5" max="5" style="14077" width="6.00390625" customWidth="1"/>
    <col min="6" max="6" style="14077" width="27.00390625" customWidth="1"/>
    <col min="7" max="7" style="14077" width="16.00390625" customWidth="1"/>
    <col min="8" max="8" style="14077" width="12.00390625" customWidth="1"/>
    <col min="9" max="9" style="14077" width="32.00390625" customWidth="1"/>
    <col min="10" max="11" style="14077" width="41.00390625" customWidth="1"/>
    <col min="12" max="12" style="14077" width="89.00390625" customWidth="1"/>
    <col min="13" max="13" style="14247" width="3.00390625" customWidth="1"/>
    <col min="14" max="16" style="14247" width="8.00390625" customWidth="1"/>
    <col min="17" max="17" style="14247" width="25.00390625" customWidth="1"/>
    <col min="18" max="18" style="14247" width="14.00390625" customWidth="1"/>
    <col min="19" max="22" style="14248" width="8.00390625" customWidth="1"/>
    <col min="23" max="256" style="14077" width="8.00390625" customWidth="1"/>
    <col min="257" max="257" style="14077" width="9.140625" hidden="1"/>
  </cols>
  <sheetData>
    <row customHeight="1" ht="22.5" hidden="1">
      <c r="IW1" s="1439" t="s">
        <v>14</v>
      </c>
    </row>
    <row s="14218" customFormat="1" customHeight="1" ht="22.5" hidden="1">
      <c r="A2" s="1115"/>
      <c r="B2" s="1444">
        <v>1</v>
      </c>
      <c r="C2" s="1444"/>
      <c r="D2" s="2212" t="s">
        <v>454</v>
      </c>
      <c r="E2" s="2173"/>
      <c r="F2" s="2176" t="str">
        <f>IF(ROIV_INFO_NAME="","",ROIV_INFO_NAME)</f>
        <v>МУП г. Азова "Теплоэнерго"</v>
      </c>
      <c r="G2" s="2201" t="s">
        <v>28</v>
      </c>
      <c r="H2" s="2200"/>
      <c r="I2" s="1822"/>
      <c r="J2" s="1102"/>
      <c r="K2" s="1102"/>
      <c r="L2" s="512"/>
      <c r="M2" s="1819">
        <f>MERGEVALUE(F2)</f>
      </c>
      <c r="N2" s="795"/>
      <c r="O2" s="795"/>
      <c r="P2" s="784" t="str">
        <f t="array" ref="P2:P2">IF(ISERROR(MATCH(MID(Q2,1,250),MID(note_ter,1,250),0)),"n","y")</f>
        <v>n</v>
      </c>
      <c r="Q2" s="795"/>
      <c r="R2" s="784" t="str">
        <f>G2&amp;"("&amp;L2&amp;")"</f>
        <v>()</v>
      </c>
      <c r="S2" s="1444"/>
      <c r="T2" s="1444"/>
      <c r="U2" s="704"/>
      <c r="V2" s="1444"/>
      <c r="W2" s="1444"/>
      <c r="X2" s="1444"/>
      <c r="Y2" s="706"/>
      <c r="Z2" s="706"/>
      <c r="AA2" s="703"/>
      <c r="AB2" s="703"/>
      <c r="AC2" s="703"/>
      <c r="AD2" s="703"/>
      <c r="AE2" s="703"/>
      <c r="AF2" s="703"/>
      <c r="AG2" s="703"/>
      <c r="AH2" s="703"/>
      <c r="AI2" s="703"/>
      <c r="AJ2" s="703"/>
      <c r="AK2" s="703"/>
      <c r="AL2" s="703"/>
      <c r="AM2" s="703"/>
      <c r="AN2" s="703"/>
      <c r="AO2" s="703"/>
      <c r="AP2" s="703"/>
      <c r="AQ2" s="703"/>
      <c r="AR2" s="703"/>
      <c r="AS2" s="703"/>
      <c r="AT2" s="703"/>
      <c r="AU2" s="703"/>
      <c r="AV2" s="703"/>
      <c r="AW2" s="703"/>
      <c r="AX2" s="703"/>
      <c r="AY2" s="703"/>
      <c r="AZ2" s="703"/>
      <c r="BA2" s="703"/>
      <c r="BB2" s="703"/>
      <c r="BC2" s="703"/>
      <c r="BD2" s="703"/>
      <c r="BE2" s="703"/>
      <c r="BF2" s="703"/>
      <c r="BG2" s="703"/>
      <c r="BH2" s="703"/>
      <c r="BI2" s="703"/>
      <c r="BJ2" s="703"/>
      <c r="BK2" s="703"/>
      <c r="BL2" s="703"/>
      <c r="BM2" s="703"/>
      <c r="BN2" s="703"/>
      <c r="BO2" s="703"/>
      <c r="BP2" s="703"/>
      <c r="BQ2" s="703"/>
      <c r="BR2" s="703"/>
      <c r="BS2" s="703"/>
      <c r="BT2" s="703"/>
      <c r="BU2" s="703"/>
      <c r="BV2" s="706"/>
      <c r="BW2" s="706"/>
      <c r="BX2" s="706"/>
      <c r="BY2" s="706"/>
      <c r="BZ2" s="706"/>
      <c r="CA2" s="706"/>
      <c r="CB2" s="706"/>
      <c r="CC2" s="706"/>
      <c r="CD2" s="706"/>
      <c r="CE2" s="706"/>
      <c r="IW2" s="707">
        <v>0</v>
      </c>
    </row>
    <row s="14158" customFormat="1" customHeight="1" ht="5.25" hidden="1">
      <c r="A3" s="780"/>
      <c r="D3" s="778"/>
      <c r="F3" s="531" t="s">
        <v>84</v>
      </c>
      <c r="G3" s="2019" t="s">
        <v>85</v>
      </c>
      <c r="H3" s="778"/>
      <c r="I3" s="778"/>
      <c r="J3" s="778"/>
      <c r="K3" s="778"/>
      <c r="L3" s="511" t="s">
        <v>86</v>
      </c>
      <c r="M3" s="531" t="s">
        <v>84</v>
      </c>
      <c r="N3" s="531"/>
      <c r="O3" s="531"/>
      <c r="P3" s="531"/>
      <c r="Q3" s="532"/>
      <c r="R3" s="531"/>
      <c r="S3" s="531"/>
      <c r="T3" s="531"/>
      <c r="U3" s="531"/>
      <c r="V3" s="531"/>
      <c r="W3" s="511"/>
      <c r="X3" s="511"/>
      <c r="Y3" s="511"/>
      <c r="Z3" s="511"/>
      <c r="AA3" s="511"/>
      <c r="AB3" s="511"/>
      <c r="AC3" s="511"/>
      <c r="AD3" s="511"/>
      <c r="AE3" s="511"/>
      <c r="AF3" s="511"/>
      <c r="AG3" s="511"/>
      <c r="AH3" s="511"/>
      <c r="AI3" s="511"/>
      <c r="AJ3" s="511"/>
      <c r="AK3" s="511"/>
      <c r="AL3" s="511"/>
      <c r="AM3" s="511"/>
      <c r="AN3" s="511"/>
      <c r="AO3" s="511"/>
      <c r="AP3" s="511"/>
      <c r="AQ3" s="511"/>
      <c r="AR3" s="511"/>
      <c r="AS3" s="511"/>
      <c r="AT3" s="511"/>
      <c r="AU3" s="511"/>
      <c r="AV3" s="511"/>
      <c r="AW3" s="511"/>
      <c r="AX3" s="511"/>
      <c r="AY3" s="511"/>
      <c r="AZ3" s="511"/>
      <c r="BA3" s="511"/>
      <c r="BB3" s="511"/>
      <c r="BC3" s="511"/>
      <c r="BD3" s="511"/>
      <c r="BE3" s="511"/>
      <c r="BF3" s="511"/>
      <c r="BG3" s="511"/>
      <c r="BH3" s="511"/>
      <c r="BI3" s="511"/>
      <c r="BJ3" s="511"/>
      <c r="BK3" s="511"/>
      <c r="BL3" s="511"/>
      <c r="BM3" s="511"/>
      <c r="BN3" s="511"/>
      <c r="BO3" s="511"/>
      <c r="BP3" s="511"/>
      <c r="BQ3" s="511"/>
      <c r="BR3" s="511"/>
      <c r="BS3" s="511"/>
      <c r="BT3" s="511"/>
      <c r="BU3" s="511"/>
      <c r="BV3" s="511"/>
      <c r="BW3" s="511"/>
      <c r="BX3" s="511"/>
      <c r="BY3" s="511"/>
      <c r="BZ3" s="511"/>
      <c r="CA3" s="511"/>
      <c r="CB3" s="511"/>
      <c r="CC3" s="511"/>
      <c r="CD3" s="511"/>
      <c r="CE3" s="511"/>
      <c r="CF3" s="511"/>
      <c r="CG3" s="511"/>
      <c r="CH3" s="511"/>
      <c r="CI3" s="511"/>
      <c r="CJ3" s="511"/>
      <c r="CK3" s="511"/>
      <c r="CL3" s="511"/>
      <c r="CM3" s="511"/>
      <c r="CN3" s="511"/>
      <c r="CO3" s="511"/>
      <c r="CP3" s="511"/>
      <c r="CQ3" s="511"/>
      <c r="CR3" s="511"/>
      <c r="CS3" s="511"/>
      <c r="CT3" s="511"/>
      <c r="CU3" s="511"/>
      <c r="CV3" s="511"/>
      <c r="CW3" s="511"/>
      <c r="CX3" s="511"/>
      <c r="CY3" s="511"/>
      <c r="CZ3" s="511"/>
      <c r="DA3" s="511"/>
      <c r="DB3" s="511"/>
      <c r="DC3" s="511"/>
      <c r="DD3" s="511"/>
      <c r="DE3" s="511"/>
      <c r="DF3" s="511"/>
      <c r="DG3" s="511"/>
      <c r="DH3" s="511"/>
      <c r="DI3" s="511"/>
      <c r="DJ3" s="511"/>
      <c r="DK3" s="511"/>
      <c r="DL3" s="511"/>
      <c r="DM3" s="511"/>
      <c r="DN3" s="511"/>
      <c r="DO3" s="511"/>
      <c r="DP3" s="511"/>
      <c r="DQ3" s="511"/>
      <c r="DR3" s="511"/>
      <c r="DS3" s="511"/>
      <c r="DT3" s="511"/>
      <c r="DU3" s="511"/>
      <c r="DV3" s="511"/>
      <c r="DW3" s="511"/>
      <c r="DX3" s="511"/>
      <c r="DY3" s="511"/>
      <c r="DZ3" s="511"/>
      <c r="EA3" s="511"/>
      <c r="EB3" s="511"/>
      <c r="EC3" s="511"/>
      <c r="ED3" s="511"/>
      <c r="EE3" s="511"/>
      <c r="EF3" s="511"/>
      <c r="EG3" s="511"/>
      <c r="EH3" s="511"/>
      <c r="EI3" s="511"/>
      <c r="EJ3" s="511"/>
      <c r="EK3" s="511"/>
      <c r="EL3" s="511"/>
      <c r="EM3" s="511"/>
      <c r="EN3" s="511"/>
      <c r="EO3" s="511"/>
      <c r="EP3" s="511"/>
      <c r="EQ3" s="511"/>
      <c r="ER3" s="511"/>
      <c r="ES3" s="511"/>
      <c r="ET3" s="511"/>
      <c r="EU3" s="511"/>
      <c r="EV3" s="511"/>
      <c r="EW3" s="511"/>
      <c r="EX3" s="511"/>
      <c r="EY3" s="511"/>
      <c r="EZ3" s="511"/>
      <c r="FA3" s="511"/>
      <c r="FB3" s="511"/>
      <c r="FC3" s="511"/>
      <c r="FD3" s="511"/>
      <c r="FE3" s="511"/>
      <c r="FF3" s="511"/>
      <c r="FG3" s="511"/>
      <c r="FH3" s="511"/>
      <c r="FI3" s="511"/>
      <c r="FJ3" s="511"/>
      <c r="FK3" s="511"/>
      <c r="FL3" s="511"/>
      <c r="FM3" s="511"/>
      <c r="FN3" s="511"/>
      <c r="FO3" s="511"/>
      <c r="FP3" s="511"/>
      <c r="FQ3" s="511"/>
      <c r="FR3" s="511"/>
      <c r="FS3" s="511"/>
      <c r="FT3" s="511"/>
      <c r="FU3" s="511"/>
      <c r="FV3" s="511"/>
      <c r="FW3" s="511"/>
      <c r="FX3" s="511"/>
      <c r="FY3" s="511"/>
      <c r="FZ3" s="511"/>
      <c r="GA3" s="511"/>
      <c r="GB3" s="511"/>
      <c r="GC3" s="511"/>
      <c r="GD3" s="511"/>
      <c r="GE3" s="511"/>
      <c r="GF3" s="511"/>
      <c r="GG3" s="511"/>
      <c r="GH3" s="511"/>
      <c r="GI3" s="511"/>
      <c r="GJ3" s="511"/>
      <c r="GK3" s="511"/>
      <c r="GL3" s="511"/>
      <c r="GM3" s="511"/>
      <c r="GN3" s="511"/>
      <c r="GO3" s="511"/>
      <c r="GP3" s="511"/>
      <c r="GQ3" s="511"/>
      <c r="GR3" s="511"/>
      <c r="GS3" s="511"/>
      <c r="GT3" s="511"/>
      <c r="GU3" s="511"/>
      <c r="GV3" s="511"/>
      <c r="GW3" s="511"/>
      <c r="GX3" s="511"/>
      <c r="GY3" s="511"/>
      <c r="GZ3" s="511"/>
      <c r="HA3" s="511"/>
      <c r="HB3" s="511"/>
      <c r="HC3" s="511"/>
      <c r="HD3" s="511"/>
      <c r="HE3" s="511"/>
      <c r="HF3" s="511"/>
      <c r="HG3" s="511"/>
      <c r="HH3" s="511"/>
      <c r="HI3" s="511"/>
      <c r="HJ3" s="511"/>
      <c r="HK3" s="511"/>
      <c r="HL3" s="511"/>
      <c r="HM3" s="511"/>
      <c r="HN3" s="511"/>
      <c r="HO3" s="511"/>
      <c r="HP3" s="511"/>
      <c r="HQ3" s="511"/>
      <c r="HR3" s="511"/>
      <c r="HS3" s="511"/>
      <c r="HT3" s="511"/>
      <c r="HU3" s="511"/>
      <c r="HV3" s="511"/>
      <c r="HW3" s="511"/>
      <c r="HX3" s="511"/>
      <c r="HY3" s="511"/>
      <c r="HZ3" s="511"/>
      <c r="IA3" s="511"/>
      <c r="IB3" s="511"/>
      <c r="IC3" s="511"/>
      <c r="ID3" s="511"/>
      <c r="IE3" s="511"/>
      <c r="IF3" s="511"/>
      <c r="IG3" s="511"/>
      <c r="IH3" s="511"/>
      <c r="II3" s="511"/>
      <c r="IJ3" s="511"/>
      <c r="IK3" s="511"/>
      <c r="IL3" s="511"/>
      <c r="IM3" s="511"/>
      <c r="IN3" s="511"/>
      <c r="IO3" s="511"/>
      <c r="IP3" s="511"/>
      <c r="IQ3" s="511"/>
      <c r="IR3" s="511"/>
      <c r="IS3" s="511"/>
      <c r="IT3" s="511"/>
      <c r="IU3" s="511"/>
      <c r="IV3" s="511"/>
      <c r="IW3" s="795">
        <v>0</v>
      </c>
    </row>
    <row s="14173" customFormat="1" customHeight="1" ht="14.699999999999998">
      <c r="A4" s="1439"/>
      <c r="B4" s="1444"/>
      <c r="C4" s="1439"/>
      <c r="D4" s="1779"/>
      <c r="E4" s="793"/>
      <c r="F4" s="793"/>
      <c r="G4" s="793"/>
      <c r="H4" s="793"/>
      <c r="I4" s="793"/>
      <c r="J4" s="793"/>
      <c r="K4" s="793"/>
      <c r="L4" s="450"/>
      <c r="M4" s="531"/>
      <c r="N4" s="784"/>
      <c r="O4" s="784"/>
      <c r="P4" s="784"/>
      <c r="Q4" s="510"/>
      <c r="R4" s="784"/>
      <c r="S4" s="509"/>
      <c r="T4" s="509"/>
      <c r="U4" s="509"/>
      <c r="V4" s="509"/>
      <c r="IW4" s="791">
        <v>14</v>
      </c>
    </row>
    <row s="14173" customFormat="1" customHeight="1" ht="27.299999999999997">
      <c r="A5" s="1439"/>
      <c r="B5" s="1444"/>
      <c r="C5" s="1439"/>
      <c r="D5" s="1779"/>
      <c r="E5" s="2384"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384"/>
      <c r="G5" s="2384"/>
      <c r="H5" s="2384"/>
      <c r="I5" s="2384"/>
      <c r="J5" s="2384"/>
      <c r="K5" s="2384"/>
      <c r="L5" s="872"/>
      <c r="M5" s="531"/>
      <c r="N5" s="784"/>
      <c r="O5" s="784"/>
      <c r="P5" s="784"/>
      <c r="Q5" s="510"/>
      <c r="R5" s="784"/>
      <c r="S5" s="509"/>
      <c r="T5" s="509"/>
      <c r="U5" s="509"/>
      <c r="V5" s="509"/>
      <c r="IW5" s="791">
        <v>26</v>
      </c>
    </row>
    <row s="14173" customFormat="1" customHeight="1" ht="14.699999999999998">
      <c r="A6" s="1439"/>
      <c r="B6" s="1444"/>
      <c r="C6" s="1439"/>
      <c r="D6" s="1779"/>
      <c r="E6" s="793"/>
      <c r="F6" s="451"/>
      <c r="G6" s="451"/>
      <c r="H6" s="451"/>
      <c r="I6" s="451"/>
      <c r="J6" s="451"/>
      <c r="K6" s="451"/>
      <c r="L6" s="452"/>
      <c r="M6" s="784"/>
      <c r="N6" s="784"/>
      <c r="O6" s="784"/>
      <c r="P6" s="784"/>
      <c r="Q6" s="510"/>
      <c r="R6" s="784"/>
      <c r="S6" s="509"/>
      <c r="T6" s="509"/>
      <c r="U6" s="509"/>
      <c r="V6" s="509"/>
      <c r="IW6" s="791">
        <v>14</v>
      </c>
    </row>
    <row s="14173" customFormat="1" customHeight="1" ht="14.699999999999998">
      <c r="A7" s="1439"/>
      <c r="B7" s="1444"/>
      <c r="C7" s="1439"/>
      <c r="D7" s="1779"/>
      <c r="E7" s="2385" t="s">
        <v>305</v>
      </c>
      <c r="F7" s="2386"/>
      <c r="G7" s="2386"/>
      <c r="H7" s="2386"/>
      <c r="I7" s="2386"/>
      <c r="J7" s="2386"/>
      <c r="K7" s="2386"/>
      <c r="L7" s="2758" t="s">
        <v>306</v>
      </c>
      <c r="M7" s="784"/>
      <c r="N7" s="784"/>
      <c r="O7" s="784"/>
      <c r="P7" s="784"/>
      <c r="Q7" s="510"/>
      <c r="R7" s="784"/>
      <c r="S7" s="509"/>
      <c r="T7" s="509"/>
      <c r="U7" s="509"/>
      <c r="V7" s="509"/>
      <c r="IW7" s="791">
        <v>14</v>
      </c>
    </row>
    <row s="14173" customFormat="1" customHeight="1" ht="67.2">
      <c r="A8" s="1439"/>
      <c r="B8" s="1444"/>
      <c r="C8" s="1439"/>
      <c r="D8" s="1779"/>
      <c r="E8" s="2762" t="s">
        <v>89</v>
      </c>
      <c r="F8" s="2762"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тарифного регулирования</v>
      </c>
      <c r="G8" s="2764"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тарифного регулирования, на котором планируется рассмотрение дел об установлении цен (тарифов) в сфере теплоснабжения</v>
      </c>
      <c r="H8" s="2765"/>
      <c r="I8" s="2766"/>
      <c r="J8" s="2762"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тарифного регулирования решения об установлении 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v>
      </c>
      <c r="K8" s="2762"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760"/>
      <c r="M8" s="784"/>
      <c r="N8" s="784"/>
      <c r="O8" s="784"/>
      <c r="P8" s="784"/>
      <c r="Q8" s="510"/>
      <c r="R8" s="784"/>
      <c r="S8" s="509"/>
      <c r="T8" s="509"/>
      <c r="U8" s="509"/>
      <c r="V8" s="509"/>
      <c r="IW8" s="791">
        <v>64</v>
      </c>
    </row>
    <row s="14173" customFormat="1" customHeight="1" ht="29.25">
      <c r="A9" s="1439"/>
      <c r="B9" s="1444"/>
      <c r="C9" s="1439"/>
      <c r="D9" s="1779"/>
      <c r="E9" s="2763"/>
      <c r="F9" s="2763"/>
      <c r="G9" s="1821" t="s">
        <v>1883</v>
      </c>
      <c r="H9" s="1821" t="s">
        <v>1884</v>
      </c>
      <c r="I9" s="1821" t="s">
        <v>1885</v>
      </c>
      <c r="J9" s="2763"/>
      <c r="K9" s="2763"/>
      <c r="L9" s="2759"/>
      <c r="M9" s="784"/>
      <c r="N9" s="784"/>
      <c r="O9" s="784"/>
      <c r="P9" s="784"/>
      <c r="Q9" s="510"/>
      <c r="R9" s="784"/>
      <c r="S9" s="509"/>
      <c r="T9" s="509"/>
      <c r="U9" s="509"/>
      <c r="V9" s="509"/>
      <c r="IW9" s="791">
        <v>28</v>
      </c>
    </row>
    <row s="14218" customFormat="1" customHeight="1" ht="23.25">
      <c r="A10" s="2383"/>
      <c r="B10" s="1444">
        <v>1</v>
      </c>
      <c r="C10" s="1444"/>
      <c r="D10" s="1084"/>
      <c r="E10" s="1082">
        <v>1</v>
      </c>
      <c r="F10" s="1823" t="str">
        <f>IF(ROIV_INFO_NAME="","",ROIV_INFO_NAME)</f>
        <v>МУП г. Азова "Теплоэнерго"</v>
      </c>
      <c r="G10" s="2016" t="s">
        <v>28</v>
      </c>
      <c r="H10" s="2200"/>
      <c r="I10" s="1818"/>
      <c r="J10" s="1102"/>
      <c r="K10" s="1102"/>
      <c r="L10" s="2716"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819">
        <f>MERGEVALUE(F10)</f>
      </c>
      <c r="N10" s="795"/>
      <c r="O10" s="795"/>
      <c r="P10" s="784" t="str">
        <f t="array" ref="P10:P10">IF(ISERROR(MATCH(MID(Q10,1,250),MID(note_ter,1,250),0)),"n","y")</f>
        <v>n</v>
      </c>
      <c r="Q10" s="795"/>
      <c r="R10" s="784"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444"/>
      <c r="T10" s="1444"/>
      <c r="U10" s="704"/>
      <c r="V10" s="1444"/>
      <c r="W10" s="1444"/>
      <c r="X10" s="1444"/>
      <c r="Y10" s="706"/>
      <c r="Z10" s="706"/>
      <c r="AA10" s="703"/>
      <c r="AB10" s="703"/>
      <c r="AC10" s="703"/>
      <c r="AD10" s="703"/>
      <c r="AE10" s="703"/>
      <c r="AF10" s="703"/>
      <c r="AG10" s="703"/>
      <c r="AH10" s="703"/>
      <c r="AI10" s="703"/>
      <c r="AJ10" s="703"/>
      <c r="AK10" s="703"/>
      <c r="AL10" s="703"/>
      <c r="AM10" s="703"/>
      <c r="AN10" s="703"/>
      <c r="AO10" s="703"/>
      <c r="AP10" s="703"/>
      <c r="AQ10" s="703"/>
      <c r="AR10" s="703"/>
      <c r="AS10" s="703"/>
      <c r="AT10" s="703"/>
      <c r="AU10" s="703"/>
      <c r="AV10" s="703"/>
      <c r="AW10" s="703"/>
      <c r="AX10" s="703"/>
      <c r="AY10" s="703"/>
      <c r="AZ10" s="703"/>
      <c r="BA10" s="703"/>
      <c r="BB10" s="703"/>
      <c r="BC10" s="703"/>
      <c r="BD10" s="703"/>
      <c r="BE10" s="703"/>
      <c r="BF10" s="703"/>
      <c r="BG10" s="703"/>
      <c r="BH10" s="703"/>
      <c r="BI10" s="703"/>
      <c r="BJ10" s="703"/>
      <c r="BK10" s="703"/>
      <c r="BL10" s="703"/>
      <c r="BM10" s="703"/>
      <c r="BN10" s="703"/>
      <c r="BO10" s="703"/>
      <c r="BP10" s="703"/>
      <c r="BQ10" s="703"/>
      <c r="BR10" s="703"/>
      <c r="BS10" s="703"/>
      <c r="BT10" s="703"/>
      <c r="BU10" s="703"/>
      <c r="BV10" s="706"/>
      <c r="BW10" s="706"/>
      <c r="BX10" s="706"/>
      <c r="BY10" s="706"/>
      <c r="BZ10" s="706"/>
      <c r="CA10" s="706"/>
      <c r="CB10" s="706"/>
      <c r="CC10" s="706"/>
      <c r="CD10" s="706"/>
      <c r="CE10" s="706"/>
      <c r="IW10" s="707">
        <v>22</v>
      </c>
    </row>
    <row s="14218" customFormat="1" customHeight="1" ht="15.75">
      <c r="A11" s="2383"/>
      <c r="B11" s="1444"/>
      <c r="C11" s="696"/>
      <c r="D11" s="1085"/>
      <c r="E11" s="705"/>
      <c r="F11" s="700" t="s">
        <v>1886</v>
      </c>
      <c r="G11" s="471"/>
      <c r="H11" s="471"/>
      <c r="I11" s="471"/>
      <c r="J11" s="471"/>
      <c r="K11" s="708"/>
      <c r="L11" s="2761"/>
      <c r="M11" s="1820"/>
      <c r="N11" s="795"/>
      <c r="O11" s="795"/>
      <c r="P11" s="795"/>
      <c r="Q11" s="784"/>
      <c r="R11" s="795"/>
      <c r="S11" s="1444"/>
      <c r="T11" s="1444"/>
      <c r="U11" s="704"/>
      <c r="V11" s="1444"/>
      <c r="W11" s="1444"/>
      <c r="X11" s="1444"/>
      <c r="Y11" s="706"/>
      <c r="Z11" s="706"/>
      <c r="AA11" s="703"/>
      <c r="AB11" s="703"/>
      <c r="AC11" s="703"/>
      <c r="AD11" s="703"/>
      <c r="AE11" s="703"/>
      <c r="AF11" s="703"/>
      <c r="AG11" s="703"/>
      <c r="AH11" s="703"/>
      <c r="AI11" s="703"/>
      <c r="AJ11" s="703"/>
      <c r="AK11" s="703"/>
      <c r="AL11" s="703"/>
      <c r="AM11" s="703"/>
      <c r="AN11" s="703"/>
      <c r="AO11" s="703"/>
      <c r="AP11" s="703"/>
      <c r="AQ11" s="703"/>
      <c r="AR11" s="703"/>
      <c r="AS11" s="703"/>
      <c r="AT11" s="703"/>
      <c r="AU11" s="703"/>
      <c r="AV11" s="703"/>
      <c r="AW11" s="703"/>
      <c r="AX11" s="703"/>
      <c r="AY11" s="703"/>
      <c r="AZ11" s="703"/>
      <c r="BA11" s="703"/>
      <c r="BB11" s="703"/>
      <c r="BC11" s="703"/>
      <c r="BD11" s="703"/>
      <c r="BE11" s="703"/>
      <c r="BF11" s="703"/>
      <c r="BG11" s="703"/>
      <c r="BH11" s="703"/>
      <c r="BI11" s="703"/>
      <c r="BJ11" s="703"/>
      <c r="BK11" s="703"/>
      <c r="BL11" s="703"/>
      <c r="BM11" s="703"/>
      <c r="BN11" s="703"/>
      <c r="BO11" s="703"/>
      <c r="BP11" s="703"/>
      <c r="BQ11" s="703"/>
      <c r="BR11" s="703"/>
      <c r="BS11" s="703"/>
      <c r="BT11" s="703"/>
      <c r="BU11" s="703"/>
      <c r="BV11" s="706"/>
      <c r="BW11" s="706"/>
      <c r="BX11" s="706"/>
      <c r="BY11" s="706"/>
      <c r="BZ11" s="706"/>
      <c r="CA11" s="706"/>
      <c r="CB11" s="706"/>
      <c r="CC11" s="706"/>
      <c r="CD11" s="706"/>
      <c r="CE11" s="706"/>
      <c r="IW11" s="707">
        <v>15</v>
      </c>
    </row>
    <row s="14173" customFormat="1" customHeight="1" ht="22.049999999999997">
      <c r="A12" s="1439"/>
      <c r="B12" s="1444"/>
      <c r="C12" s="1439"/>
      <c r="D12" s="735"/>
      <c r="E12" s="464"/>
      <c r="F12" s="464"/>
      <c r="G12" s="464"/>
      <c r="H12" s="464"/>
      <c r="I12" s="464"/>
      <c r="J12" s="464"/>
      <c r="K12" s="464"/>
      <c r="L12" s="464"/>
      <c r="M12" s="784"/>
      <c r="N12" s="784"/>
      <c r="O12" s="784"/>
      <c r="P12" s="784"/>
      <c r="Q12" s="510"/>
      <c r="R12" s="784"/>
      <c r="S12" s="509"/>
      <c r="T12" s="509"/>
      <c r="U12" s="509"/>
      <c r="V12" s="509"/>
      <c r="IW12" s="791">
        <v>21</v>
      </c>
    </row>
    <row s="14173" customFormat="1" customHeight="1" ht="14.699999999999998">
      <c r="A13" s="1439"/>
      <c r="B13" s="1444"/>
      <c r="C13" s="1439"/>
      <c r="D13" s="735"/>
      <c r="E13" s="1439"/>
      <c r="F13" s="1439"/>
      <c r="G13" s="1439"/>
      <c r="H13" s="1439"/>
      <c r="I13" s="1439"/>
      <c r="J13" s="1439"/>
      <c r="K13" s="1439"/>
      <c r="L13" s="1439"/>
      <c r="M13" s="784"/>
      <c r="N13" s="784"/>
      <c r="O13" s="784"/>
      <c r="P13" s="784"/>
      <c r="Q13" s="510"/>
      <c r="R13" s="784"/>
      <c r="S13" s="509"/>
      <c r="T13" s="509"/>
      <c r="U13" s="509"/>
      <c r="V13" s="509"/>
      <c r="IW13" s="791">
        <v>14</v>
      </c>
    </row>
    <row s="14173" customFormat="1" customHeight="1" ht="1.05">
      <c r="A14" s="1439"/>
      <c r="B14" s="1444"/>
      <c r="C14" s="1439"/>
      <c r="D14" s="735"/>
      <c r="E14" s="1439"/>
      <c r="F14" s="1439"/>
      <c r="G14" s="1439"/>
      <c r="H14" s="1439"/>
      <c r="I14" s="1439"/>
      <c r="J14" s="1439"/>
      <c r="K14" s="1439"/>
      <c r="L14" s="1439"/>
      <c r="M14" s="784"/>
      <c r="N14" s="784"/>
      <c r="O14" s="784"/>
      <c r="P14" s="784"/>
      <c r="Q14" s="510"/>
      <c r="R14" s="784"/>
      <c r="S14" s="509"/>
      <c r="T14" s="509"/>
      <c r="U14" s="509"/>
      <c r="V14" s="509"/>
      <c r="IW14" s="791">
        <v>1</v>
      </c>
    </row>
    <row customHeight="1" ht="22.5" hidden="1">
      <c r="A15" s="1439" t="s">
        <v>83</v>
      </c>
      <c r="B15" s="1444">
        <v>0</v>
      </c>
      <c r="C15" s="1439">
        <v>0</v>
      </c>
      <c r="D15" s="735">
        <v>3</v>
      </c>
      <c r="E15" s="1439">
        <v>6</v>
      </c>
      <c r="F15" s="1439">
        <v>27</v>
      </c>
      <c r="G15" s="1439">
        <v>16</v>
      </c>
      <c r="H15" s="1439">
        <v>12</v>
      </c>
      <c r="I15" s="1439">
        <v>32</v>
      </c>
      <c r="J15" s="1439">
        <v>41</v>
      </c>
      <c r="K15" s="1439">
        <v>41</v>
      </c>
      <c r="L15" s="1439">
        <v>89</v>
      </c>
      <c r="M15" s="784">
        <v>3</v>
      </c>
      <c r="N15" s="784">
        <v>8</v>
      </c>
      <c r="O15" s="784">
        <v>8</v>
      </c>
      <c r="P15" s="784">
        <v>8</v>
      </c>
      <c r="Q15" s="510">
        <v>25</v>
      </c>
      <c r="R15" s="784">
        <v>14</v>
      </c>
      <c r="S15" s="509">
        <v>8</v>
      </c>
      <c r="T15" s="509">
        <v>8</v>
      </c>
      <c r="U15" s="509">
        <v>8</v>
      </c>
      <c r="V15" s="509">
        <v>8</v>
      </c>
      <c r="W15" s="1439">
        <v>8</v>
      </c>
      <c r="X15" s="1439">
        <v>8</v>
      </c>
      <c r="Y15" s="1439">
        <v>8</v>
      </c>
      <c r="Z15" s="1439">
        <v>8</v>
      </c>
      <c r="AA15" s="1439">
        <v>8</v>
      </c>
      <c r="AB15" s="1439">
        <v>8</v>
      </c>
      <c r="AC15" s="1439">
        <v>8</v>
      </c>
      <c r="AD15" s="1439">
        <v>8</v>
      </c>
      <c r="AE15" s="1439">
        <v>8</v>
      </c>
      <c r="AF15" s="1439">
        <v>8</v>
      </c>
      <c r="AG15" s="1439">
        <v>8</v>
      </c>
      <c r="AH15" s="1439">
        <v>8</v>
      </c>
      <c r="AI15" s="1439">
        <v>8</v>
      </c>
      <c r="AJ15" s="1439">
        <v>8</v>
      </c>
      <c r="AK15" s="1439">
        <v>8</v>
      </c>
      <c r="AL15" s="1439">
        <v>8</v>
      </c>
      <c r="AM15" s="1439">
        <v>8</v>
      </c>
      <c r="AN15" s="1439">
        <v>8</v>
      </c>
      <c r="AO15" s="1439">
        <v>8</v>
      </c>
      <c r="AP15" s="1439">
        <v>8</v>
      </c>
      <c r="AQ15" s="1439">
        <v>8</v>
      </c>
      <c r="AR15" s="1439">
        <v>8</v>
      </c>
      <c r="AS15" s="1439">
        <v>8</v>
      </c>
      <c r="AT15" s="1439">
        <v>8</v>
      </c>
      <c r="AU15" s="1439">
        <v>8</v>
      </c>
      <c r="AV15" s="1439">
        <v>8</v>
      </c>
      <c r="AW15" s="1439">
        <v>8</v>
      </c>
      <c r="AX15" s="1439">
        <v>8</v>
      </c>
      <c r="AY15" s="1439">
        <v>8</v>
      </c>
      <c r="AZ15" s="1439">
        <v>8</v>
      </c>
      <c r="BA15" s="1439">
        <v>8</v>
      </c>
      <c r="BB15" s="1439">
        <v>8</v>
      </c>
      <c r="BC15" s="1439">
        <v>8</v>
      </c>
      <c r="BD15" s="1439">
        <v>8</v>
      </c>
      <c r="BE15" s="1439">
        <v>8</v>
      </c>
      <c r="BF15" s="1439">
        <v>8</v>
      </c>
      <c r="BG15" s="1439">
        <v>8</v>
      </c>
      <c r="BH15" s="1439">
        <v>8</v>
      </c>
      <c r="BI15" s="1439">
        <v>8</v>
      </c>
      <c r="BJ15" s="1439">
        <v>8</v>
      </c>
      <c r="BK15" s="1439">
        <v>8</v>
      </c>
      <c r="BL15" s="1439">
        <v>8</v>
      </c>
      <c r="BM15" s="1439">
        <v>8</v>
      </c>
      <c r="BN15" s="1439">
        <v>8</v>
      </c>
      <c r="BO15" s="1439">
        <v>8</v>
      </c>
      <c r="BP15" s="1439">
        <v>8</v>
      </c>
      <c r="BQ15" s="1439">
        <v>8</v>
      </c>
      <c r="BR15" s="1439">
        <v>8</v>
      </c>
      <c r="BS15" s="1439">
        <v>8</v>
      </c>
      <c r="BT15" s="1439">
        <v>8</v>
      </c>
      <c r="BU15" s="1439">
        <v>8</v>
      </c>
      <c r="BV15" s="1439">
        <v>8</v>
      </c>
      <c r="BW15" s="1439">
        <v>8</v>
      </c>
      <c r="BX15" s="1439">
        <v>8</v>
      </c>
      <c r="BY15" s="1439">
        <v>8</v>
      </c>
      <c r="BZ15" s="1439">
        <v>8</v>
      </c>
      <c r="CA15" s="1439">
        <v>8</v>
      </c>
      <c r="CB15" s="1439">
        <v>8</v>
      </c>
      <c r="CC15" s="1439">
        <v>8</v>
      </c>
      <c r="CD15" s="1439">
        <v>8</v>
      </c>
      <c r="CE15" s="1439">
        <v>8</v>
      </c>
      <c r="CF15" s="1439">
        <v>8</v>
      </c>
      <c r="CG15" s="1439">
        <v>8</v>
      </c>
      <c r="CH15" s="1439">
        <v>8</v>
      </c>
      <c r="CI15" s="1439">
        <v>8</v>
      </c>
      <c r="CJ15" s="1439">
        <v>8</v>
      </c>
      <c r="CK15" s="1439">
        <v>8</v>
      </c>
      <c r="CL15" s="1439">
        <v>8</v>
      </c>
      <c r="CM15" s="1439">
        <v>8</v>
      </c>
      <c r="CN15" s="1439">
        <v>8</v>
      </c>
      <c r="CO15" s="1439">
        <v>8</v>
      </c>
      <c r="CP15" s="1439">
        <v>8</v>
      </c>
      <c r="CQ15" s="1439">
        <v>8</v>
      </c>
      <c r="CR15" s="1439">
        <v>8</v>
      </c>
      <c r="CS15" s="1439">
        <v>8</v>
      </c>
      <c r="CT15" s="1439">
        <v>8</v>
      </c>
      <c r="CU15" s="1439">
        <v>8</v>
      </c>
      <c r="CV15" s="1439">
        <v>8</v>
      </c>
      <c r="CW15" s="1439">
        <v>8</v>
      </c>
      <c r="CX15" s="1439">
        <v>8</v>
      </c>
      <c r="CY15" s="1439">
        <v>8</v>
      </c>
      <c r="CZ15" s="1439">
        <v>8</v>
      </c>
      <c r="DA15" s="1439">
        <v>8</v>
      </c>
      <c r="DB15" s="1439">
        <v>8</v>
      </c>
      <c r="DC15" s="1439">
        <v>8</v>
      </c>
      <c r="DD15" s="1439">
        <v>8</v>
      </c>
      <c r="DE15" s="1439">
        <v>8</v>
      </c>
      <c r="DF15" s="1439">
        <v>8</v>
      </c>
      <c r="DG15" s="1439">
        <v>8</v>
      </c>
      <c r="DH15" s="1439">
        <v>8</v>
      </c>
      <c r="DI15" s="1439">
        <v>8</v>
      </c>
      <c r="DJ15" s="1439">
        <v>8</v>
      </c>
      <c r="DK15" s="1439">
        <v>8</v>
      </c>
      <c r="DL15" s="1439">
        <v>8</v>
      </c>
      <c r="DM15" s="1439">
        <v>8</v>
      </c>
      <c r="DN15" s="1439">
        <v>8</v>
      </c>
      <c r="DO15" s="1439">
        <v>8</v>
      </c>
      <c r="DP15" s="1439">
        <v>8</v>
      </c>
      <c r="DQ15" s="1439">
        <v>8</v>
      </c>
      <c r="DR15" s="1439">
        <v>8</v>
      </c>
      <c r="DS15" s="1439">
        <v>8</v>
      </c>
      <c r="DT15" s="1439">
        <v>8</v>
      </c>
      <c r="DU15" s="1439">
        <v>8</v>
      </c>
      <c r="DV15" s="1439">
        <v>8</v>
      </c>
      <c r="DW15" s="1439">
        <v>8</v>
      </c>
      <c r="DX15" s="1439">
        <v>8</v>
      </c>
      <c r="DY15" s="1439">
        <v>8</v>
      </c>
      <c r="DZ15" s="1439">
        <v>8</v>
      </c>
      <c r="EA15" s="1439">
        <v>8</v>
      </c>
      <c r="EB15" s="1439">
        <v>8</v>
      </c>
      <c r="EC15" s="1439">
        <v>8</v>
      </c>
      <c r="ED15" s="1439">
        <v>8</v>
      </c>
      <c r="EE15" s="1439">
        <v>8</v>
      </c>
      <c r="EF15" s="1439">
        <v>8</v>
      </c>
      <c r="EG15" s="1439">
        <v>8</v>
      </c>
      <c r="EH15" s="1439">
        <v>8</v>
      </c>
      <c r="EI15" s="1439">
        <v>8</v>
      </c>
      <c r="EJ15" s="1439">
        <v>8</v>
      </c>
      <c r="EK15" s="1439">
        <v>8</v>
      </c>
      <c r="EL15" s="1439">
        <v>8</v>
      </c>
      <c r="EM15" s="1439">
        <v>8</v>
      </c>
      <c r="EN15" s="1439">
        <v>8</v>
      </c>
      <c r="EO15" s="1439">
        <v>8</v>
      </c>
      <c r="EP15" s="1439">
        <v>8</v>
      </c>
      <c r="EQ15" s="1439">
        <v>8</v>
      </c>
      <c r="ER15" s="1439">
        <v>8</v>
      </c>
      <c r="ES15" s="1439">
        <v>8</v>
      </c>
      <c r="ET15" s="1439">
        <v>8</v>
      </c>
      <c r="EU15" s="1439">
        <v>8</v>
      </c>
      <c r="EV15" s="1439">
        <v>8</v>
      </c>
      <c r="EW15" s="1439">
        <v>8</v>
      </c>
      <c r="EX15" s="1439">
        <v>8</v>
      </c>
      <c r="EY15" s="1439">
        <v>8</v>
      </c>
      <c r="EZ15" s="1439">
        <v>8</v>
      </c>
      <c r="FA15" s="1439">
        <v>8</v>
      </c>
      <c r="FB15" s="1439">
        <v>8</v>
      </c>
      <c r="FC15" s="1439">
        <v>8</v>
      </c>
      <c r="FD15" s="1439">
        <v>8</v>
      </c>
      <c r="FE15" s="1439">
        <v>8</v>
      </c>
      <c r="FF15" s="1439">
        <v>8</v>
      </c>
      <c r="FG15" s="1439">
        <v>8</v>
      </c>
      <c r="FH15" s="1439">
        <v>8</v>
      </c>
      <c r="FI15" s="1439">
        <v>8</v>
      </c>
      <c r="FJ15" s="1439">
        <v>8</v>
      </c>
      <c r="FK15" s="1439">
        <v>8</v>
      </c>
      <c r="FL15" s="1439">
        <v>8</v>
      </c>
      <c r="FM15" s="1439">
        <v>8</v>
      </c>
      <c r="FN15" s="1439">
        <v>8</v>
      </c>
      <c r="FO15" s="1439">
        <v>8</v>
      </c>
      <c r="FP15" s="1439">
        <v>8</v>
      </c>
      <c r="FQ15" s="1439">
        <v>8</v>
      </c>
      <c r="FR15" s="1439">
        <v>8</v>
      </c>
      <c r="FS15" s="1439">
        <v>8</v>
      </c>
      <c r="FT15" s="1439">
        <v>8</v>
      </c>
      <c r="FU15" s="1439">
        <v>8</v>
      </c>
      <c r="FV15" s="1439">
        <v>8</v>
      </c>
      <c r="FW15" s="1439">
        <v>8</v>
      </c>
      <c r="FX15" s="1439">
        <v>8</v>
      </c>
      <c r="FY15" s="1439">
        <v>8</v>
      </c>
      <c r="FZ15" s="1439">
        <v>8</v>
      </c>
      <c r="GA15" s="1439">
        <v>8</v>
      </c>
      <c r="GB15" s="1439">
        <v>8</v>
      </c>
      <c r="GC15" s="1439">
        <v>8</v>
      </c>
      <c r="GD15" s="1439">
        <v>8</v>
      </c>
      <c r="GE15" s="1439">
        <v>8</v>
      </c>
      <c r="GF15" s="1439">
        <v>8</v>
      </c>
      <c r="GG15" s="1439">
        <v>8</v>
      </c>
      <c r="GH15" s="1439">
        <v>8</v>
      </c>
      <c r="GI15" s="1439">
        <v>8</v>
      </c>
      <c r="GJ15" s="1439">
        <v>8</v>
      </c>
      <c r="GK15" s="1439">
        <v>8</v>
      </c>
      <c r="GL15" s="1439">
        <v>8</v>
      </c>
      <c r="GM15" s="1439">
        <v>8</v>
      </c>
      <c r="GN15" s="1439">
        <v>8</v>
      </c>
      <c r="GO15" s="1439">
        <v>8</v>
      </c>
      <c r="GP15" s="1439">
        <v>8</v>
      </c>
      <c r="GQ15" s="1439">
        <v>8</v>
      </c>
      <c r="GR15" s="1439">
        <v>8</v>
      </c>
      <c r="GS15" s="1439">
        <v>8</v>
      </c>
      <c r="GT15" s="1439">
        <v>8</v>
      </c>
      <c r="GU15" s="1439">
        <v>8</v>
      </c>
      <c r="GV15" s="1439">
        <v>8</v>
      </c>
      <c r="GW15" s="1439">
        <v>8</v>
      </c>
      <c r="GX15" s="1439">
        <v>8</v>
      </c>
      <c r="GY15" s="1439">
        <v>8</v>
      </c>
      <c r="GZ15" s="1439">
        <v>8</v>
      </c>
      <c r="HA15" s="1439">
        <v>8</v>
      </c>
      <c r="HB15" s="1439">
        <v>8</v>
      </c>
      <c r="HC15" s="1439">
        <v>8</v>
      </c>
      <c r="HD15" s="1439">
        <v>8</v>
      </c>
      <c r="HE15" s="1439">
        <v>8</v>
      </c>
      <c r="HF15" s="1439">
        <v>8</v>
      </c>
      <c r="HG15" s="1439">
        <v>8</v>
      </c>
      <c r="HH15" s="1439">
        <v>8</v>
      </c>
      <c r="HI15" s="1439">
        <v>8</v>
      </c>
      <c r="HJ15" s="1439">
        <v>8</v>
      </c>
      <c r="HK15" s="1439">
        <v>8</v>
      </c>
      <c r="HL15" s="1439">
        <v>8</v>
      </c>
      <c r="HM15" s="1439">
        <v>8</v>
      </c>
      <c r="HN15" s="1439">
        <v>8</v>
      </c>
      <c r="HO15" s="1439">
        <v>8</v>
      </c>
      <c r="HP15" s="1439">
        <v>8</v>
      </c>
      <c r="HQ15" s="1439">
        <v>8</v>
      </c>
      <c r="HR15" s="1439">
        <v>8</v>
      </c>
      <c r="HS15" s="1439">
        <v>8</v>
      </c>
      <c r="HT15" s="1439">
        <v>8</v>
      </c>
      <c r="HU15" s="1439">
        <v>8</v>
      </c>
      <c r="HV15" s="1439">
        <v>8</v>
      </c>
      <c r="HW15" s="1439">
        <v>8</v>
      </c>
      <c r="HX15" s="1439">
        <v>8</v>
      </c>
      <c r="HY15" s="1439">
        <v>8</v>
      </c>
      <c r="HZ15" s="1439">
        <v>8</v>
      </c>
      <c r="IA15" s="1439">
        <v>8</v>
      </c>
      <c r="IB15" s="1439">
        <v>8</v>
      </c>
      <c r="IC15" s="1439">
        <v>8</v>
      </c>
      <c r="ID15" s="1439">
        <v>8</v>
      </c>
      <c r="IE15" s="1439">
        <v>8</v>
      </c>
      <c r="IF15" s="1439">
        <v>8</v>
      </c>
      <c r="IG15" s="1439">
        <v>8</v>
      </c>
      <c r="IH15" s="1439">
        <v>8</v>
      </c>
      <c r="II15" s="1439">
        <v>8</v>
      </c>
      <c r="IJ15" s="1439">
        <v>8</v>
      </c>
      <c r="IK15" s="1439">
        <v>8</v>
      </c>
      <c r="IL15" s="1439">
        <v>8</v>
      </c>
      <c r="IM15" s="1439">
        <v>8</v>
      </c>
      <c r="IN15" s="1439">
        <v>8</v>
      </c>
      <c r="IO15" s="1439">
        <v>8</v>
      </c>
      <c r="IP15" s="1439">
        <v>8</v>
      </c>
      <c r="IQ15" s="1439">
        <v>8</v>
      </c>
      <c r="IR15" s="1439">
        <v>8</v>
      </c>
      <c r="IS15" s="1439">
        <v>8</v>
      </c>
      <c r="IT15" s="1439">
        <v>8</v>
      </c>
      <c r="IU15" s="1439">
        <v>8</v>
      </c>
      <c r="IV15" s="1439">
        <v>8</v>
      </c>
      <c r="IW15" s="1439">
        <v>23</v>
      </c>
    </row>
  </sheetData>
  <sheetProtection formatColumns="0" formatRows="0" autoFilter="0" sort="0" insertRows="0" insertColumns="1" deleteRows="0" deleteColumns="0"/>
  <mergeCells count="10">
    <mergeCell ref="L7:L9"/>
    <mergeCell ref="E7:K7"/>
    <mergeCell ref="A10:A11"/>
    <mergeCell ref="L10:L11"/>
    <mergeCell ref="E5:K5"/>
    <mergeCell ref="F8:F9"/>
    <mergeCell ref="E8:E9"/>
    <mergeCell ref="G8:I8"/>
    <mergeCell ref="J8:J9"/>
    <mergeCell ref="K8:K9"/>
  </mergeCells>
  <dataValidations count="5">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formula1>900</formula1>
    </dataValidation>
    <dataValidation type="time" allowBlank="1" showInputMessage="1" showErrorMessage="1" prompt="Укажите время в формате ЧЧ:ММ" sqref="H10 H2">
      <formula1>0</formula1>
      <formula2>0.9993055555555556</formula2>
    </dataValidation>
    <dataValidation type="textLength" operator="lessThanOrEqual" allowBlank="1" showInputMessage="1" showErrorMessage="1" sqref="I10 I2">
      <formula1>990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2B61AB8-53E2-CAC6-C058-C7F9BD9C8968}" mc:Ignorable="x14ac xr xr2 xr3">
  <dimension ref="A1:IW15"/>
  <sheetViews>
    <sheetView topLeftCell="A1" showGridLines="0" zoomScale="90" workbookViewId="0">
      <selection activeCell="A1" sqref="A1"/>
    </sheetView>
  </sheetViews>
  <sheetFormatPr defaultColWidth="9.140625" customHeight="1" defaultRowHeight="14.25"/>
  <cols>
    <col min="1" max="1" style="14077" width="9.140625" hidden="1"/>
    <col min="2" max="2" style="14157" width="9.140625" hidden="1"/>
    <col min="3" max="3" style="14077" width="3.7109375" hidden="1" customWidth="1"/>
    <col min="4" max="4" style="14246" width="3.00390625" customWidth="1"/>
    <col min="5" max="5" style="14077" width="6.00390625" customWidth="1"/>
    <col min="6" max="6" style="14077" width="27.00390625" customWidth="1"/>
    <col min="7" max="7" style="14077" width="16.00390625" customWidth="1"/>
    <col min="8" max="8" style="14077" width="12.00390625" customWidth="1"/>
    <col min="9" max="9" style="14077" width="32.00390625" customWidth="1"/>
    <col min="10" max="11" style="14077" width="41.00390625" customWidth="1"/>
    <col min="12" max="12" style="14077" width="89.00390625" customWidth="1"/>
    <col min="13" max="13" style="14247" width="3.00390625" customWidth="1"/>
    <col min="14" max="16" style="14247" width="8.00390625" customWidth="1"/>
    <col min="17" max="17" style="14247" width="25.00390625" customWidth="1"/>
    <col min="18" max="18" style="14247" width="14.00390625" customWidth="1"/>
    <col min="19" max="22" style="14248" width="8.00390625" customWidth="1"/>
    <col min="23" max="256" style="14077" width="8.00390625" customWidth="1"/>
    <col min="257" max="257" style="14077" width="9.140625" hidden="1"/>
  </cols>
  <sheetData>
    <row customHeight="1" ht="22.5" hidden="1">
      <c r="IW1" s="1915" t="s">
        <v>14</v>
      </c>
    </row>
    <row s="14218" customFormat="1" customHeight="1" ht="22.5" hidden="1">
      <c r="A2" s="1115"/>
      <c r="B2" s="1650">
        <v>1</v>
      </c>
      <c r="C2" s="1650"/>
      <c r="D2" s="2212" t="s">
        <v>454</v>
      </c>
      <c r="E2" s="2188"/>
      <c r="F2" s="2190" t="str">
        <f>IF(ROIV_INFO_NAME="","",ROIV_INFO_NAME)</f>
        <v>МУП г. Азова "Теплоэнерго"</v>
      </c>
      <c r="G2" s="2016" t="s">
        <v>28</v>
      </c>
      <c r="H2" s="2200"/>
      <c r="I2" s="1822"/>
      <c r="J2" s="1102"/>
      <c r="K2" s="1102"/>
      <c r="L2" s="512"/>
      <c r="M2" s="1819">
        <f>MERGEVALUE(F2)</f>
      </c>
      <c r="N2" s="1920"/>
      <c r="O2" s="1920"/>
      <c r="P2" s="1908" t="str">
        <f t="array" ref="P2:P2">IF(ISERROR(MATCH(MID(Q2,1,250),MID(note_ter,1,250),0)),"n","y")</f>
        <v>n</v>
      </c>
      <c r="Q2" s="1920"/>
      <c r="R2" s="1908" t="str">
        <f>G2&amp;"("&amp;L2&amp;")"</f>
        <v>()</v>
      </c>
      <c r="S2" s="1650"/>
      <c r="T2" s="1650"/>
      <c r="U2" s="704"/>
      <c r="V2" s="1650"/>
      <c r="W2" s="1650"/>
      <c r="X2" s="1650"/>
      <c r="Y2" s="1117"/>
      <c r="Z2" s="1117"/>
      <c r="AA2" s="911"/>
      <c r="AB2" s="911"/>
      <c r="AC2" s="911"/>
      <c r="AD2" s="911"/>
      <c r="AE2" s="911"/>
      <c r="AF2" s="911"/>
      <c r="AG2" s="911"/>
      <c r="AH2" s="911"/>
      <c r="AI2" s="911"/>
      <c r="AJ2" s="911"/>
      <c r="AK2" s="911"/>
      <c r="AL2" s="911"/>
      <c r="AM2" s="911"/>
      <c r="AN2" s="911"/>
      <c r="AO2" s="911"/>
      <c r="AP2" s="911"/>
      <c r="AQ2" s="911"/>
      <c r="AR2" s="911"/>
      <c r="AS2" s="911"/>
      <c r="AT2" s="911"/>
      <c r="AU2" s="911"/>
      <c r="AV2" s="911"/>
      <c r="AW2" s="911"/>
      <c r="AX2" s="911"/>
      <c r="AY2" s="911"/>
      <c r="AZ2" s="911"/>
      <c r="BA2" s="911"/>
      <c r="BB2" s="911"/>
      <c r="BC2" s="911"/>
      <c r="BD2" s="911"/>
      <c r="BE2" s="911"/>
      <c r="BF2" s="911"/>
      <c r="BG2" s="911"/>
      <c r="BH2" s="911"/>
      <c r="BI2" s="911"/>
      <c r="BJ2" s="911"/>
      <c r="BK2" s="911"/>
      <c r="BL2" s="911"/>
      <c r="BM2" s="911"/>
      <c r="BN2" s="911"/>
      <c r="BO2" s="911"/>
      <c r="BP2" s="911"/>
      <c r="BQ2" s="911"/>
      <c r="BR2" s="911"/>
      <c r="BS2" s="911"/>
      <c r="BT2" s="911"/>
      <c r="BU2" s="911"/>
      <c r="BV2" s="1117"/>
      <c r="BW2" s="1117"/>
      <c r="BX2" s="1117"/>
      <c r="BY2" s="1117"/>
      <c r="BZ2" s="1117"/>
      <c r="CA2" s="1117"/>
      <c r="CB2" s="1117"/>
      <c r="CC2" s="1117"/>
      <c r="CD2" s="1117"/>
      <c r="CE2" s="1117"/>
      <c r="IW2" s="908">
        <v>0</v>
      </c>
    </row>
    <row s="14158" customFormat="1" customHeight="1" ht="5.25" hidden="1">
      <c r="A3" s="1925"/>
      <c r="D3" s="2177"/>
      <c r="F3" s="532" t="s">
        <v>84</v>
      </c>
      <c r="G3" s="2019" t="s">
        <v>85</v>
      </c>
      <c r="H3" s="2177"/>
      <c r="I3" s="2177"/>
      <c r="J3" s="2177"/>
      <c r="K3" s="2177"/>
      <c r="L3" s="511" t="s">
        <v>86</v>
      </c>
      <c r="M3" s="532" t="s">
        <v>84</v>
      </c>
      <c r="N3" s="532"/>
      <c r="O3" s="532"/>
      <c r="P3" s="532"/>
      <c r="Q3" s="532"/>
      <c r="R3" s="532"/>
      <c r="S3" s="532"/>
      <c r="T3" s="532"/>
      <c r="U3" s="532"/>
      <c r="V3" s="532"/>
      <c r="W3" s="511"/>
      <c r="X3" s="511"/>
      <c r="Y3" s="511"/>
      <c r="Z3" s="511"/>
      <c r="AA3" s="511"/>
      <c r="AB3" s="511"/>
      <c r="AC3" s="511"/>
      <c r="AD3" s="511"/>
      <c r="AE3" s="511"/>
      <c r="AF3" s="511"/>
      <c r="AG3" s="511"/>
      <c r="AH3" s="511"/>
      <c r="AI3" s="511"/>
      <c r="AJ3" s="511"/>
      <c r="AK3" s="511"/>
      <c r="AL3" s="511"/>
      <c r="AM3" s="511"/>
      <c r="AN3" s="511"/>
      <c r="AO3" s="511"/>
      <c r="AP3" s="511"/>
      <c r="AQ3" s="511"/>
      <c r="AR3" s="511"/>
      <c r="AS3" s="511"/>
      <c r="AT3" s="511"/>
      <c r="AU3" s="511"/>
      <c r="AV3" s="511"/>
      <c r="AW3" s="511"/>
      <c r="AX3" s="511"/>
      <c r="AY3" s="511"/>
      <c r="AZ3" s="511"/>
      <c r="BA3" s="511"/>
      <c r="BB3" s="511"/>
      <c r="BC3" s="511"/>
      <c r="BD3" s="511"/>
      <c r="BE3" s="511"/>
      <c r="BF3" s="511"/>
      <c r="BG3" s="511"/>
      <c r="BH3" s="511"/>
      <c r="BI3" s="511"/>
      <c r="BJ3" s="511"/>
      <c r="BK3" s="511"/>
      <c r="BL3" s="511"/>
      <c r="BM3" s="511"/>
      <c r="BN3" s="511"/>
      <c r="BO3" s="511"/>
      <c r="BP3" s="511"/>
      <c r="BQ3" s="511"/>
      <c r="BR3" s="511"/>
      <c r="BS3" s="511"/>
      <c r="BT3" s="511"/>
      <c r="BU3" s="511"/>
      <c r="BV3" s="511"/>
      <c r="BW3" s="511"/>
      <c r="BX3" s="511"/>
      <c r="BY3" s="511"/>
      <c r="BZ3" s="511"/>
      <c r="CA3" s="511"/>
      <c r="CB3" s="511"/>
      <c r="CC3" s="511"/>
      <c r="CD3" s="511"/>
      <c r="CE3" s="511"/>
      <c r="CF3" s="511"/>
      <c r="CG3" s="511"/>
      <c r="CH3" s="511"/>
      <c r="CI3" s="511"/>
      <c r="CJ3" s="511"/>
      <c r="CK3" s="511"/>
      <c r="CL3" s="511"/>
      <c r="CM3" s="511"/>
      <c r="CN3" s="511"/>
      <c r="CO3" s="511"/>
      <c r="CP3" s="511"/>
      <c r="CQ3" s="511"/>
      <c r="CR3" s="511"/>
      <c r="CS3" s="511"/>
      <c r="CT3" s="511"/>
      <c r="CU3" s="511"/>
      <c r="CV3" s="511"/>
      <c r="CW3" s="511"/>
      <c r="CX3" s="511"/>
      <c r="CY3" s="511"/>
      <c r="CZ3" s="511"/>
      <c r="DA3" s="511"/>
      <c r="DB3" s="511"/>
      <c r="DC3" s="511"/>
      <c r="DD3" s="511"/>
      <c r="DE3" s="511"/>
      <c r="DF3" s="511"/>
      <c r="DG3" s="511"/>
      <c r="DH3" s="511"/>
      <c r="DI3" s="511"/>
      <c r="DJ3" s="511"/>
      <c r="DK3" s="511"/>
      <c r="DL3" s="511"/>
      <c r="DM3" s="511"/>
      <c r="DN3" s="511"/>
      <c r="DO3" s="511"/>
      <c r="DP3" s="511"/>
      <c r="DQ3" s="511"/>
      <c r="DR3" s="511"/>
      <c r="DS3" s="511"/>
      <c r="DT3" s="511"/>
      <c r="DU3" s="511"/>
      <c r="DV3" s="511"/>
      <c r="DW3" s="511"/>
      <c r="DX3" s="511"/>
      <c r="DY3" s="511"/>
      <c r="DZ3" s="511"/>
      <c r="EA3" s="511"/>
      <c r="EB3" s="511"/>
      <c r="EC3" s="511"/>
      <c r="ED3" s="511"/>
      <c r="EE3" s="511"/>
      <c r="EF3" s="511"/>
      <c r="EG3" s="511"/>
      <c r="EH3" s="511"/>
      <c r="EI3" s="511"/>
      <c r="EJ3" s="511"/>
      <c r="EK3" s="511"/>
      <c r="EL3" s="511"/>
      <c r="EM3" s="511"/>
      <c r="EN3" s="511"/>
      <c r="EO3" s="511"/>
      <c r="EP3" s="511"/>
      <c r="EQ3" s="511"/>
      <c r="ER3" s="511"/>
      <c r="ES3" s="511"/>
      <c r="ET3" s="511"/>
      <c r="EU3" s="511"/>
      <c r="EV3" s="511"/>
      <c r="EW3" s="511"/>
      <c r="EX3" s="511"/>
      <c r="EY3" s="511"/>
      <c r="EZ3" s="511"/>
      <c r="FA3" s="511"/>
      <c r="FB3" s="511"/>
      <c r="FC3" s="511"/>
      <c r="FD3" s="511"/>
      <c r="FE3" s="511"/>
      <c r="FF3" s="511"/>
      <c r="FG3" s="511"/>
      <c r="FH3" s="511"/>
      <c r="FI3" s="511"/>
      <c r="FJ3" s="511"/>
      <c r="FK3" s="511"/>
      <c r="FL3" s="511"/>
      <c r="FM3" s="511"/>
      <c r="FN3" s="511"/>
      <c r="FO3" s="511"/>
      <c r="FP3" s="511"/>
      <c r="FQ3" s="511"/>
      <c r="FR3" s="511"/>
      <c r="FS3" s="511"/>
      <c r="FT3" s="511"/>
      <c r="FU3" s="511"/>
      <c r="FV3" s="511"/>
      <c r="FW3" s="511"/>
      <c r="FX3" s="511"/>
      <c r="FY3" s="511"/>
      <c r="FZ3" s="511"/>
      <c r="GA3" s="511"/>
      <c r="GB3" s="511"/>
      <c r="GC3" s="511"/>
      <c r="GD3" s="511"/>
      <c r="GE3" s="511"/>
      <c r="GF3" s="511"/>
      <c r="GG3" s="511"/>
      <c r="GH3" s="511"/>
      <c r="GI3" s="511"/>
      <c r="GJ3" s="511"/>
      <c r="GK3" s="511"/>
      <c r="GL3" s="511"/>
      <c r="GM3" s="511"/>
      <c r="GN3" s="511"/>
      <c r="GO3" s="511"/>
      <c r="GP3" s="511"/>
      <c r="GQ3" s="511"/>
      <c r="GR3" s="511"/>
      <c r="GS3" s="511"/>
      <c r="GT3" s="511"/>
      <c r="GU3" s="511"/>
      <c r="GV3" s="511"/>
      <c r="GW3" s="511"/>
      <c r="GX3" s="511"/>
      <c r="GY3" s="511"/>
      <c r="GZ3" s="511"/>
      <c r="HA3" s="511"/>
      <c r="HB3" s="511"/>
      <c r="HC3" s="511"/>
      <c r="HD3" s="511"/>
      <c r="HE3" s="511"/>
      <c r="HF3" s="511"/>
      <c r="HG3" s="511"/>
      <c r="HH3" s="511"/>
      <c r="HI3" s="511"/>
      <c r="HJ3" s="511"/>
      <c r="HK3" s="511"/>
      <c r="HL3" s="511"/>
      <c r="HM3" s="511"/>
      <c r="HN3" s="511"/>
      <c r="HO3" s="511"/>
      <c r="HP3" s="511"/>
      <c r="HQ3" s="511"/>
      <c r="HR3" s="511"/>
      <c r="HS3" s="511"/>
      <c r="HT3" s="511"/>
      <c r="HU3" s="511"/>
      <c r="HV3" s="511"/>
      <c r="HW3" s="511"/>
      <c r="HX3" s="511"/>
      <c r="HY3" s="511"/>
      <c r="HZ3" s="511"/>
      <c r="IA3" s="511"/>
      <c r="IB3" s="511"/>
      <c r="IC3" s="511"/>
      <c r="ID3" s="511"/>
      <c r="IE3" s="511"/>
      <c r="IF3" s="511"/>
      <c r="IG3" s="511"/>
      <c r="IH3" s="511"/>
      <c r="II3" s="511"/>
      <c r="IJ3" s="511"/>
      <c r="IK3" s="511"/>
      <c r="IL3" s="511"/>
      <c r="IM3" s="511"/>
      <c r="IN3" s="511"/>
      <c r="IO3" s="511"/>
      <c r="IP3" s="511"/>
      <c r="IQ3" s="511"/>
      <c r="IR3" s="511"/>
      <c r="IS3" s="511"/>
      <c r="IT3" s="511"/>
      <c r="IU3" s="511"/>
      <c r="IV3" s="511"/>
      <c r="IW3" s="1920">
        <v>0</v>
      </c>
    </row>
    <row s="14173" customFormat="1" customHeight="1" ht="14.699999999999998">
      <c r="A4" s="1915"/>
      <c r="B4" s="1650"/>
      <c r="C4" s="1915"/>
      <c r="D4" s="1799"/>
      <c r="E4" s="1919"/>
      <c r="F4" s="1919"/>
      <c r="G4" s="1919"/>
      <c r="H4" s="1919"/>
      <c r="I4" s="1919"/>
      <c r="J4" s="1919"/>
      <c r="K4" s="1919"/>
      <c r="L4" s="2179"/>
      <c r="M4" s="532"/>
      <c r="N4" s="1908"/>
      <c r="O4" s="1908"/>
      <c r="P4" s="1908"/>
      <c r="Q4" s="1908"/>
      <c r="R4" s="1908"/>
      <c r="S4" s="509"/>
      <c r="T4" s="509"/>
      <c r="U4" s="509"/>
      <c r="V4" s="509"/>
      <c r="IW4" s="1893">
        <v>14</v>
      </c>
    </row>
    <row s="14173" customFormat="1" customHeight="1" ht="27.299999999999997">
      <c r="A5" s="1915"/>
      <c r="B5" s="1650"/>
      <c r="C5" s="1915"/>
      <c r="D5" s="1799"/>
      <c r="E5" s="2384"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384"/>
      <c r="G5" s="2384"/>
      <c r="H5" s="2384"/>
      <c r="I5" s="2384"/>
      <c r="J5" s="2384"/>
      <c r="K5" s="2384"/>
      <c r="L5" s="1919"/>
      <c r="M5" s="532"/>
      <c r="N5" s="1908"/>
      <c r="O5" s="1908"/>
      <c r="P5" s="1908"/>
      <c r="Q5" s="1908"/>
      <c r="R5" s="1908"/>
      <c r="S5" s="509"/>
      <c r="T5" s="509"/>
      <c r="U5" s="509"/>
      <c r="V5" s="509"/>
      <c r="IW5" s="1893">
        <v>26</v>
      </c>
    </row>
    <row s="14173" customFormat="1" customHeight="1" ht="14.699999999999998">
      <c r="A6" s="1915"/>
      <c r="B6" s="1650"/>
      <c r="C6" s="1915"/>
      <c r="D6" s="1799"/>
      <c r="E6" s="1919"/>
      <c r="F6" s="900"/>
      <c r="G6" s="900"/>
      <c r="H6" s="900"/>
      <c r="I6" s="900"/>
      <c r="J6" s="900"/>
      <c r="K6" s="900"/>
      <c r="L6" s="1536"/>
      <c r="M6" s="1908"/>
      <c r="N6" s="1908"/>
      <c r="O6" s="1908"/>
      <c r="P6" s="1908"/>
      <c r="Q6" s="1908"/>
      <c r="R6" s="1908"/>
      <c r="S6" s="509"/>
      <c r="T6" s="509"/>
      <c r="U6" s="509"/>
      <c r="V6" s="509"/>
      <c r="IW6" s="1893">
        <v>14</v>
      </c>
    </row>
    <row s="14173" customFormat="1" customHeight="1" ht="14.699999999999998">
      <c r="A7" s="1915"/>
      <c r="B7" s="1650"/>
      <c r="C7" s="1915"/>
      <c r="D7" s="1799"/>
      <c r="E7" s="2385" t="s">
        <v>305</v>
      </c>
      <c r="F7" s="2386"/>
      <c r="G7" s="2386"/>
      <c r="H7" s="2386"/>
      <c r="I7" s="2386"/>
      <c r="J7" s="2386"/>
      <c r="K7" s="2386"/>
      <c r="L7" s="2758" t="s">
        <v>306</v>
      </c>
      <c r="M7" s="1908"/>
      <c r="N7" s="1908"/>
      <c r="O7" s="1908"/>
      <c r="P7" s="1908"/>
      <c r="Q7" s="1908"/>
      <c r="R7" s="1908"/>
      <c r="S7" s="509"/>
      <c r="T7" s="509"/>
      <c r="U7" s="509"/>
      <c r="V7" s="509"/>
      <c r="IW7" s="1893">
        <v>14</v>
      </c>
    </row>
    <row s="14173" customFormat="1" customHeight="1" ht="67.2">
      <c r="A8" s="1915"/>
      <c r="B8" s="1650"/>
      <c r="C8" s="1915"/>
      <c r="D8" s="1799"/>
      <c r="E8" s="2762" t="s">
        <v>89</v>
      </c>
      <c r="F8" s="2762" t="s">
        <v>1887</v>
      </c>
      <c r="G8" s="2764" t="s">
        <v>1888</v>
      </c>
      <c r="H8" s="2765"/>
      <c r="I8" s="2766"/>
      <c r="J8" s="2762" t="s">
        <v>1889</v>
      </c>
      <c r="K8" s="2762"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760"/>
      <c r="M8" s="1908"/>
      <c r="N8" s="1908"/>
      <c r="O8" s="1908"/>
      <c r="P8" s="1908"/>
      <c r="Q8" s="1908"/>
      <c r="R8" s="1908"/>
      <c r="S8" s="509"/>
      <c r="T8" s="509"/>
      <c r="U8" s="509"/>
      <c r="V8" s="509"/>
      <c r="IW8" s="1893">
        <v>64</v>
      </c>
    </row>
    <row s="14173" customFormat="1" customHeight="1" ht="29.25">
      <c r="A9" s="1915"/>
      <c r="B9" s="1650"/>
      <c r="C9" s="1915"/>
      <c r="D9" s="1799"/>
      <c r="E9" s="2763"/>
      <c r="F9" s="2763"/>
      <c r="G9" s="2178" t="s">
        <v>1883</v>
      </c>
      <c r="H9" s="2178" t="s">
        <v>1884</v>
      </c>
      <c r="I9" s="2178" t="s">
        <v>1885</v>
      </c>
      <c r="J9" s="2763"/>
      <c r="K9" s="2763"/>
      <c r="L9" s="2759"/>
      <c r="M9" s="1908"/>
      <c r="N9" s="1908"/>
      <c r="O9" s="1908"/>
      <c r="P9" s="1908"/>
      <c r="Q9" s="1908"/>
      <c r="R9" s="1908"/>
      <c r="S9" s="509"/>
      <c r="T9" s="509"/>
      <c r="U9" s="509"/>
      <c r="V9" s="509"/>
      <c r="IW9" s="1893">
        <v>28</v>
      </c>
    </row>
    <row s="14218" customFormat="1" customHeight="1" ht="1.05">
      <c r="A10" s="2383"/>
      <c r="B10" s="1650">
        <v>1</v>
      </c>
      <c r="C10" s="1650"/>
      <c r="D10" s="1084"/>
      <c r="E10" s="1079">
        <v>0</v>
      </c>
      <c r="F10" s="2175" t="str">
        <f>IF(ROIV_INFO_NAME="","",ROIV_INFO_NAME)</f>
        <v>МУП г. Азова "Теплоэнерго"</v>
      </c>
      <c r="G10" s="2017" t="s">
        <v>28</v>
      </c>
      <c r="H10" s="2187"/>
      <c r="I10" s="2187"/>
      <c r="J10" s="803"/>
      <c r="K10" s="803"/>
      <c r="L10" s="2716"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819">
        <f>MERGEVALUE(F10)</f>
      </c>
      <c r="N10" s="1920"/>
      <c r="O10" s="1920"/>
      <c r="P10" s="1908" t="str">
        <f t="array" ref="P10:P10">IF(ISERROR(MATCH(MID(Q10,1,250),MID(note_ter,1,250),0)),"n","y")</f>
        <v>n</v>
      </c>
      <c r="Q10" s="1920"/>
      <c r="R10" s="1908"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650"/>
      <c r="T10" s="1650"/>
      <c r="U10" s="704"/>
      <c r="V10" s="1650"/>
      <c r="W10" s="1650"/>
      <c r="X10" s="1650"/>
      <c r="Y10" s="1117"/>
      <c r="Z10" s="1117"/>
      <c r="AA10" s="911"/>
      <c r="AB10" s="911"/>
      <c r="AC10" s="911"/>
      <c r="AD10" s="911"/>
      <c r="AE10" s="911"/>
      <c r="AF10" s="911"/>
      <c r="AG10" s="911"/>
      <c r="AH10" s="911"/>
      <c r="AI10" s="911"/>
      <c r="AJ10" s="911"/>
      <c r="AK10" s="911"/>
      <c r="AL10" s="911"/>
      <c r="AM10" s="911"/>
      <c r="AN10" s="911"/>
      <c r="AO10" s="911"/>
      <c r="AP10" s="911"/>
      <c r="AQ10" s="911"/>
      <c r="AR10" s="911"/>
      <c r="AS10" s="911"/>
      <c r="AT10" s="911"/>
      <c r="AU10" s="911"/>
      <c r="AV10" s="911"/>
      <c r="AW10" s="911"/>
      <c r="AX10" s="911"/>
      <c r="AY10" s="911"/>
      <c r="AZ10" s="911"/>
      <c r="BA10" s="911"/>
      <c r="BB10" s="911"/>
      <c r="BC10" s="911"/>
      <c r="BD10" s="911"/>
      <c r="BE10" s="911"/>
      <c r="BF10" s="911"/>
      <c r="BG10" s="911"/>
      <c r="BH10" s="911"/>
      <c r="BI10" s="911"/>
      <c r="BJ10" s="911"/>
      <c r="BK10" s="911"/>
      <c r="BL10" s="911"/>
      <c r="BM10" s="911"/>
      <c r="BN10" s="911"/>
      <c r="BO10" s="911"/>
      <c r="BP10" s="911"/>
      <c r="BQ10" s="911"/>
      <c r="BR10" s="911"/>
      <c r="BS10" s="911"/>
      <c r="BT10" s="911"/>
      <c r="BU10" s="911"/>
      <c r="BV10" s="1117"/>
      <c r="BW10" s="1117"/>
      <c r="BX10" s="1117"/>
      <c r="BY10" s="1117"/>
      <c r="BZ10" s="1117"/>
      <c r="CA10" s="1117"/>
      <c r="CB10" s="1117"/>
      <c r="CC10" s="1117"/>
      <c r="CD10" s="1117"/>
      <c r="CE10" s="1117"/>
      <c r="IW10" s="908">
        <v>1</v>
      </c>
    </row>
    <row s="14218" customFormat="1" customHeight="1" ht="15.75">
      <c r="A11" s="2383"/>
      <c r="B11" s="1650"/>
      <c r="C11" s="696"/>
      <c r="D11" s="1085"/>
      <c r="E11" s="705"/>
      <c r="F11" s="935" t="s">
        <v>1886</v>
      </c>
      <c r="G11" s="471"/>
      <c r="H11" s="471"/>
      <c r="I11" s="471"/>
      <c r="J11" s="471"/>
      <c r="K11" s="708"/>
      <c r="L11" s="2761"/>
      <c r="M11" s="1820"/>
      <c r="N11" s="1920"/>
      <c r="O11" s="1920"/>
      <c r="P11" s="1920"/>
      <c r="Q11" s="1908"/>
      <c r="R11" s="1920"/>
      <c r="S11" s="1650"/>
      <c r="T11" s="1650"/>
      <c r="U11" s="704"/>
      <c r="V11" s="1650"/>
      <c r="W11" s="1650"/>
      <c r="X11" s="1650"/>
      <c r="Y11" s="1117"/>
      <c r="Z11" s="1117"/>
      <c r="AA11" s="911"/>
      <c r="AB11" s="911"/>
      <c r="AC11" s="911"/>
      <c r="AD11" s="911"/>
      <c r="AE11" s="911"/>
      <c r="AF11" s="911"/>
      <c r="AG11" s="911"/>
      <c r="AH11" s="911"/>
      <c r="AI11" s="911"/>
      <c r="AJ11" s="911"/>
      <c r="AK11" s="911"/>
      <c r="AL11" s="911"/>
      <c r="AM11" s="911"/>
      <c r="AN11" s="911"/>
      <c r="AO11" s="911"/>
      <c r="AP11" s="911"/>
      <c r="AQ11" s="911"/>
      <c r="AR11" s="911"/>
      <c r="AS11" s="911"/>
      <c r="AT11" s="911"/>
      <c r="AU11" s="911"/>
      <c r="AV11" s="911"/>
      <c r="AW11" s="911"/>
      <c r="AX11" s="911"/>
      <c r="AY11" s="911"/>
      <c r="AZ11" s="911"/>
      <c r="BA11" s="911"/>
      <c r="BB11" s="911"/>
      <c r="BC11" s="911"/>
      <c r="BD11" s="911"/>
      <c r="BE11" s="911"/>
      <c r="BF11" s="911"/>
      <c r="BG11" s="911"/>
      <c r="BH11" s="911"/>
      <c r="BI11" s="911"/>
      <c r="BJ11" s="911"/>
      <c r="BK11" s="911"/>
      <c r="BL11" s="911"/>
      <c r="BM11" s="911"/>
      <c r="BN11" s="911"/>
      <c r="BO11" s="911"/>
      <c r="BP11" s="911"/>
      <c r="BQ11" s="911"/>
      <c r="BR11" s="911"/>
      <c r="BS11" s="911"/>
      <c r="BT11" s="911"/>
      <c r="BU11" s="911"/>
      <c r="BV11" s="1117"/>
      <c r="BW11" s="1117"/>
      <c r="BX11" s="1117"/>
      <c r="BY11" s="1117"/>
      <c r="BZ11" s="1117"/>
      <c r="CA11" s="1117"/>
      <c r="CB11" s="1117"/>
      <c r="CC11" s="1117"/>
      <c r="CD11" s="1117"/>
      <c r="CE11" s="1117"/>
      <c r="IW11" s="908">
        <v>15</v>
      </c>
    </row>
    <row s="14173" customFormat="1" customHeight="1" ht="22.049999999999997">
      <c r="A12" s="1915"/>
      <c r="B12" s="1650"/>
      <c r="C12" s="1915"/>
      <c r="D12" s="1917"/>
      <c r="E12" s="464"/>
      <c r="F12" s="464"/>
      <c r="G12" s="464"/>
      <c r="H12" s="464"/>
      <c r="I12" s="464"/>
      <c r="J12" s="464"/>
      <c r="K12" s="464"/>
      <c r="L12" s="464"/>
      <c r="M12" s="1908"/>
      <c r="N12" s="1908"/>
      <c r="O12" s="1908"/>
      <c r="P12" s="1908"/>
      <c r="Q12" s="1908"/>
      <c r="R12" s="1908"/>
      <c r="S12" s="509"/>
      <c r="T12" s="509"/>
      <c r="U12" s="509"/>
      <c r="V12" s="509"/>
      <c r="IW12" s="1893">
        <v>21</v>
      </c>
    </row>
    <row s="14173" customFormat="1" customHeight="1" ht="14.699999999999998">
      <c r="A13" s="1915"/>
      <c r="B13" s="1650"/>
      <c r="C13" s="1915"/>
      <c r="D13" s="1917"/>
      <c r="E13" s="1915"/>
      <c r="F13" s="1915"/>
      <c r="G13" s="1915"/>
      <c r="H13" s="1915"/>
      <c r="I13" s="1915"/>
      <c r="J13" s="1915"/>
      <c r="K13" s="1915"/>
      <c r="L13" s="1915"/>
      <c r="M13" s="1908"/>
      <c r="N13" s="1908"/>
      <c r="O13" s="1908"/>
      <c r="P13" s="1908"/>
      <c r="Q13" s="1908"/>
      <c r="R13" s="1908"/>
      <c r="S13" s="509"/>
      <c r="T13" s="509"/>
      <c r="U13" s="509"/>
      <c r="V13" s="509"/>
      <c r="IW13" s="1893">
        <v>14</v>
      </c>
    </row>
    <row s="14173" customFormat="1" customHeight="1" ht="1.05">
      <c r="A14" s="1915"/>
      <c r="B14" s="1650"/>
      <c r="C14" s="1915"/>
      <c r="D14" s="1917"/>
      <c r="E14" s="1915"/>
      <c r="F14" s="1915"/>
      <c r="G14" s="1915"/>
      <c r="H14" s="1915"/>
      <c r="I14" s="1915"/>
      <c r="J14" s="1915"/>
      <c r="K14" s="1915"/>
      <c r="L14" s="1915"/>
      <c r="M14" s="1908"/>
      <c r="N14" s="1908"/>
      <c r="O14" s="1908"/>
      <c r="P14" s="1908"/>
      <c r="Q14" s="1908"/>
      <c r="R14" s="1908"/>
      <c r="S14" s="509"/>
      <c r="T14" s="509"/>
      <c r="U14" s="509"/>
      <c r="V14" s="509"/>
      <c r="IW14" s="1893">
        <v>1</v>
      </c>
    </row>
    <row customHeight="1" ht="22.5" hidden="1">
      <c r="A15" s="1915" t="s">
        <v>83</v>
      </c>
      <c r="B15" s="1650">
        <v>0</v>
      </c>
      <c r="C15" s="1915">
        <v>0</v>
      </c>
      <c r="D15" s="1917">
        <v>3</v>
      </c>
      <c r="E15" s="1915">
        <v>6</v>
      </c>
      <c r="F15" s="1915">
        <v>27</v>
      </c>
      <c r="G15" s="1915">
        <v>16</v>
      </c>
      <c r="H15" s="1915">
        <v>12</v>
      </c>
      <c r="I15" s="1915">
        <v>32</v>
      </c>
      <c r="J15" s="1915">
        <v>41</v>
      </c>
      <c r="K15" s="1915">
        <v>41</v>
      </c>
      <c r="L15" s="1915">
        <v>89</v>
      </c>
      <c r="M15" s="1908">
        <v>3</v>
      </c>
      <c r="N15" s="1908">
        <v>8</v>
      </c>
      <c r="O15" s="1908">
        <v>8</v>
      </c>
      <c r="P15" s="1908">
        <v>8</v>
      </c>
      <c r="Q15" s="1908">
        <v>25</v>
      </c>
      <c r="R15" s="1908">
        <v>14</v>
      </c>
      <c r="S15" s="509">
        <v>8</v>
      </c>
      <c r="T15" s="509">
        <v>8</v>
      </c>
      <c r="U15" s="509">
        <v>8</v>
      </c>
      <c r="V15" s="509">
        <v>8</v>
      </c>
      <c r="W15" s="1915">
        <v>8</v>
      </c>
      <c r="X15" s="1915">
        <v>8</v>
      </c>
      <c r="Y15" s="1915">
        <v>8</v>
      </c>
      <c r="Z15" s="1915">
        <v>8</v>
      </c>
      <c r="AA15" s="1915">
        <v>8</v>
      </c>
      <c r="AB15" s="1915">
        <v>8</v>
      </c>
      <c r="AC15" s="1915">
        <v>8</v>
      </c>
      <c r="AD15" s="1915">
        <v>8</v>
      </c>
      <c r="AE15" s="1915">
        <v>8</v>
      </c>
      <c r="AF15" s="1915">
        <v>8</v>
      </c>
      <c r="AG15" s="1915">
        <v>8</v>
      </c>
      <c r="AH15" s="1915">
        <v>8</v>
      </c>
      <c r="AI15" s="1915">
        <v>8</v>
      </c>
      <c r="AJ15" s="1915">
        <v>8</v>
      </c>
      <c r="AK15" s="1915">
        <v>8</v>
      </c>
      <c r="AL15" s="1915">
        <v>8</v>
      </c>
      <c r="AM15" s="1915">
        <v>8</v>
      </c>
      <c r="AN15" s="1915">
        <v>8</v>
      </c>
      <c r="AO15" s="1915">
        <v>8</v>
      </c>
      <c r="AP15" s="1915">
        <v>8</v>
      </c>
      <c r="AQ15" s="1915">
        <v>8</v>
      </c>
      <c r="AR15" s="1915">
        <v>8</v>
      </c>
      <c r="AS15" s="1915">
        <v>8</v>
      </c>
      <c r="AT15" s="1915">
        <v>8</v>
      </c>
      <c r="AU15" s="1915">
        <v>8</v>
      </c>
      <c r="AV15" s="1915">
        <v>8</v>
      </c>
      <c r="AW15" s="1915">
        <v>8</v>
      </c>
      <c r="AX15" s="1915">
        <v>8</v>
      </c>
      <c r="AY15" s="1915">
        <v>8</v>
      </c>
      <c r="AZ15" s="1915">
        <v>8</v>
      </c>
      <c r="BA15" s="1915">
        <v>8</v>
      </c>
      <c r="BB15" s="1915">
        <v>8</v>
      </c>
      <c r="BC15" s="1915">
        <v>8</v>
      </c>
      <c r="BD15" s="1915">
        <v>8</v>
      </c>
      <c r="BE15" s="1915">
        <v>8</v>
      </c>
      <c r="BF15" s="1915">
        <v>8</v>
      </c>
      <c r="BG15" s="1915">
        <v>8</v>
      </c>
      <c r="BH15" s="1915">
        <v>8</v>
      </c>
      <c r="BI15" s="1915">
        <v>8</v>
      </c>
      <c r="BJ15" s="1915">
        <v>8</v>
      </c>
      <c r="BK15" s="1915">
        <v>8</v>
      </c>
      <c r="BL15" s="1915">
        <v>8</v>
      </c>
      <c r="BM15" s="1915">
        <v>8</v>
      </c>
      <c r="BN15" s="1915">
        <v>8</v>
      </c>
      <c r="BO15" s="1915">
        <v>8</v>
      </c>
      <c r="BP15" s="1915">
        <v>8</v>
      </c>
      <c r="BQ15" s="1915">
        <v>8</v>
      </c>
      <c r="BR15" s="1915">
        <v>8</v>
      </c>
      <c r="BS15" s="1915">
        <v>8</v>
      </c>
      <c r="BT15" s="1915">
        <v>8</v>
      </c>
      <c r="BU15" s="1915">
        <v>8</v>
      </c>
      <c r="BV15" s="1915">
        <v>8</v>
      </c>
      <c r="BW15" s="1915">
        <v>8</v>
      </c>
      <c r="BX15" s="1915">
        <v>8</v>
      </c>
      <c r="BY15" s="1915">
        <v>8</v>
      </c>
      <c r="BZ15" s="1915">
        <v>8</v>
      </c>
      <c r="CA15" s="1915">
        <v>8</v>
      </c>
      <c r="CB15" s="1915">
        <v>8</v>
      </c>
      <c r="CC15" s="1915">
        <v>8</v>
      </c>
      <c r="CD15" s="1915">
        <v>8</v>
      </c>
      <c r="CE15" s="1915">
        <v>8</v>
      </c>
      <c r="CF15" s="1915">
        <v>8</v>
      </c>
      <c r="CG15" s="1915">
        <v>8</v>
      </c>
      <c r="CH15" s="1915">
        <v>8</v>
      </c>
      <c r="CI15" s="1915">
        <v>8</v>
      </c>
      <c r="CJ15" s="1915">
        <v>8</v>
      </c>
      <c r="CK15" s="1915">
        <v>8</v>
      </c>
      <c r="CL15" s="1915">
        <v>8</v>
      </c>
      <c r="CM15" s="1915">
        <v>8</v>
      </c>
      <c r="CN15" s="1915">
        <v>8</v>
      </c>
      <c r="CO15" s="1915">
        <v>8</v>
      </c>
      <c r="CP15" s="1915">
        <v>8</v>
      </c>
      <c r="CQ15" s="1915">
        <v>8</v>
      </c>
      <c r="CR15" s="1915">
        <v>8</v>
      </c>
      <c r="CS15" s="1915">
        <v>8</v>
      </c>
      <c r="CT15" s="1915">
        <v>8</v>
      </c>
      <c r="CU15" s="1915">
        <v>8</v>
      </c>
      <c r="CV15" s="1915">
        <v>8</v>
      </c>
      <c r="CW15" s="1915">
        <v>8</v>
      </c>
      <c r="CX15" s="1915">
        <v>8</v>
      </c>
      <c r="CY15" s="1915">
        <v>8</v>
      </c>
      <c r="CZ15" s="1915">
        <v>8</v>
      </c>
      <c r="DA15" s="1915">
        <v>8</v>
      </c>
      <c r="DB15" s="1915">
        <v>8</v>
      </c>
      <c r="DC15" s="1915">
        <v>8</v>
      </c>
      <c r="DD15" s="1915">
        <v>8</v>
      </c>
      <c r="DE15" s="1915">
        <v>8</v>
      </c>
      <c r="DF15" s="1915">
        <v>8</v>
      </c>
      <c r="DG15" s="1915">
        <v>8</v>
      </c>
      <c r="DH15" s="1915">
        <v>8</v>
      </c>
      <c r="DI15" s="1915">
        <v>8</v>
      </c>
      <c r="DJ15" s="1915">
        <v>8</v>
      </c>
      <c r="DK15" s="1915">
        <v>8</v>
      </c>
      <c r="DL15" s="1915">
        <v>8</v>
      </c>
      <c r="DM15" s="1915">
        <v>8</v>
      </c>
      <c r="DN15" s="1915">
        <v>8</v>
      </c>
      <c r="DO15" s="1915">
        <v>8</v>
      </c>
      <c r="DP15" s="1915">
        <v>8</v>
      </c>
      <c r="DQ15" s="1915">
        <v>8</v>
      </c>
      <c r="DR15" s="1915">
        <v>8</v>
      </c>
      <c r="DS15" s="1915">
        <v>8</v>
      </c>
      <c r="DT15" s="1915">
        <v>8</v>
      </c>
      <c r="DU15" s="1915">
        <v>8</v>
      </c>
      <c r="DV15" s="1915">
        <v>8</v>
      </c>
      <c r="DW15" s="1915">
        <v>8</v>
      </c>
      <c r="DX15" s="1915">
        <v>8</v>
      </c>
      <c r="DY15" s="1915">
        <v>8</v>
      </c>
      <c r="DZ15" s="1915">
        <v>8</v>
      </c>
      <c r="EA15" s="1915">
        <v>8</v>
      </c>
      <c r="EB15" s="1915">
        <v>8</v>
      </c>
      <c r="EC15" s="1915">
        <v>8</v>
      </c>
      <c r="ED15" s="1915">
        <v>8</v>
      </c>
      <c r="EE15" s="1915">
        <v>8</v>
      </c>
      <c r="EF15" s="1915">
        <v>8</v>
      </c>
      <c r="EG15" s="1915">
        <v>8</v>
      </c>
      <c r="EH15" s="1915">
        <v>8</v>
      </c>
      <c r="EI15" s="1915">
        <v>8</v>
      </c>
      <c r="EJ15" s="1915">
        <v>8</v>
      </c>
      <c r="EK15" s="1915">
        <v>8</v>
      </c>
      <c r="EL15" s="1915">
        <v>8</v>
      </c>
      <c r="EM15" s="1915">
        <v>8</v>
      </c>
      <c r="EN15" s="1915">
        <v>8</v>
      </c>
      <c r="EO15" s="1915">
        <v>8</v>
      </c>
      <c r="EP15" s="1915">
        <v>8</v>
      </c>
      <c r="EQ15" s="1915">
        <v>8</v>
      </c>
      <c r="ER15" s="1915">
        <v>8</v>
      </c>
      <c r="ES15" s="1915">
        <v>8</v>
      </c>
      <c r="ET15" s="1915">
        <v>8</v>
      </c>
      <c r="EU15" s="1915">
        <v>8</v>
      </c>
      <c r="EV15" s="1915">
        <v>8</v>
      </c>
      <c r="EW15" s="1915">
        <v>8</v>
      </c>
      <c r="EX15" s="1915">
        <v>8</v>
      </c>
      <c r="EY15" s="1915">
        <v>8</v>
      </c>
      <c r="EZ15" s="1915">
        <v>8</v>
      </c>
      <c r="FA15" s="1915">
        <v>8</v>
      </c>
      <c r="FB15" s="1915">
        <v>8</v>
      </c>
      <c r="FC15" s="1915">
        <v>8</v>
      </c>
      <c r="FD15" s="1915">
        <v>8</v>
      </c>
      <c r="FE15" s="1915">
        <v>8</v>
      </c>
      <c r="FF15" s="1915">
        <v>8</v>
      </c>
      <c r="FG15" s="1915">
        <v>8</v>
      </c>
      <c r="FH15" s="1915">
        <v>8</v>
      </c>
      <c r="FI15" s="1915">
        <v>8</v>
      </c>
      <c r="FJ15" s="1915">
        <v>8</v>
      </c>
      <c r="FK15" s="1915">
        <v>8</v>
      </c>
      <c r="FL15" s="1915">
        <v>8</v>
      </c>
      <c r="FM15" s="1915">
        <v>8</v>
      </c>
      <c r="FN15" s="1915">
        <v>8</v>
      </c>
      <c r="FO15" s="1915">
        <v>8</v>
      </c>
      <c r="FP15" s="1915">
        <v>8</v>
      </c>
      <c r="FQ15" s="1915">
        <v>8</v>
      </c>
      <c r="FR15" s="1915">
        <v>8</v>
      </c>
      <c r="FS15" s="1915">
        <v>8</v>
      </c>
      <c r="FT15" s="1915">
        <v>8</v>
      </c>
      <c r="FU15" s="1915">
        <v>8</v>
      </c>
      <c r="FV15" s="1915">
        <v>8</v>
      </c>
      <c r="FW15" s="1915">
        <v>8</v>
      </c>
      <c r="FX15" s="1915">
        <v>8</v>
      </c>
      <c r="FY15" s="1915">
        <v>8</v>
      </c>
      <c r="FZ15" s="1915">
        <v>8</v>
      </c>
      <c r="GA15" s="1915">
        <v>8</v>
      </c>
      <c r="GB15" s="1915">
        <v>8</v>
      </c>
      <c r="GC15" s="1915">
        <v>8</v>
      </c>
      <c r="GD15" s="1915">
        <v>8</v>
      </c>
      <c r="GE15" s="1915">
        <v>8</v>
      </c>
      <c r="GF15" s="1915">
        <v>8</v>
      </c>
      <c r="GG15" s="1915">
        <v>8</v>
      </c>
      <c r="GH15" s="1915">
        <v>8</v>
      </c>
      <c r="GI15" s="1915">
        <v>8</v>
      </c>
      <c r="GJ15" s="1915">
        <v>8</v>
      </c>
      <c r="GK15" s="1915">
        <v>8</v>
      </c>
      <c r="GL15" s="1915">
        <v>8</v>
      </c>
      <c r="GM15" s="1915">
        <v>8</v>
      </c>
      <c r="GN15" s="1915">
        <v>8</v>
      </c>
      <c r="GO15" s="1915">
        <v>8</v>
      </c>
      <c r="GP15" s="1915">
        <v>8</v>
      </c>
      <c r="GQ15" s="1915">
        <v>8</v>
      </c>
      <c r="GR15" s="1915">
        <v>8</v>
      </c>
      <c r="GS15" s="1915">
        <v>8</v>
      </c>
      <c r="GT15" s="1915">
        <v>8</v>
      </c>
      <c r="GU15" s="1915">
        <v>8</v>
      </c>
      <c r="GV15" s="1915">
        <v>8</v>
      </c>
      <c r="GW15" s="1915">
        <v>8</v>
      </c>
      <c r="GX15" s="1915">
        <v>8</v>
      </c>
      <c r="GY15" s="1915">
        <v>8</v>
      </c>
      <c r="GZ15" s="1915">
        <v>8</v>
      </c>
      <c r="HA15" s="1915">
        <v>8</v>
      </c>
      <c r="HB15" s="1915">
        <v>8</v>
      </c>
      <c r="HC15" s="1915">
        <v>8</v>
      </c>
      <c r="HD15" s="1915">
        <v>8</v>
      </c>
      <c r="HE15" s="1915">
        <v>8</v>
      </c>
      <c r="HF15" s="1915">
        <v>8</v>
      </c>
      <c r="HG15" s="1915">
        <v>8</v>
      </c>
      <c r="HH15" s="1915">
        <v>8</v>
      </c>
      <c r="HI15" s="1915">
        <v>8</v>
      </c>
      <c r="HJ15" s="1915">
        <v>8</v>
      </c>
      <c r="HK15" s="1915">
        <v>8</v>
      </c>
      <c r="HL15" s="1915">
        <v>8</v>
      </c>
      <c r="HM15" s="1915">
        <v>8</v>
      </c>
      <c r="HN15" s="1915">
        <v>8</v>
      </c>
      <c r="HO15" s="1915">
        <v>8</v>
      </c>
      <c r="HP15" s="1915">
        <v>8</v>
      </c>
      <c r="HQ15" s="1915">
        <v>8</v>
      </c>
      <c r="HR15" s="1915">
        <v>8</v>
      </c>
      <c r="HS15" s="1915">
        <v>8</v>
      </c>
      <c r="HT15" s="1915">
        <v>8</v>
      </c>
      <c r="HU15" s="1915">
        <v>8</v>
      </c>
      <c r="HV15" s="1915">
        <v>8</v>
      </c>
      <c r="HW15" s="1915">
        <v>8</v>
      </c>
      <c r="HX15" s="1915">
        <v>8</v>
      </c>
      <c r="HY15" s="1915">
        <v>8</v>
      </c>
      <c r="HZ15" s="1915">
        <v>8</v>
      </c>
      <c r="IA15" s="1915">
        <v>8</v>
      </c>
      <c r="IB15" s="1915">
        <v>8</v>
      </c>
      <c r="IC15" s="1915">
        <v>8</v>
      </c>
      <c r="ID15" s="1915">
        <v>8</v>
      </c>
      <c r="IE15" s="1915">
        <v>8</v>
      </c>
      <c r="IF15" s="1915">
        <v>8</v>
      </c>
      <c r="IG15" s="1915">
        <v>8</v>
      </c>
      <c r="IH15" s="1915">
        <v>8</v>
      </c>
      <c r="II15" s="1915">
        <v>8</v>
      </c>
      <c r="IJ15" s="1915">
        <v>8</v>
      </c>
      <c r="IK15" s="1915">
        <v>8</v>
      </c>
      <c r="IL15" s="1915">
        <v>8</v>
      </c>
      <c r="IM15" s="1915">
        <v>8</v>
      </c>
      <c r="IN15" s="1915">
        <v>8</v>
      </c>
      <c r="IO15" s="1915">
        <v>8</v>
      </c>
      <c r="IP15" s="1915">
        <v>8</v>
      </c>
      <c r="IQ15" s="1915">
        <v>8</v>
      </c>
      <c r="IR15" s="1915">
        <v>8</v>
      </c>
      <c r="IS15" s="1915">
        <v>8</v>
      </c>
      <c r="IT15" s="1915">
        <v>8</v>
      </c>
      <c r="IU15" s="1915">
        <v>8</v>
      </c>
      <c r="IV15" s="1915">
        <v>8</v>
      </c>
      <c r="IW15" s="1915">
        <v>23</v>
      </c>
    </row>
  </sheetData>
  <sheetProtection sort="0" autoFilter="0" insertRows="0" insertColumns="1" deleteRows="0" deleteColumns="0"/>
  <mergeCells count="10">
    <mergeCell ref="A10:A11"/>
    <mergeCell ref="L10:L11"/>
    <mergeCell ref="E5:K5"/>
    <mergeCell ref="E7:K7"/>
    <mergeCell ref="L7:L9"/>
    <mergeCell ref="E8:E9"/>
    <mergeCell ref="F8:F9"/>
    <mergeCell ref="G8:I8"/>
    <mergeCell ref="J8:J9"/>
    <mergeCell ref="K8:K9"/>
  </mergeCells>
  <dataValidations count="5">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allowBlank="1" showInputMessage="1" showErrorMessage="1" sqref="H3:I3">
      <formula1>13</formula1>
      <formula2>15</formula2>
    </dataValidation>
    <dataValidation type="textLength" operator="lessThanOrEqual" allowBlank="1" showInputMessage="1" showErrorMessage="1" sqref="I2">
      <formula1>990</formula1>
    </dataValidation>
    <dataValidation type="time" allowBlank="1" showInputMessage="1" showErrorMessage="1" prompt="Укажите время в формате ЧЧ:ММ" sqref="H2">
      <formula1>0</formula1>
      <formula2>0.9993055555555556</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5F1A568-27D5-6CDB-7EA2-5DE510D8CA38}" mc:Ignorable="x14ac xr xr2 xr3">
  <dimension ref="A1:Q19"/>
  <sheetViews>
    <sheetView topLeftCell="A1" showGridLines="0" zoomScale="90" workbookViewId="0">
      <selection activeCell="A1" sqref="A1"/>
    </sheetView>
  </sheetViews>
  <sheetFormatPr defaultColWidth="9.140625" customHeight="1" defaultRowHeight="14.25"/>
  <cols>
    <col min="1" max="1" style="14077" width="9.140625" hidden="1"/>
    <col min="2" max="2" style="14157" width="9.140625" hidden="1"/>
    <col min="3" max="3" style="14077" width="3.7109375" hidden="1" customWidth="1"/>
    <col min="4" max="4" style="14246" width="3.00390625" customWidth="1"/>
    <col min="5" max="5" style="14077" width="6.00390625" customWidth="1"/>
    <col min="6" max="6" style="14077" width="27.00390625" customWidth="1"/>
    <col min="7" max="7" style="14077" width="29.00390625" customWidth="1"/>
    <col min="8" max="8" style="14077" width="25.00390625" customWidth="1"/>
    <col min="9" max="9" style="14077" width="5.00390625" customWidth="1"/>
    <col min="10" max="10" style="14077" width="6.00390625" customWidth="1"/>
    <col min="11" max="11" style="14077" width="41.00390625" customWidth="1"/>
    <col min="12" max="12" style="14077" width="42.00390625" customWidth="1"/>
    <col min="13" max="13" style="14077" width="41.00390625" customWidth="1"/>
    <col min="14" max="14" style="14077" width="89.00390625" customWidth="1"/>
    <col min="15" max="15" style="14247" width="3.00390625" customWidth="1"/>
    <col min="16" max="16" style="14247" width="8.00390625" customWidth="1"/>
    <col min="17" max="17" style="14077" width="9.140625" hidden="1"/>
  </cols>
  <sheetData>
    <row customHeight="1" ht="22.5" hidden="1">
      <c r="Q1" s="1439" t="s">
        <v>14</v>
      </c>
    </row>
    <row s="14218" customFormat="1" customHeight="1" ht="22.5" hidden="1">
      <c r="A2" s="780"/>
      <c r="B2" s="1444">
        <v>1</v>
      </c>
      <c r="C2" s="1444"/>
      <c r="D2" s="2212" t="s">
        <v>454</v>
      </c>
      <c r="E2" s="2411">
        <v>1</v>
      </c>
      <c r="F2" s="2587" t="str">
        <f>IF(region_name="","",region_name)</f>
        <v>Ростовская область</v>
      </c>
      <c r="G2" s="2767"/>
      <c r="H2" s="2768"/>
      <c r="I2" s="758"/>
      <c r="J2" s="2194">
        <v>1</v>
      </c>
      <c r="K2" s="2196"/>
      <c r="L2" s="2196"/>
      <c r="M2" s="2196"/>
      <c r="N2" s="776"/>
      <c r="O2" s="1819"/>
      <c r="P2" s="795"/>
      <c r="Q2" s="707">
        <v>0</v>
      </c>
    </row>
    <row s="14218" customFormat="1" customHeight="1" ht="22.5" hidden="1">
      <c r="A3" s="1115"/>
      <c r="B3" s="1444"/>
      <c r="C3" s="1444"/>
      <c r="D3" s="1085"/>
      <c r="E3" s="2411"/>
      <c r="F3" s="2587"/>
      <c r="G3" s="2767"/>
      <c r="H3" s="2769"/>
      <c r="I3" s="705"/>
      <c r="J3" s="1784"/>
      <c r="K3" s="1784" t="s">
        <v>1890</v>
      </c>
      <c r="L3" s="1827"/>
      <c r="M3" s="2204"/>
      <c r="N3" s="2197"/>
      <c r="O3" s="1819"/>
      <c r="P3" s="795"/>
      <c r="Q3" s="707">
        <v>0</v>
      </c>
    </row>
    <row s="14158" customFormat="1" customHeight="1" ht="5.25" hidden="1">
      <c r="A4" s="780"/>
      <c r="D4" s="778"/>
      <c r="F4" s="531" t="s">
        <v>84</v>
      </c>
      <c r="G4" s="778" t="s">
        <v>85</v>
      </c>
      <c r="H4" s="778"/>
      <c r="I4" s="2207"/>
      <c r="J4" s="1828"/>
      <c r="K4" s="2195"/>
      <c r="L4" s="2195"/>
      <c r="M4" s="2195"/>
      <c r="N4" s="2191"/>
      <c r="O4" s="531" t="s">
        <v>84</v>
      </c>
      <c r="P4" s="531"/>
      <c r="Q4" s="795">
        <v>0</v>
      </c>
    </row>
    <row s="14218" customFormat="1" customHeight="1" ht="22.5" hidden="1">
      <c r="A5" s="1925"/>
      <c r="B5" s="1650">
        <v>1</v>
      </c>
      <c r="C5" s="1650"/>
      <c r="D5" s="1085"/>
      <c r="E5" s="2197"/>
      <c r="F5" s="2197"/>
      <c r="G5" s="2197"/>
      <c r="H5" s="2208"/>
      <c r="I5" s="2213" t="s">
        <v>454</v>
      </c>
      <c r="J5" s="2206">
        <v>1</v>
      </c>
      <c r="K5" s="2196"/>
      <c r="L5" s="2196"/>
      <c r="M5" s="2196"/>
      <c r="N5" s="776"/>
      <c r="O5" s="1819"/>
      <c r="P5" s="1920"/>
      <c r="Q5" s="908">
        <v>0</v>
      </c>
    </row>
    <row s="14173" customFormat="1" customHeight="1" ht="14.699999999999998">
      <c r="A6" s="1439"/>
      <c r="B6" s="1444"/>
      <c r="C6" s="1439"/>
      <c r="D6" s="1779"/>
      <c r="E6" s="793"/>
      <c r="F6" s="793"/>
      <c r="G6" s="793"/>
      <c r="H6" s="793"/>
      <c r="I6" s="793"/>
      <c r="J6" s="793"/>
      <c r="K6" s="793"/>
      <c r="L6" s="793"/>
      <c r="M6" s="793"/>
      <c r="N6" s="1919"/>
      <c r="O6" s="531"/>
      <c r="P6" s="784"/>
      <c r="Q6" s="791">
        <v>14</v>
      </c>
    </row>
    <row s="14173" customFormat="1" customHeight="1" ht="27.299999999999997">
      <c r="A7" s="1439"/>
      <c r="B7" s="1444"/>
      <c r="C7" s="1439"/>
      <c r="D7" s="1779"/>
      <c r="E7" s="2774"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5.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774"/>
      <c r="G7" s="2774"/>
      <c r="H7" s="2774"/>
      <c r="I7" s="2774"/>
      <c r="J7" s="2774"/>
      <c r="K7" s="2774"/>
      <c r="L7" s="2774"/>
      <c r="M7" s="2774"/>
      <c r="N7" s="1536"/>
      <c r="O7" s="531"/>
      <c r="P7" s="784"/>
      <c r="Q7" s="791">
        <v>26</v>
      </c>
    </row>
    <row s="14173" customFormat="1" customHeight="1" ht="14.699999999999998">
      <c r="A8" s="1439"/>
      <c r="B8" s="1444"/>
      <c r="C8" s="1439"/>
      <c r="D8" s="1779"/>
      <c r="E8" s="793"/>
      <c r="F8" s="451"/>
      <c r="G8" s="451"/>
      <c r="H8" s="451"/>
      <c r="I8" s="451"/>
      <c r="J8" s="451"/>
      <c r="K8" s="451"/>
      <c r="L8" s="451"/>
      <c r="M8" s="451"/>
      <c r="N8" s="900"/>
      <c r="O8" s="784"/>
      <c r="P8" s="784"/>
      <c r="Q8" s="791">
        <v>14</v>
      </c>
    </row>
    <row s="16262" customFormat="1" customHeight="1" ht="14.25" hidden="1">
      <c r="A9" s="1752"/>
      <c r="B9" s="1762"/>
      <c r="C9" s="1752"/>
      <c r="D9" s="1779"/>
      <c r="E9" s="2198"/>
      <c r="F9" s="2198"/>
      <c r="G9" s="2198"/>
      <c r="H9" s="2198"/>
      <c r="I9" s="2777"/>
      <c r="J9" s="2777"/>
      <c r="K9" s="2777"/>
      <c r="L9" s="2198"/>
      <c r="M9" s="2199"/>
      <c r="O9" s="1829"/>
      <c r="P9" s="1829"/>
      <c r="Q9" s="1830">
        <v>0</v>
      </c>
    </row>
    <row s="14173" customFormat="1" customHeight="1" ht="14.699999999999998">
      <c r="A10" s="1439"/>
      <c r="B10" s="1444"/>
      <c r="C10" s="1439"/>
      <c r="D10" s="1779"/>
      <c r="E10" s="2411" t="s">
        <v>305</v>
      </c>
      <c r="F10" s="2411"/>
      <c r="G10" s="2411"/>
      <c r="H10" s="2411"/>
      <c r="I10" s="2411"/>
      <c r="J10" s="2411"/>
      <c r="K10" s="2411"/>
      <c r="L10" s="2411"/>
      <c r="M10" s="2385"/>
      <c r="N10" s="2762" t="s">
        <v>306</v>
      </c>
      <c r="O10" s="784"/>
      <c r="P10" s="784"/>
      <c r="Q10" s="791">
        <v>14</v>
      </c>
    </row>
    <row s="14173" customFormat="1" customHeight="1" ht="44.25">
      <c r="A11" s="1915"/>
      <c r="B11" s="1650"/>
      <c r="C11" s="1915"/>
      <c r="D11" s="1799"/>
      <c r="E11" s="2776" t="s">
        <v>89</v>
      </c>
      <c r="F11" s="2776" t="s">
        <v>309</v>
      </c>
      <c r="G11" s="2776" t="s">
        <v>1891</v>
      </c>
      <c r="H11" s="2776"/>
      <c r="I11" s="2776" t="s">
        <v>1892</v>
      </c>
      <c r="J11" s="2776"/>
      <c r="K11" s="2776"/>
      <c r="L11" s="2776" t="s">
        <v>1893</v>
      </c>
      <c r="M11" s="2764" t="s">
        <v>1894</v>
      </c>
      <c r="N11" s="2775"/>
      <c r="O11" s="1908"/>
      <c r="P11" s="1908"/>
      <c r="Q11" s="1893">
        <v>42</v>
      </c>
    </row>
    <row s="14173" customFormat="1" customHeight="1" ht="29.25">
      <c r="A12" s="1439"/>
      <c r="B12" s="1444"/>
      <c r="C12" s="1439"/>
      <c r="D12" s="1779"/>
      <c r="E12" s="2762"/>
      <c r="F12" s="2776"/>
      <c r="G12" s="2193" t="s">
        <v>1895</v>
      </c>
      <c r="H12" s="2193" t="s">
        <v>313</v>
      </c>
      <c r="I12" s="2776"/>
      <c r="J12" s="2776"/>
      <c r="K12" s="2776"/>
      <c r="L12" s="2776"/>
      <c r="M12" s="2764"/>
      <c r="N12" s="2763"/>
      <c r="O12" s="784"/>
      <c r="P12" s="784"/>
      <c r="Q12" s="791">
        <v>28</v>
      </c>
    </row>
    <row s="14218" customFormat="1" customHeight="1" ht="23.25">
      <c r="A13" s="2383">
        <v>26379339</v>
      </c>
      <c r="B13" s="1444">
        <v>1</v>
      </c>
      <c r="C13" s="1444"/>
      <c r="D13" s="1085"/>
      <c r="E13" s="2411">
        <v>1</v>
      </c>
      <c r="F13" s="2770" t="str">
        <f>IF(region_name="","",region_name)</f>
        <v>Ростовская область</v>
      </c>
      <c r="G13" s="2771"/>
      <c r="H13" s="2778"/>
      <c r="I13" s="758"/>
      <c r="J13" s="2189">
        <v>1</v>
      </c>
      <c r="K13" s="2202"/>
      <c r="L13" s="2203"/>
      <c r="M13" s="2203"/>
      <c r="N13" s="2772" t="s">
        <v>1896</v>
      </c>
      <c r="O13" s="1819"/>
      <c r="P13" s="795"/>
      <c r="Q13" s="707">
        <v>22</v>
      </c>
    </row>
    <row s="14218" customFormat="1" customHeight="1" ht="23.25">
      <c r="A14" s="2383"/>
      <c r="B14" s="1444"/>
      <c r="C14" s="1444"/>
      <c r="D14" s="1085"/>
      <c r="E14" s="2411"/>
      <c r="F14" s="2770"/>
      <c r="G14" s="2771"/>
      <c r="H14" s="2779"/>
      <c r="I14" s="705"/>
      <c r="J14" s="1784"/>
      <c r="K14" s="1784" t="s">
        <v>1890</v>
      </c>
      <c r="L14" s="1827"/>
      <c r="M14" s="1827"/>
      <c r="N14" s="2773"/>
      <c r="O14" s="1819"/>
      <c r="P14" s="795"/>
      <c r="Q14" s="707">
        <v>22</v>
      </c>
    </row>
    <row s="14218" customFormat="1" customHeight="1" ht="23.25">
      <c r="A15" s="2383"/>
      <c r="B15" s="1444"/>
      <c r="C15" s="696"/>
      <c r="D15" s="1085"/>
      <c r="E15" s="705"/>
      <c r="F15" s="1784" t="s">
        <v>1882</v>
      </c>
      <c r="G15" s="1826"/>
      <c r="H15" s="1826"/>
      <c r="I15" s="471"/>
      <c r="J15" s="471"/>
      <c r="K15" s="471"/>
      <c r="L15" s="471"/>
      <c r="M15" s="471"/>
      <c r="N15" s="2773"/>
      <c r="O15" s="1820"/>
      <c r="P15" s="795"/>
      <c r="Q15" s="707">
        <v>22</v>
      </c>
    </row>
    <row s="14173" customFormat="1" customHeight="1" ht="22.049999999999997">
      <c r="A16" s="1439"/>
      <c r="B16" s="1444"/>
      <c r="C16" s="1439"/>
      <c r="D16" s="735"/>
      <c r="E16" s="464"/>
      <c r="F16" s="464"/>
      <c r="G16" s="464"/>
      <c r="H16" s="464"/>
      <c r="I16" s="464"/>
      <c r="J16" s="464"/>
      <c r="K16" s="464"/>
      <c r="L16" s="464"/>
      <c r="M16" s="793"/>
      <c r="N16" s="1919"/>
      <c r="O16" s="784"/>
      <c r="P16" s="784"/>
      <c r="Q16" s="791">
        <v>21</v>
      </c>
    </row>
    <row s="14173" customFormat="1" customHeight="1" ht="14.699999999999998">
      <c r="A17" s="1439"/>
      <c r="B17" s="1444"/>
      <c r="C17" s="1439"/>
      <c r="D17" s="735"/>
      <c r="E17" s="1439"/>
      <c r="F17" s="1439"/>
      <c r="G17" s="1439"/>
      <c r="H17" s="1439"/>
      <c r="I17" s="1439"/>
      <c r="J17" s="1439"/>
      <c r="K17" s="1439"/>
      <c r="L17" s="1439"/>
      <c r="M17" s="1439"/>
      <c r="N17" s="1915"/>
      <c r="O17" s="784"/>
      <c r="P17" s="784"/>
      <c r="Q17" s="791">
        <v>14</v>
      </c>
    </row>
    <row s="14173" customFormat="1" customHeight="1" ht="1.05">
      <c r="A18" s="1439"/>
      <c r="B18" s="1444"/>
      <c r="C18" s="1439"/>
      <c r="D18" s="735"/>
      <c r="E18" s="1439"/>
      <c r="F18" s="1439"/>
      <c r="G18" s="1439"/>
      <c r="H18" s="1439"/>
      <c r="I18" s="1439"/>
      <c r="J18" s="1439"/>
      <c r="K18" s="1439"/>
      <c r="L18" s="1439"/>
      <c r="M18" s="1439"/>
      <c r="N18" s="1915"/>
      <c r="O18" s="784"/>
      <c r="P18" s="784"/>
      <c r="Q18" s="791">
        <v>1</v>
      </c>
    </row>
    <row customHeight="1" ht="22.5" hidden="1">
      <c r="A19" s="1439" t="s">
        <v>83</v>
      </c>
      <c r="B19" s="1444">
        <v>0</v>
      </c>
      <c r="C19" s="1439">
        <v>0</v>
      </c>
      <c r="D19" s="735">
        <v>3</v>
      </c>
      <c r="E19" s="1439">
        <v>6</v>
      </c>
      <c r="F19" s="1439">
        <v>27</v>
      </c>
      <c r="G19" s="1439">
        <v>29</v>
      </c>
      <c r="H19" s="1439">
        <v>25</v>
      </c>
      <c r="I19" s="1439">
        <v>5</v>
      </c>
      <c r="J19" s="1439">
        <v>6</v>
      </c>
      <c r="K19" s="1439">
        <v>41</v>
      </c>
      <c r="L19" s="1439">
        <v>42</v>
      </c>
      <c r="M19" s="1439">
        <v>41</v>
      </c>
      <c r="N19" s="1915">
        <v>89</v>
      </c>
      <c r="O19" s="784">
        <v>3</v>
      </c>
      <c r="P19" s="784">
        <v>8</v>
      </c>
      <c r="Q19" s="1439">
        <v>23</v>
      </c>
    </row>
  </sheetData>
  <sheetProtection formatColumns="0" formatRows="0" autoFilter="0" sort="0" insertRows="0" insertColumns="1" deleteRows="0" deleteColumns="0"/>
  <mergeCells count="20">
    <mergeCell ref="N13:N15"/>
    <mergeCell ref="E10:M10"/>
    <mergeCell ref="E7:M7"/>
    <mergeCell ref="N10:N12"/>
    <mergeCell ref="I11:K12"/>
    <mergeCell ref="L11:L12"/>
    <mergeCell ref="M11:M12"/>
    <mergeCell ref="E11:E12"/>
    <mergeCell ref="F11:F12"/>
    <mergeCell ref="I9:K9"/>
    <mergeCell ref="H13:H14"/>
    <mergeCell ref="G11:H11"/>
    <mergeCell ref="E2:E3"/>
    <mergeCell ref="F2:F3"/>
    <mergeCell ref="G2:G3"/>
    <mergeCell ref="H2:H3"/>
    <mergeCell ref="A13:A15"/>
    <mergeCell ref="F13:F14"/>
    <mergeCell ref="G13:G14"/>
    <mergeCell ref="E13:E14"/>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297BF58-678B-6BD8-F708-0A94B8FF73F1}" mc:Ignorable="x14ac xr xr2 xr3">
  <sheetPr>
    <tabColor rgb="FFEAEBEE"/>
    <pageSetUpPr fitToPage="1"/>
  </sheetPr>
  <dimension ref="A1:M16"/>
  <sheetViews>
    <sheetView topLeftCell="A1" showGridLines="0" zoomScale="90" workbookViewId="0">
      <selection activeCell="A1" sqref="A1"/>
    </sheetView>
  </sheetViews>
  <sheetFormatPr defaultColWidth="9.140625" customHeight="1" defaultRowHeight="14.25"/>
  <cols>
    <col min="1" max="1" style="14596" width="9.140625" hidden="1"/>
    <col min="2" max="2" style="16016" width="9.140625" hidden="1"/>
    <col min="3" max="3" style="16302" width="3.00390625" customWidth="1"/>
    <col min="4" max="4" style="16016" width="6.00390625" customWidth="1"/>
    <col min="5" max="5" style="16016" width="22.00390625" customWidth="1"/>
    <col min="6" max="6" style="16016" width="15.00390625" customWidth="1"/>
    <col min="7" max="7" style="16016" width="14.00390625" customWidth="1"/>
    <col min="8" max="8" style="16016" width="47.00390625" customWidth="1"/>
    <col min="9" max="9" style="16016" width="115.00390625" customWidth="1"/>
    <col min="10" max="10" style="16016" width="3.00390625" customWidth="1"/>
    <col min="11" max="12" style="16016" width="8.00390625" customWidth="1"/>
    <col min="13" max="13" style="16016" width="9.140625" hidden="1"/>
  </cols>
  <sheetData>
    <row customHeight="1" ht="14.25" hidden="1">
      <c r="M1" s="405" t="s">
        <v>14</v>
      </c>
    </row>
    <row customHeight="1" ht="14.25" hidden="1">
      <c r="M2" s="405">
        <v>0</v>
      </c>
    </row>
    <row customHeight="1" ht="14.25" hidden="1">
      <c r="M3" s="405">
        <v>0</v>
      </c>
    </row>
    <row customHeight="1" ht="3">
      <c r="M4" s="405">
        <v>3</v>
      </c>
    </row>
    <row s="14077" customFormat="1" customHeight="1" ht="31.5">
      <c r="A5" s="399"/>
      <c r="C5" s="374"/>
      <c r="D5" s="2384" t="s">
        <v>1897</v>
      </c>
      <c r="E5" s="2384"/>
      <c r="F5" s="2384"/>
      <c r="G5" s="2384"/>
      <c r="H5" s="2384"/>
      <c r="I5" s="549"/>
      <c r="M5" s="367">
        <v>30</v>
      </c>
    </row>
    <row customHeight="1" ht="3" hidden="1">
      <c r="D6" s="406"/>
      <c r="E6" s="406"/>
      <c r="F6" s="406"/>
      <c r="G6" s="406"/>
      <c r="H6" s="406"/>
      <c r="I6" s="406"/>
      <c r="M6" s="405">
        <v>0</v>
      </c>
    </row>
    <row s="14596" customFormat="1" customHeight="1" ht="14.699999999999998">
      <c r="B7" s="403"/>
      <c r="C7" s="404"/>
      <c r="D7" s="407"/>
      <c r="E7" s="407"/>
      <c r="F7" s="407"/>
      <c r="G7" s="407"/>
      <c r="H7" s="1036"/>
      <c r="I7" s="407"/>
      <c r="J7" s="408"/>
      <c r="M7" s="402">
        <v>14</v>
      </c>
    </row>
    <row customHeight="1" ht="14.699999999999998">
      <c r="D8" s="2493" t="s">
        <v>305</v>
      </c>
      <c r="E8" s="2493"/>
      <c r="F8" s="2493"/>
      <c r="G8" s="2493"/>
      <c r="H8" s="2493"/>
      <c r="I8" s="2493" t="s">
        <v>306</v>
      </c>
      <c r="M8" s="405">
        <v>14</v>
      </c>
    </row>
    <row customHeight="1" ht="29.25">
      <c r="D9" s="2493" t="s">
        <v>89</v>
      </c>
      <c r="E9" s="2493" t="s">
        <v>1898</v>
      </c>
      <c r="F9" s="2493"/>
      <c r="G9" s="2493"/>
      <c r="H9" s="2493"/>
      <c r="I9" s="2493"/>
      <c r="M9" s="405">
        <v>28</v>
      </c>
    </row>
    <row customHeight="1" ht="24">
      <c r="D10" s="2493"/>
      <c r="E10" s="411" t="s">
        <v>1899</v>
      </c>
      <c r="F10" s="411" t="s">
        <v>1900</v>
      </c>
      <c r="G10" s="411" t="s">
        <v>1901</v>
      </c>
      <c r="H10" s="411" t="s">
        <v>395</v>
      </c>
      <c r="I10" s="2493"/>
      <c r="M10" s="405">
        <v>23</v>
      </c>
    </row>
    <row customHeight="1" ht="12" hidden="1">
      <c r="D11" s="371" t="s">
        <v>110</v>
      </c>
      <c r="E11" s="371" t="s">
        <v>92</v>
      </c>
      <c r="F11" s="371" t="s">
        <v>112</v>
      </c>
      <c r="G11" s="371" t="s">
        <v>93</v>
      </c>
      <c r="H11" s="371" t="s">
        <v>94</v>
      </c>
      <c r="I11" s="371" t="s">
        <v>113</v>
      </c>
      <c r="M11" s="405">
        <v>0</v>
      </c>
    </row>
    <row s="16016" customFormat="1" customHeight="1" ht="26.25">
      <c r="A12" s="429" t="s">
        <v>91</v>
      </c>
      <c r="B12" s="409" t="s">
        <v>28</v>
      </c>
      <c r="C12" s="410"/>
      <c r="D12" s="412" t="s">
        <v>110</v>
      </c>
      <c r="E12" s="665"/>
      <c r="F12" s="665"/>
      <c r="G12" s="2018" t="s">
        <v>28</v>
      </c>
      <c r="H12" s="666"/>
      <c r="I12" s="2453" t="s">
        <v>1902</v>
      </c>
      <c r="K12" s="556"/>
      <c r="L12" s="557"/>
      <c r="M12" s="401">
        <v>25</v>
      </c>
    </row>
    <row customHeight="1" ht="15.75">
      <c r="A13" s="405"/>
      <c r="B13" s="405"/>
      <c r="C13" s="405"/>
      <c r="D13" s="393"/>
      <c r="E13" s="414" t="s">
        <v>476</v>
      </c>
      <c r="F13" s="413"/>
      <c r="G13" s="413"/>
      <c r="H13" s="498"/>
      <c r="I13" s="2455"/>
      <c r="M13" s="405">
        <v>15</v>
      </c>
    </row>
    <row customHeight="1" ht="3">
      <c r="A14" s="405"/>
      <c r="B14" s="405"/>
      <c r="C14" s="405"/>
      <c r="M14" s="405">
        <v>3</v>
      </c>
    </row>
    <row customHeight="1" ht="29.25">
      <c r="E15" s="2780" t="s">
        <v>1903</v>
      </c>
      <c r="F15" s="2780"/>
      <c r="G15" s="2780"/>
      <c r="H15" s="2780"/>
      <c r="M15" s="405">
        <v>28</v>
      </c>
    </row>
    <row customHeight="1" ht="14.25" hidden="1">
      <c r="A16" s="402" t="s">
        <v>83</v>
      </c>
      <c r="B16" s="403">
        <v>0</v>
      </c>
      <c r="C16" s="404">
        <v>3</v>
      </c>
      <c r="D16" s="405">
        <v>6</v>
      </c>
      <c r="E16" s="405">
        <v>22</v>
      </c>
      <c r="F16" s="405">
        <v>15</v>
      </c>
      <c r="G16" s="405">
        <v>14</v>
      </c>
      <c r="H16" s="405">
        <v>47</v>
      </c>
      <c r="I16" s="405">
        <v>115</v>
      </c>
      <c r="J16" s="405">
        <v>3</v>
      </c>
      <c r="K16" s="405">
        <v>8</v>
      </c>
      <c r="L16" s="405">
        <v>8</v>
      </c>
      <c r="M16" s="405">
        <v>14</v>
      </c>
    </row>
  </sheetData>
  <sheetProtection formatColumns="0" formatRows="0" autoFilter="0" sort="0" insertRows="0" insertColumns="1" deleteRows="0" deleteColumns="0"/>
  <mergeCells count="7">
    <mergeCell ref="E15:H15"/>
    <mergeCell ref="D5:H5"/>
    <mergeCell ref="I12:I13"/>
    <mergeCell ref="D8:H8"/>
    <mergeCell ref="I8:I10"/>
    <mergeCell ref="E9:H9"/>
    <mergeCell ref="D9:D10"/>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formula1>900</formula1>
    </dataValidation>
    <dataValidation type="textLength" operator="lessThanOrEqual" allowBlank="1" showInputMessage="1" showErrorMessage="1" errorTitle="Ошибка" error="Допускается ввод не более 900 символов!" sqref="E12:F12">
      <formula1>900</formula1>
    </dataValidation>
  </dataValidations>
  <printOptions horizontalCentered="1"/>
  <pageMargins left="0.24" right="0.24" top="0.24" bottom="0.24" header="0.24" footer="0.24"/>
  <pageSetup paperSize="9" scale="70" fitToHeight="0" pageOrder="downThenOver"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9418705-A508-AD8A-0152-2D666D44B516}" mc:Ignorable="x14ac xr xr2 xr3">
  <sheetPr>
    <tabColor rgb="FFCCCCFF"/>
    <pageSetUpPr fitToPage="1"/>
  </sheetPr>
  <dimension ref="A1:J16"/>
  <sheetViews>
    <sheetView topLeftCell="C6" showGridLines="0" zoomScale="90" workbookViewId="0" tabSelected="1">
      <selection activeCell="E13" sqref="E13"/>
    </sheetView>
  </sheetViews>
  <sheetFormatPr defaultColWidth="9.140625" customHeight="1" defaultRowHeight="14.25"/>
  <cols>
    <col min="1" max="2" style="16321" width="9.140625" hidden="1"/>
    <col min="3" max="3" style="16322" width="3.00390625" customWidth="1"/>
    <col min="4" max="4" style="16321" width="6.00390625" customWidth="1"/>
    <col min="5" max="5" style="16321" width="94.00390625" customWidth="1"/>
    <col min="6" max="9" style="16321" width="8.00390625" customWidth="1"/>
    <col min="10" max="10" style="16321" width="9.140625" hidden="1"/>
  </cols>
  <sheetData>
    <row customHeight="1" ht="14.25" hidden="1">
      <c r="J1" s="353" t="s">
        <v>14</v>
      </c>
    </row>
    <row customHeight="1" ht="14.25" hidden="1">
      <c r="J2" s="353">
        <v>0</v>
      </c>
    </row>
    <row customHeight="1" ht="14.25" hidden="1">
      <c r="J3" s="353">
        <v>0</v>
      </c>
    </row>
    <row customHeight="1" ht="14.25" hidden="1">
      <c r="J4" s="353">
        <v>0</v>
      </c>
    </row>
    <row customHeight="1" ht="14.25" hidden="1">
      <c r="J5" s="353">
        <v>0</v>
      </c>
    </row>
    <row customHeight="1" ht="3">
      <c r="C6" s="376"/>
      <c r="D6" s="354"/>
      <c r="E6" s="354"/>
      <c r="J6" s="353">
        <v>3</v>
      </c>
    </row>
    <row customHeight="1" ht="23.25">
      <c r="C7" s="376"/>
      <c r="D7" s="2781" t="s">
        <v>1904</v>
      </c>
      <c r="E7" s="2782"/>
      <c r="F7" s="551"/>
      <c r="J7" s="353">
        <v>22</v>
      </c>
    </row>
    <row customHeight="1" ht="3">
      <c r="C8" s="376"/>
      <c r="D8" s="354"/>
      <c r="E8" s="354"/>
      <c r="J8" s="353">
        <v>3</v>
      </c>
    </row>
    <row customHeight="1" ht="16.8">
      <c r="C9" s="376"/>
      <c r="D9" s="389" t="s">
        <v>89</v>
      </c>
      <c r="E9" s="544" t="s">
        <v>1905</v>
      </c>
      <c r="J9" s="353">
        <v>16</v>
      </c>
    </row>
    <row customHeight="1" ht="1.05">
      <c r="C10" s="376"/>
      <c r="D10" s="371"/>
      <c r="E10" s="371"/>
      <c r="J10" s="353">
        <v>1</v>
      </c>
    </row>
    <row customHeight="1" ht="11.25" hidden="1">
      <c r="C11" s="376"/>
      <c r="D11" s="434">
        <v>0</v>
      </c>
      <c r="E11" s="545"/>
      <c r="J11" s="353">
        <v>0</v>
      </c>
    </row>
    <row customHeight="1" ht="90">
      <c r="C12" s="420"/>
      <c r="D12" s="397">
        <v>1</v>
      </c>
      <c r="E12" s="661" t="s">
        <v>1906</v>
      </c>
      <c r="J12" s="353">
        <v>15</v>
      </c>
    </row>
    <row customHeight="1" ht="12.75">
      <c r="C13" s="376"/>
      <c r="D13" s="546"/>
      <c r="E13" s="547" t="s">
        <v>1907</v>
      </c>
      <c r="J13" s="353">
        <v>12</v>
      </c>
    </row>
    <row customHeight="1" ht="3">
      <c r="J14" s="353">
        <v>3</v>
      </c>
    </row>
    <row customHeight="1" ht="23.25">
      <c r="C15" s="421"/>
      <c r="D15" s="2783" t="s">
        <v>1908</v>
      </c>
      <c r="E15" s="2783"/>
      <c r="F15" s="422"/>
      <c r="G15" s="422"/>
      <c r="H15" s="422"/>
      <c r="I15" s="422"/>
      <c r="J15" s="353">
        <v>22</v>
      </c>
    </row>
    <row customHeight="1" ht="14.25" hidden="1">
      <c r="A16" s="353" t="s">
        <v>83</v>
      </c>
      <c r="B16" s="353">
        <v>0</v>
      </c>
      <c r="C16" s="375">
        <v>3</v>
      </c>
      <c r="D16" s="353">
        <v>6</v>
      </c>
      <c r="E16" s="353">
        <v>94</v>
      </c>
      <c r="F16" s="353">
        <v>8</v>
      </c>
      <c r="G16" s="353">
        <v>8</v>
      </c>
      <c r="H16" s="353">
        <v>8</v>
      </c>
      <c r="I16" s="353">
        <v>8</v>
      </c>
      <c r="J16" s="353">
        <v>14</v>
      </c>
    </row>
  </sheetData>
  <sheetProtection formatColumns="0" formatRows="0" sort="0" autoFilter="0" insertRows="0" insertColumns="1" deleteRows="0" deleteColumns="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8CE9227-F9F8-9B38-933D-49BDE6A4AC94}" mc:Ignorable="x14ac xr xr2 xr3">
  <sheetPr>
    <tabColor rgb="FFCCCCFF"/>
    <pageSetUpPr fitToPage="1"/>
  </sheetPr>
  <dimension ref="A1:M13"/>
  <sheetViews>
    <sheetView topLeftCell="A1" showGridLines="0" zoomScale="90" workbookViewId="0">
      <selection activeCell="A1" sqref="A1"/>
    </sheetView>
  </sheetViews>
  <sheetFormatPr defaultColWidth="9.140625" customHeight="1" defaultRowHeight="14.25"/>
  <cols>
    <col min="1" max="2" style="16321" width="9.140625" hidden="1"/>
    <col min="3" max="3" style="16322" width="3.00390625" customWidth="1"/>
    <col min="4" max="4" style="16321" width="6.00390625" customWidth="1"/>
    <col min="5" max="5" style="16321" width="94.00390625" customWidth="1"/>
    <col min="6" max="12" style="16321" width="8.00390625" customWidth="1"/>
    <col min="13" max="13" style="16321" width="9.140625" hidden="1"/>
  </cols>
  <sheetData>
    <row customHeight="1" ht="14.25" hidden="1">
      <c r="L1" s="548"/>
      <c r="M1" s="353" t="s">
        <v>14</v>
      </c>
    </row>
    <row customHeight="1" ht="14.25" hidden="1">
      <c r="M2" s="353">
        <v>0</v>
      </c>
    </row>
    <row customHeight="1" ht="14.25" hidden="1">
      <c r="M3" s="353">
        <v>0</v>
      </c>
    </row>
    <row customHeight="1" ht="14.25" hidden="1">
      <c r="M4" s="353">
        <v>0</v>
      </c>
    </row>
    <row customHeight="1" ht="14.25" hidden="1">
      <c r="M5" s="353">
        <v>0</v>
      </c>
    </row>
    <row customHeight="1" ht="3">
      <c r="C6" s="376"/>
      <c r="D6" s="354"/>
      <c r="E6" s="354"/>
      <c r="M6" s="353">
        <v>3</v>
      </c>
    </row>
    <row customHeight="1" ht="23.25">
      <c r="C7" s="376"/>
      <c r="D7" s="2384" t="s">
        <v>1909</v>
      </c>
      <c r="E7" s="2384"/>
      <c r="F7" s="551"/>
      <c r="M7" s="353">
        <v>22</v>
      </c>
    </row>
    <row customHeight="1" ht="3">
      <c r="C8" s="376"/>
      <c r="D8" s="354"/>
      <c r="E8" s="354"/>
      <c r="M8" s="353">
        <v>3</v>
      </c>
    </row>
    <row customHeight="1" ht="16.8">
      <c r="C9" s="376"/>
      <c r="D9" s="389" t="s">
        <v>89</v>
      </c>
      <c r="E9" s="392" t="s">
        <v>292</v>
      </c>
      <c r="M9" s="353">
        <v>16</v>
      </c>
    </row>
    <row customHeight="1" ht="12.75">
      <c r="C10" s="376"/>
      <c r="D10" s="371" t="s">
        <v>110</v>
      </c>
      <c r="E10" s="371" t="s">
        <v>111</v>
      </c>
      <c r="M10" s="353">
        <v>12</v>
      </c>
    </row>
    <row customHeight="1" ht="15" hidden="1">
      <c r="C11" s="376"/>
      <c r="D11" s="397">
        <v>0</v>
      </c>
      <c r="E11" s="433"/>
      <c r="M11" s="353">
        <v>0</v>
      </c>
    </row>
    <row customHeight="1" ht="14.699999999999998">
      <c r="C12" s="376"/>
      <c r="D12" s="393"/>
      <c r="E12" s="391" t="s">
        <v>1907</v>
      </c>
      <c r="M12" s="353">
        <v>14</v>
      </c>
    </row>
    <row customHeight="1" ht="14.25" hidden="1">
      <c r="A13" s="353" t="s">
        <v>83</v>
      </c>
      <c r="B13" s="353">
        <v>0</v>
      </c>
      <c r="C13" s="375">
        <v>3</v>
      </c>
      <c r="D13" s="353">
        <v>6</v>
      </c>
      <c r="E13" s="353">
        <v>94</v>
      </c>
      <c r="F13" s="353">
        <v>8</v>
      </c>
      <c r="G13" s="353">
        <v>8</v>
      </c>
      <c r="H13" s="353">
        <v>8</v>
      </c>
      <c r="I13" s="353">
        <v>8</v>
      </c>
      <c r="J13" s="353">
        <v>8</v>
      </c>
      <c r="K13" s="353">
        <v>8</v>
      </c>
      <c r="L13" s="353">
        <v>8</v>
      </c>
      <c r="M13" s="353">
        <v>14</v>
      </c>
    </row>
  </sheetData>
  <sheetProtection formatColumns="0" formatRows="0" autoFilter="0" sort="0" insertRows="0" insertColumns="1" deleteRows="0" deleteColumns="0"/>
  <mergeCells count="1">
    <mergeCell ref="D7:E7"/>
  </mergeCells>
  <dataValidations count="1">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B03DC18-6CC4-29C8-E059-88222F7FB7DC}" mc:Ignorable="x14ac xr xr2 xr3">
  <sheetPr>
    <tabColor rgb="FFCCCCFF"/>
  </sheetPr>
  <dimension ref="A1:BM50"/>
  <sheetViews>
    <sheetView topLeftCell="A1" showGridLines="0" zoomScale="90" workbookViewId="0">
      <selection activeCell="A1" sqref="A1"/>
    </sheetView>
  </sheetViews>
  <sheetFormatPr defaultColWidth="9.140625" customHeight="1" defaultRowHeight="11.25"/>
  <cols>
    <col min="1" max="2" style="14218" width="9.140625" hidden="1"/>
    <col min="3" max="4" style="14218" width="3.00390625" customWidth="1"/>
    <col min="5" max="6" style="14218" width="15.00390625" customWidth="1"/>
    <col min="7" max="7" style="14218" width="11.57421875" customWidth="1"/>
    <col min="8" max="9" style="14218" width="3.00390625" customWidth="1"/>
    <col min="10" max="10" style="14218" width="12.00390625" customWidth="1"/>
    <col min="11" max="11" style="14218" width="0.28125" customWidth="1"/>
    <col min="12" max="13" style="14218" width="10.00390625" customWidth="1"/>
    <col min="14" max="15" style="14218" width="3.00390625" customWidth="1"/>
    <col min="16" max="16" style="14218" width="19.00390625" customWidth="1"/>
    <col min="17" max="17" style="14218" width="0.28125" customWidth="1"/>
    <col min="18" max="19" style="14218" width="10.00390625" customWidth="1"/>
    <col min="20" max="21" style="14218" width="3.00390625" customWidth="1"/>
    <col min="22" max="22" style="14218" width="25.00390625" customWidth="1"/>
    <col min="23" max="23" style="14218" width="0.28125" customWidth="1"/>
    <col min="24" max="25" style="14218" width="10.00390625" customWidth="1"/>
    <col min="26" max="27" style="14218" width="3.00390625" customWidth="1"/>
    <col min="28" max="28" style="14218" width="16.00390625" customWidth="1"/>
    <col min="29" max="29" style="14218" width="0.28125" customWidth="1"/>
    <col min="30" max="31" style="14218" width="10.00390625" customWidth="1"/>
    <col min="32" max="33" style="14218" width="3.00390625" customWidth="1"/>
    <col min="34" max="34" style="14218" width="8.00390625" customWidth="1"/>
    <col min="35" max="35" style="14218" width="21.00390625" customWidth="1"/>
    <col min="36" max="36" style="14218" width="8.00390625" customWidth="1"/>
    <col min="37" max="37" style="14596" width="8.00390625" customWidth="1"/>
    <col min="38" max="64" style="14218" width="8.00390625" customWidth="1"/>
    <col min="65" max="65" style="14218" width="9.140625" hidden="1"/>
  </cols>
  <sheetData>
    <row s="14520" customFormat="1" customHeight="1" ht="11.25" hidden="1">
      <c r="AJ1" s="706"/>
      <c r="AK1" s="706"/>
      <c r="AL1" s="706"/>
      <c r="AM1" s="706"/>
      <c r="AN1" s="706"/>
      <c r="AO1" s="706"/>
      <c r="AP1" s="706"/>
      <c r="AQ1" s="706"/>
      <c r="AR1" s="706"/>
      <c r="AS1" s="706"/>
      <c r="AT1" s="706"/>
      <c r="AU1" s="706"/>
      <c r="AV1" s="706"/>
      <c r="AW1" s="706"/>
      <c r="AX1" s="706"/>
      <c r="AY1" s="706"/>
      <c r="AZ1" s="706"/>
      <c r="BA1" s="706"/>
      <c r="BB1" s="706"/>
      <c r="BC1" s="706"/>
      <c r="BD1" s="706"/>
      <c r="BE1" s="706"/>
      <c r="BF1" s="706"/>
      <c r="BG1" s="706"/>
      <c r="BH1" s="706"/>
      <c r="BI1" s="706"/>
      <c r="BJ1" s="706"/>
      <c r="BK1" s="706"/>
      <c r="BL1" s="706"/>
      <c r="BM1" s="703" t="s">
        <v>14</v>
      </c>
    </row>
    <row s="14521" customFormat="1" customHeight="1" ht="11.25" hidden="1">
      <c r="L2" s="1837" t="s">
        <v>284</v>
      </c>
      <c r="M2" s="1837" t="s">
        <v>285</v>
      </c>
      <c r="R2" s="1837" t="s">
        <v>286</v>
      </c>
      <c r="S2" s="1837" t="s">
        <v>285</v>
      </c>
      <c r="X2" s="1837" t="s">
        <v>284</v>
      </c>
      <c r="Y2" s="1837" t="s">
        <v>285</v>
      </c>
      <c r="AD2" s="1837" t="s">
        <v>284</v>
      </c>
      <c r="AE2" s="1837" t="s">
        <v>285</v>
      </c>
      <c r="AJ2" s="1859"/>
      <c r="AK2" s="1859"/>
      <c r="AL2" s="1859"/>
      <c r="AM2" s="1859"/>
      <c r="AN2" s="1859"/>
      <c r="AO2" s="1859"/>
      <c r="AP2" s="1859"/>
      <c r="AQ2" s="1859"/>
      <c r="AR2" s="1859"/>
      <c r="AS2" s="1859"/>
      <c r="AT2" s="1859"/>
      <c r="AU2" s="1859"/>
      <c r="AV2" s="1859"/>
      <c r="AW2" s="1859"/>
      <c r="AX2" s="1859"/>
      <c r="AY2" s="1859"/>
      <c r="AZ2" s="1859"/>
      <c r="BA2" s="1859"/>
      <c r="BB2" s="1859"/>
      <c r="BC2" s="1859"/>
      <c r="BD2" s="1859"/>
      <c r="BE2" s="1859"/>
      <c r="BF2" s="1859"/>
      <c r="BG2" s="1859"/>
      <c r="BH2" s="1859"/>
      <c r="BI2" s="1859"/>
      <c r="BJ2" s="1859"/>
      <c r="BK2" s="1859"/>
      <c r="BL2" s="1859"/>
      <c r="BM2" s="1837">
        <v>0</v>
      </c>
    </row>
    <row s="14524" customFormat="1" customHeight="1" ht="11.549999999999999">
      <c r="AJ3" s="1858"/>
      <c r="AK3" s="590"/>
      <c r="AL3" s="1858"/>
      <c r="AM3" s="1858"/>
      <c r="AN3" s="1858"/>
      <c r="AO3" s="1858"/>
      <c r="AP3" s="1858"/>
      <c r="AQ3" s="1858"/>
      <c r="AR3" s="1858"/>
      <c r="AS3" s="1858"/>
      <c r="AT3" s="1858"/>
      <c r="AU3" s="1858"/>
      <c r="AV3" s="1858"/>
      <c r="AW3" s="1858"/>
      <c r="AX3" s="1858"/>
      <c r="AY3" s="1858"/>
      <c r="AZ3" s="1858"/>
      <c r="BA3" s="1858"/>
      <c r="BB3" s="1858"/>
      <c r="BC3" s="1858"/>
      <c r="BD3" s="1858"/>
      <c r="BE3" s="1858"/>
      <c r="BF3" s="1858"/>
      <c r="BG3" s="1858"/>
      <c r="BH3" s="1858"/>
      <c r="BI3" s="1858"/>
      <c r="BJ3" s="1858"/>
      <c r="BK3" s="1858"/>
      <c r="BL3" s="1858"/>
      <c r="BM3" s="1838">
        <v>11</v>
      </c>
    </row>
    <row s="14173" customFormat="1" customHeight="1" ht="34.5">
      <c r="A4" s="1440"/>
      <c r="B4" s="1439"/>
      <c r="C4" s="1799"/>
      <c r="D4" s="2475" t="s">
        <v>287</v>
      </c>
      <c r="E4" s="2475"/>
      <c r="F4" s="2475"/>
      <c r="G4" s="2475"/>
      <c r="H4" s="2475"/>
      <c r="I4" s="2475"/>
      <c r="J4" s="2475"/>
      <c r="K4" s="983"/>
      <c r="T4" s="1839"/>
      <c r="AJ4" s="1860"/>
      <c r="AK4" s="1861"/>
      <c r="AL4" s="1860"/>
      <c r="AM4" s="1860"/>
      <c r="AN4" s="1860"/>
      <c r="AO4" s="1860"/>
      <c r="AP4" s="1860"/>
      <c r="AQ4" s="1860"/>
      <c r="AR4" s="1860"/>
      <c r="AS4" s="1860"/>
      <c r="AT4" s="1860"/>
      <c r="AU4" s="1860"/>
      <c r="AV4" s="1860"/>
      <c r="AW4" s="1860"/>
      <c r="AX4" s="1860"/>
      <c r="AY4" s="1860"/>
      <c r="AZ4" s="1860"/>
      <c r="BA4" s="1860"/>
      <c r="BB4" s="1860"/>
      <c r="BC4" s="1860"/>
      <c r="BD4" s="1860"/>
      <c r="BE4" s="1860"/>
      <c r="BF4" s="1860"/>
      <c r="BG4" s="1860"/>
      <c r="BH4" s="1860"/>
      <c r="BI4" s="1860"/>
      <c r="BJ4" s="1860"/>
      <c r="BK4" s="1860"/>
      <c r="BL4" s="1860"/>
      <c r="BM4" s="791">
        <v>33</v>
      </c>
    </row>
    <row s="14173" customFormat="1" customHeight="1" ht="14.699999999999998">
      <c r="A5" s="1916"/>
      <c r="B5" s="1915"/>
      <c r="C5" s="1799"/>
      <c r="D5" s="2460" t="str">
        <f>IF(org=0,"Не определено",org)</f>
        <v>МУП г. Азова "Теплоэнерго"</v>
      </c>
      <c r="E5" s="2460"/>
      <c r="F5" s="2460"/>
      <c r="G5" s="2460"/>
      <c r="H5" s="2460"/>
      <c r="I5" s="2460"/>
      <c r="J5" s="2460"/>
      <c r="K5" s="983"/>
      <c r="T5" s="1839"/>
      <c r="AJ5" s="1860"/>
      <c r="AK5" s="1861"/>
      <c r="AL5" s="1860"/>
      <c r="AM5" s="1860"/>
      <c r="AN5" s="1860"/>
      <c r="AO5" s="1860"/>
      <c r="AP5" s="1860"/>
      <c r="AQ5" s="1860"/>
      <c r="AR5" s="1860"/>
      <c r="AS5" s="1860"/>
      <c r="AT5" s="1860"/>
      <c r="AU5" s="1860"/>
      <c r="AV5" s="1860"/>
      <c r="AW5" s="1860"/>
      <c r="AX5" s="1860"/>
      <c r="AY5" s="1860"/>
      <c r="AZ5" s="1860"/>
      <c r="BA5" s="1860"/>
      <c r="BB5" s="1860"/>
      <c r="BC5" s="1860"/>
      <c r="BD5" s="1860"/>
      <c r="BE5" s="1860"/>
      <c r="BF5" s="1860"/>
      <c r="BG5" s="1860"/>
      <c r="BH5" s="1860"/>
      <c r="BI5" s="1860"/>
      <c r="BJ5" s="1860"/>
      <c r="BK5" s="1860"/>
      <c r="BL5" s="1860"/>
      <c r="BM5" s="1893">
        <v>14</v>
      </c>
    </row>
    <row s="14173" customFormat="1" customHeight="1" ht="14.699999999999998">
      <c r="A6" s="1440"/>
      <c r="B6" s="1439"/>
      <c r="C6" s="1799"/>
      <c r="D6" s="983"/>
      <c r="E6" s="983"/>
      <c r="F6" s="983"/>
      <c r="G6" s="983"/>
      <c r="H6" s="983"/>
      <c r="I6" s="983"/>
      <c r="J6" s="983"/>
      <c r="K6" s="983"/>
      <c r="T6" s="1839"/>
      <c r="AJ6" s="1860"/>
      <c r="AK6" s="1861"/>
      <c r="AL6" s="1860"/>
      <c r="AM6" s="1860"/>
      <c r="AN6" s="1860"/>
      <c r="AO6" s="1860"/>
      <c r="AP6" s="1860"/>
      <c r="AQ6" s="1860"/>
      <c r="AR6" s="1860"/>
      <c r="AS6" s="1860"/>
      <c r="AT6" s="1860"/>
      <c r="AU6" s="1860"/>
      <c r="AV6" s="1860"/>
      <c r="AW6" s="1860"/>
      <c r="AX6" s="1860"/>
      <c r="AY6" s="1860"/>
      <c r="AZ6" s="1860"/>
      <c r="BA6" s="1860"/>
      <c r="BB6" s="1860"/>
      <c r="BC6" s="1860"/>
      <c r="BD6" s="1860"/>
      <c r="BE6" s="1860"/>
      <c r="BF6" s="1860"/>
      <c r="BG6" s="1860"/>
      <c r="BH6" s="1860"/>
      <c r="BI6" s="1860"/>
      <c r="BJ6" s="1860"/>
      <c r="BK6" s="1860"/>
      <c r="BL6" s="1860"/>
      <c r="BM6" s="791">
        <v>14</v>
      </c>
    </row>
    <row s="14520" customFormat="1" customHeight="1" ht="1.05">
      <c r="AJ7" s="706"/>
      <c r="AK7" s="706"/>
      <c r="AL7" s="706"/>
      <c r="AM7" s="706"/>
      <c r="AN7" s="706"/>
      <c r="AO7" s="706"/>
      <c r="AP7" s="706"/>
      <c r="AQ7" s="706"/>
      <c r="AR7" s="706"/>
      <c r="AS7" s="706"/>
      <c r="AT7" s="706"/>
      <c r="AU7" s="706"/>
      <c r="AV7" s="706"/>
      <c r="AW7" s="706"/>
      <c r="AX7" s="706"/>
      <c r="AY7" s="706"/>
      <c r="AZ7" s="706"/>
      <c r="BA7" s="706"/>
      <c r="BB7" s="706"/>
      <c r="BC7" s="706"/>
      <c r="BD7" s="706"/>
      <c r="BE7" s="706"/>
      <c r="BF7" s="706"/>
      <c r="BG7" s="706"/>
      <c r="BH7" s="706"/>
      <c r="BI7" s="706"/>
      <c r="BJ7" s="706"/>
      <c r="BK7" s="706"/>
      <c r="BL7" s="706"/>
      <c r="BM7" s="703">
        <v>1</v>
      </c>
    </row>
    <row customHeight="1" ht="33.75">
      <c r="D8" s="2411" t="s">
        <v>89</v>
      </c>
      <c r="E8" s="2411" t="s">
        <v>106</v>
      </c>
      <c r="F8" s="2476" t="s">
        <v>123</v>
      </c>
      <c r="G8" s="2477"/>
      <c r="H8" s="2476" t="s">
        <v>89</v>
      </c>
      <c r="I8" s="2477"/>
      <c r="J8" s="2411" t="s">
        <v>124</v>
      </c>
      <c r="K8" s="1840"/>
      <c r="L8" s="2480" t="s">
        <v>288</v>
      </c>
      <c r="M8" s="2480"/>
      <c r="N8" s="2480"/>
      <c r="O8" s="2480"/>
      <c r="P8" s="2480"/>
      <c r="Q8" s="1841"/>
      <c r="R8" s="2380" t="s">
        <v>289</v>
      </c>
      <c r="S8" s="2481"/>
      <c r="T8" s="2481"/>
      <c r="U8" s="2481"/>
      <c r="V8" s="2481"/>
      <c r="W8" s="1841"/>
      <c r="X8" s="2482" t="s">
        <v>290</v>
      </c>
      <c r="Y8" s="2482"/>
      <c r="Z8" s="2482"/>
      <c r="AA8" s="2482"/>
      <c r="AB8" s="2482"/>
      <c r="AC8" s="1842"/>
      <c r="AD8" s="2411" t="s">
        <v>291</v>
      </c>
      <c r="AE8" s="2411"/>
      <c r="AF8" s="2411"/>
      <c r="AG8" s="2411"/>
      <c r="AH8" s="2385"/>
      <c r="AI8" s="2411" t="s">
        <v>292</v>
      </c>
      <c r="AJ8" s="1858"/>
      <c r="BM8" s="577">
        <v>32</v>
      </c>
    </row>
    <row customHeight="1" ht="23.25">
      <c r="D9" s="2411"/>
      <c r="E9" s="2411"/>
      <c r="F9" s="2459" t="s">
        <v>90</v>
      </c>
      <c r="G9" s="2459" t="s">
        <v>129</v>
      </c>
      <c r="H9" s="2478"/>
      <c r="I9" s="2479"/>
      <c r="J9" s="2385"/>
      <c r="K9" s="1843"/>
      <c r="L9" s="2411" t="s">
        <v>293</v>
      </c>
      <c r="M9" s="2385"/>
      <c r="N9" s="2476" t="s">
        <v>89</v>
      </c>
      <c r="O9" s="2477"/>
      <c r="P9" s="2411" t="s">
        <v>130</v>
      </c>
      <c r="Q9" s="1840"/>
      <c r="R9" s="2411" t="s">
        <v>293</v>
      </c>
      <c r="S9" s="2385"/>
      <c r="T9" s="2476" t="s">
        <v>89</v>
      </c>
      <c r="U9" s="2477"/>
      <c r="V9" s="2411" t="s">
        <v>130</v>
      </c>
      <c r="W9" s="1840"/>
      <c r="X9" s="2411" t="s">
        <v>293</v>
      </c>
      <c r="Y9" s="2385"/>
      <c r="Z9" s="2476" t="s">
        <v>89</v>
      </c>
      <c r="AA9" s="2477"/>
      <c r="AB9" s="2411" t="s">
        <v>294</v>
      </c>
      <c r="AC9" s="1840"/>
      <c r="AD9" s="2411" t="s">
        <v>293</v>
      </c>
      <c r="AE9" s="2385"/>
      <c r="AF9" s="2476" t="s">
        <v>89</v>
      </c>
      <c r="AG9" s="2477"/>
      <c r="AH9" s="2385" t="s">
        <v>294</v>
      </c>
      <c r="AI9" s="2411"/>
      <c r="AJ9" s="1858"/>
      <c r="BM9" s="577">
        <v>22</v>
      </c>
    </row>
    <row customHeight="1" ht="24">
      <c r="D10" s="2459"/>
      <c r="E10" s="2459"/>
      <c r="F10" s="2483"/>
      <c r="G10" s="2483"/>
      <c r="H10" s="2484"/>
      <c r="I10" s="2485"/>
      <c r="J10" s="2476"/>
      <c r="K10" s="1843"/>
      <c r="L10" s="1862" t="s">
        <v>295</v>
      </c>
      <c r="M10" s="1857" t="s">
        <v>296</v>
      </c>
      <c r="N10" s="2478"/>
      <c r="O10" s="2479"/>
      <c r="P10" s="2459"/>
      <c r="Q10" s="1840"/>
      <c r="R10" s="1862" t="s">
        <v>295</v>
      </c>
      <c r="S10" s="1857" t="s">
        <v>296</v>
      </c>
      <c r="T10" s="2478"/>
      <c r="U10" s="2479"/>
      <c r="V10" s="2459"/>
      <c r="W10" s="1840"/>
      <c r="X10" s="1862" t="s">
        <v>295</v>
      </c>
      <c r="Y10" s="1857" t="s">
        <v>296</v>
      </c>
      <c r="Z10" s="2478"/>
      <c r="AA10" s="2479"/>
      <c r="AB10" s="2459"/>
      <c r="AC10" s="1840"/>
      <c r="AD10" s="1862" t="s">
        <v>295</v>
      </c>
      <c r="AE10" s="1857" t="s">
        <v>296</v>
      </c>
      <c r="AF10" s="2478"/>
      <c r="AG10" s="2479"/>
      <c r="AH10" s="2476"/>
      <c r="AI10" s="2459"/>
      <c r="AJ10" s="1858"/>
      <c r="AK10" s="538" t="s">
        <v>297</v>
      </c>
      <c r="AL10" s="538" t="s">
        <v>131</v>
      </c>
      <c r="BM10" s="577">
        <v>23</v>
      </c>
    </row>
    <row customHeight="1" ht="15">
      <c r="D11" s="2467" t="s">
        <v>110</v>
      </c>
      <c r="E11" s="2463" t="s">
        <v>298</v>
      </c>
      <c r="F11" s="2463" t="s">
        <v>299</v>
      </c>
      <c r="G11" s="2469" t="s">
        <v>19</v>
      </c>
      <c r="H11" s="1883"/>
      <c r="I11" s="2465"/>
      <c r="J11" s="2436"/>
      <c r="K11" s="1798"/>
      <c r="L11" s="2421"/>
      <c r="M11" s="2421"/>
      <c r="N11" s="1868"/>
      <c r="O11" s="2421"/>
      <c r="P11" s="2436"/>
      <c r="Q11" s="1869"/>
      <c r="R11" s="2421"/>
      <c r="S11" s="2421"/>
      <c r="T11" s="1870"/>
      <c r="U11" s="2421"/>
      <c r="V11" s="2436"/>
      <c r="W11" s="1871"/>
      <c r="X11" s="2421"/>
      <c r="Y11" s="2421"/>
      <c r="Z11" s="1868"/>
      <c r="AA11" s="2421"/>
      <c r="AB11" s="2436"/>
      <c r="AC11" s="1872"/>
      <c r="AD11" s="2421"/>
      <c r="AE11" s="2421"/>
      <c r="AF11" s="1797"/>
      <c r="AG11" s="1797"/>
      <c r="AH11" s="1873"/>
      <c r="AI11" s="1580"/>
      <c r="AJ11" s="1858"/>
      <c r="BM11" s="577">
        <v>14</v>
      </c>
    </row>
    <row customHeight="1" ht="14.699999999999998">
      <c r="D12" s="2467"/>
      <c r="E12" s="2463"/>
      <c r="F12" s="2463"/>
      <c r="G12" s="2470"/>
      <c r="H12" s="1884"/>
      <c r="I12" s="2466"/>
      <c r="J12" s="2437"/>
      <c r="K12" s="1894"/>
      <c r="L12" s="2422"/>
      <c r="M12" s="2422"/>
      <c r="N12" s="1874"/>
      <c r="O12" s="2422"/>
      <c r="P12" s="2437"/>
      <c r="Q12" s="1875"/>
      <c r="R12" s="2422"/>
      <c r="S12" s="2422"/>
      <c r="T12" s="1876"/>
      <c r="U12" s="2422"/>
      <c r="V12" s="2437"/>
      <c r="W12" s="1877"/>
      <c r="X12" s="2422"/>
      <c r="Y12" s="2422"/>
      <c r="Z12" s="1874"/>
      <c r="AA12" s="2422"/>
      <c r="AB12" s="2437"/>
      <c r="AC12" s="1878"/>
      <c r="AD12" s="2422"/>
      <c r="AE12" s="2422"/>
      <c r="AF12" s="1879"/>
      <c r="AG12" s="1879"/>
      <c r="AH12" s="2461"/>
      <c r="AI12" s="2462"/>
      <c r="AJ12" s="1858"/>
      <c r="BM12" s="577">
        <v>14</v>
      </c>
    </row>
    <row customHeight="1" ht="14.699999999999998">
      <c r="D13" s="2467"/>
      <c r="E13" s="2463"/>
      <c r="F13" s="2463"/>
      <c r="G13" s="2470"/>
      <c r="H13" s="1884"/>
      <c r="I13" s="2466"/>
      <c r="J13" s="2437"/>
      <c r="K13" s="1894"/>
      <c r="L13" s="2422"/>
      <c r="M13" s="2422"/>
      <c r="N13" s="1874"/>
      <c r="O13" s="2422"/>
      <c r="P13" s="2437"/>
      <c r="Q13" s="1875"/>
      <c r="R13" s="2422"/>
      <c r="S13" s="2422"/>
      <c r="T13" s="1876"/>
      <c r="U13" s="2422"/>
      <c r="V13" s="2437"/>
      <c r="W13" s="1877"/>
      <c r="X13" s="2422"/>
      <c r="Y13" s="2422"/>
      <c r="Z13" s="1796"/>
      <c r="AA13" s="1879"/>
      <c r="AB13" s="2461"/>
      <c r="AC13" s="2461"/>
      <c r="AD13" s="2461"/>
      <c r="AE13" s="2461"/>
      <c r="AF13" s="2461"/>
      <c r="AG13" s="2461"/>
      <c r="AH13" s="2461"/>
      <c r="AI13" s="2462"/>
      <c r="AJ13" s="1858"/>
      <c r="BM13" s="577">
        <v>14</v>
      </c>
    </row>
    <row customHeight="1" ht="14.699999999999998">
      <c r="D14" s="2467"/>
      <c r="E14" s="2463"/>
      <c r="F14" s="2463"/>
      <c r="G14" s="2470"/>
      <c r="H14" s="1884"/>
      <c r="I14" s="2466"/>
      <c r="J14" s="2437"/>
      <c r="K14" s="1894"/>
      <c r="L14" s="2422"/>
      <c r="M14" s="2422"/>
      <c r="N14" s="1874"/>
      <c r="O14" s="2422"/>
      <c r="P14" s="2437"/>
      <c r="Q14" s="1875"/>
      <c r="R14" s="2422"/>
      <c r="S14" s="2422"/>
      <c r="T14" s="1880"/>
      <c r="U14" s="1881"/>
      <c r="V14" s="2461"/>
      <c r="W14" s="2461"/>
      <c r="X14" s="2461"/>
      <c r="Y14" s="2461"/>
      <c r="Z14" s="2461"/>
      <c r="AA14" s="2461"/>
      <c r="AB14" s="2461"/>
      <c r="AC14" s="2461"/>
      <c r="AD14" s="2461"/>
      <c r="AE14" s="2461"/>
      <c r="AF14" s="2461"/>
      <c r="AG14" s="2461"/>
      <c r="AH14" s="2461"/>
      <c r="AI14" s="2462"/>
      <c r="AJ14" s="1858"/>
      <c r="BM14" s="577">
        <v>14</v>
      </c>
    </row>
    <row customHeight="1" ht="11.549999999999999">
      <c r="D15" s="2467"/>
      <c r="E15" s="2463"/>
      <c r="F15" s="2463"/>
      <c r="G15" s="2470"/>
      <c r="H15" s="1885"/>
      <c r="I15" s="2466"/>
      <c r="J15" s="2437"/>
      <c r="K15" s="1894"/>
      <c r="L15" s="2422"/>
      <c r="M15" s="2422"/>
      <c r="N15" s="1879"/>
      <c r="O15" s="1879"/>
      <c r="P15" s="2461"/>
      <c r="Q15" s="2461"/>
      <c r="R15" s="2461"/>
      <c r="S15" s="2461"/>
      <c r="T15" s="2461"/>
      <c r="U15" s="2461"/>
      <c r="V15" s="2461"/>
      <c r="W15" s="2461"/>
      <c r="X15" s="2461"/>
      <c r="Y15" s="2461"/>
      <c r="Z15" s="2461"/>
      <c r="AA15" s="2461"/>
      <c r="AB15" s="2461"/>
      <c r="AC15" s="2461"/>
      <c r="AD15" s="2461"/>
      <c r="AE15" s="2461"/>
      <c r="AF15" s="2461"/>
      <c r="AG15" s="2461"/>
      <c r="AH15" s="2461"/>
      <c r="AI15" s="2462"/>
      <c r="AJ15" s="1858"/>
      <c r="BM15" s="577">
        <v>11</v>
      </c>
    </row>
    <row s="14524" customFormat="1" customHeight="1" ht="11.549999999999999">
      <c r="D16" s="2473"/>
      <c r="E16" s="2474"/>
      <c r="F16" s="2464"/>
      <c r="G16" s="2396"/>
      <c r="H16" s="1882"/>
      <c r="I16" s="1886"/>
      <c r="J16" s="2471"/>
      <c r="K16" s="2471"/>
      <c r="L16" s="2471"/>
      <c r="M16" s="2471"/>
      <c r="N16" s="2471"/>
      <c r="O16" s="2471"/>
      <c r="P16" s="2471"/>
      <c r="Q16" s="2471"/>
      <c r="R16" s="2471"/>
      <c r="S16" s="2471"/>
      <c r="T16" s="2471"/>
      <c r="U16" s="2471"/>
      <c r="V16" s="2471"/>
      <c r="W16" s="2471"/>
      <c r="X16" s="2471"/>
      <c r="Y16" s="2471"/>
      <c r="Z16" s="2471"/>
      <c r="AA16" s="2471"/>
      <c r="AB16" s="2471"/>
      <c r="AC16" s="2471"/>
      <c r="AD16" s="2471"/>
      <c r="AE16" s="2471"/>
      <c r="AF16" s="2471"/>
      <c r="AG16" s="2471"/>
      <c r="AH16" s="2471"/>
      <c r="AI16" s="2472"/>
      <c r="AJ16" s="1858"/>
      <c r="AK16" s="590"/>
      <c r="AL16" s="1858"/>
      <c r="AM16" s="1858"/>
      <c r="AN16" s="1858"/>
      <c r="AO16" s="1858"/>
      <c r="AP16" s="1858"/>
      <c r="AQ16" s="1858"/>
      <c r="AR16" s="1858"/>
      <c r="AS16" s="1858"/>
      <c r="AT16" s="1858"/>
      <c r="AU16" s="1858"/>
      <c r="AV16" s="1858"/>
      <c r="AW16" s="1858"/>
      <c r="AX16" s="1858"/>
      <c r="AY16" s="1858"/>
      <c r="AZ16" s="1858"/>
      <c r="BA16" s="1858"/>
      <c r="BB16" s="1858"/>
      <c r="BC16" s="1858"/>
      <c r="BD16" s="1858"/>
      <c r="BE16" s="1858"/>
      <c r="BF16" s="1858"/>
      <c r="BG16" s="1858"/>
      <c r="BH16" s="1858"/>
      <c r="BI16" s="1858"/>
      <c r="BJ16" s="1858"/>
      <c r="BK16" s="1858"/>
      <c r="BL16" s="1858"/>
      <c r="BM16" s="1838">
        <v>11</v>
      </c>
    </row>
    <row customHeight="1" ht="15">
      <c r="D17" s="2467" t="s">
        <v>111</v>
      </c>
      <c r="E17" s="2463" t="s">
        <v>298</v>
      </c>
      <c r="F17" s="2463" t="s">
        <v>300</v>
      </c>
      <c r="G17" s="2469" t="s">
        <v>19</v>
      </c>
      <c r="H17" s="1883"/>
      <c r="I17" s="2465"/>
      <c r="J17" s="2436"/>
      <c r="K17" s="1798"/>
      <c r="L17" s="2421"/>
      <c r="M17" s="2421"/>
      <c r="N17" s="1868"/>
      <c r="O17" s="2421"/>
      <c r="P17" s="2436"/>
      <c r="Q17" s="1869"/>
      <c r="R17" s="2421"/>
      <c r="S17" s="2421"/>
      <c r="T17" s="1870"/>
      <c r="U17" s="2421"/>
      <c r="V17" s="2436"/>
      <c r="W17" s="1871"/>
      <c r="X17" s="2421"/>
      <c r="Y17" s="2421"/>
      <c r="Z17" s="1868"/>
      <c r="AA17" s="2421"/>
      <c r="AB17" s="2436"/>
      <c r="AC17" s="1872"/>
      <c r="AD17" s="2421"/>
      <c r="AE17" s="2421"/>
      <c r="AF17" s="1797"/>
      <c r="AG17" s="1797"/>
      <c r="AH17" s="1873"/>
      <c r="AI17" s="1580"/>
      <c r="AJ17" s="1858"/>
      <c r="BM17" s="577">
        <v>14</v>
      </c>
    </row>
    <row customHeight="1" ht="14.699999999999998">
      <c r="D18" s="2467"/>
      <c r="E18" s="2463"/>
      <c r="F18" s="2463"/>
      <c r="G18" s="2470"/>
      <c r="H18" s="1884"/>
      <c r="I18" s="2466"/>
      <c r="J18" s="2437"/>
      <c r="K18" s="1867"/>
      <c r="L18" s="2422"/>
      <c r="M18" s="2422"/>
      <c r="N18" s="1874"/>
      <c r="O18" s="2422"/>
      <c r="P18" s="2437"/>
      <c r="Q18" s="1875"/>
      <c r="R18" s="2422"/>
      <c r="S18" s="2422"/>
      <c r="T18" s="1876"/>
      <c r="U18" s="2422"/>
      <c r="V18" s="2437"/>
      <c r="W18" s="1877"/>
      <c r="X18" s="2422"/>
      <c r="Y18" s="2422"/>
      <c r="Z18" s="1874"/>
      <c r="AA18" s="2422"/>
      <c r="AB18" s="2437"/>
      <c r="AC18" s="1878"/>
      <c r="AD18" s="2422"/>
      <c r="AE18" s="2422"/>
      <c r="AF18" s="1879"/>
      <c r="AG18" s="1879"/>
      <c r="AH18" s="2461"/>
      <c r="AI18" s="2462"/>
      <c r="AJ18" s="1858"/>
      <c r="BM18" s="577">
        <v>14</v>
      </c>
    </row>
    <row customHeight="1" ht="14.699999999999998">
      <c r="D19" s="2467"/>
      <c r="E19" s="2463"/>
      <c r="F19" s="2463"/>
      <c r="G19" s="2470"/>
      <c r="H19" s="1884"/>
      <c r="I19" s="2466"/>
      <c r="J19" s="2437"/>
      <c r="K19" s="1867"/>
      <c r="L19" s="2422"/>
      <c r="M19" s="2422"/>
      <c r="N19" s="1874"/>
      <c r="O19" s="2422"/>
      <c r="P19" s="2437"/>
      <c r="Q19" s="1875"/>
      <c r="R19" s="2422"/>
      <c r="S19" s="2422"/>
      <c r="T19" s="1876"/>
      <c r="U19" s="2422"/>
      <c r="V19" s="2437"/>
      <c r="W19" s="1877"/>
      <c r="X19" s="2422"/>
      <c r="Y19" s="2422"/>
      <c r="Z19" s="1796"/>
      <c r="AA19" s="1879"/>
      <c r="AB19" s="2461"/>
      <c r="AC19" s="2461"/>
      <c r="AD19" s="2461"/>
      <c r="AE19" s="2461"/>
      <c r="AF19" s="2461"/>
      <c r="AG19" s="2461"/>
      <c r="AH19" s="2461"/>
      <c r="AI19" s="2462"/>
      <c r="AJ19" s="1858"/>
      <c r="BM19" s="577">
        <v>14</v>
      </c>
    </row>
    <row customHeight="1" ht="14.699999999999998">
      <c r="D20" s="2467"/>
      <c r="E20" s="2463"/>
      <c r="F20" s="2463"/>
      <c r="G20" s="2470"/>
      <c r="H20" s="1884"/>
      <c r="I20" s="2466"/>
      <c r="J20" s="2437"/>
      <c r="K20" s="1867"/>
      <c r="L20" s="2422"/>
      <c r="M20" s="2422"/>
      <c r="N20" s="1874"/>
      <c r="O20" s="2422"/>
      <c r="P20" s="2437"/>
      <c r="Q20" s="1875"/>
      <c r="R20" s="2422"/>
      <c r="S20" s="2422"/>
      <c r="T20" s="1880"/>
      <c r="U20" s="1881"/>
      <c r="V20" s="2461"/>
      <c r="W20" s="2461"/>
      <c r="X20" s="2461"/>
      <c r="Y20" s="2461"/>
      <c r="Z20" s="2461"/>
      <c r="AA20" s="2461"/>
      <c r="AB20" s="2461"/>
      <c r="AC20" s="2461"/>
      <c r="AD20" s="2461"/>
      <c r="AE20" s="2461"/>
      <c r="AF20" s="2461"/>
      <c r="AG20" s="2461"/>
      <c r="AH20" s="2461"/>
      <c r="AI20" s="2462"/>
      <c r="AJ20" s="1858"/>
      <c r="BM20" s="577">
        <v>14</v>
      </c>
    </row>
    <row customHeight="1" ht="11.549999999999999">
      <c r="D21" s="2467"/>
      <c r="E21" s="2463"/>
      <c r="F21" s="2463"/>
      <c r="G21" s="2470"/>
      <c r="H21" s="1885"/>
      <c r="I21" s="2466"/>
      <c r="J21" s="2437"/>
      <c r="K21" s="1867"/>
      <c r="L21" s="2422"/>
      <c r="M21" s="2422"/>
      <c r="N21" s="1879"/>
      <c r="O21" s="1879"/>
      <c r="P21" s="2461"/>
      <c r="Q21" s="2461"/>
      <c r="R21" s="2461"/>
      <c r="S21" s="2461"/>
      <c r="T21" s="2461"/>
      <c r="U21" s="2461"/>
      <c r="V21" s="2461"/>
      <c r="W21" s="2461"/>
      <c r="X21" s="2461"/>
      <c r="Y21" s="2461"/>
      <c r="Z21" s="2461"/>
      <c r="AA21" s="2461"/>
      <c r="AB21" s="2461"/>
      <c r="AC21" s="2461"/>
      <c r="AD21" s="2461"/>
      <c r="AE21" s="2461"/>
      <c r="AF21" s="2461"/>
      <c r="AG21" s="2461"/>
      <c r="AH21" s="2461"/>
      <c r="AI21" s="2462"/>
      <c r="AJ21" s="1858"/>
      <c r="BM21" s="577">
        <v>11</v>
      </c>
    </row>
    <row s="14524" customFormat="1" customHeight="1" ht="11.549999999999999">
      <c r="D22" s="2473"/>
      <c r="E22" s="2474"/>
      <c r="F22" s="2464"/>
      <c r="G22" s="2396"/>
      <c r="H22" s="1882"/>
      <c r="I22" s="1886"/>
      <c r="J22" s="2471"/>
      <c r="K22" s="2471"/>
      <c r="L22" s="2471"/>
      <c r="M22" s="2471"/>
      <c r="N22" s="2471"/>
      <c r="O22" s="2471"/>
      <c r="P22" s="2471"/>
      <c r="Q22" s="2471"/>
      <c r="R22" s="2471"/>
      <c r="S22" s="2471"/>
      <c r="T22" s="2471"/>
      <c r="U22" s="2471"/>
      <c r="V22" s="2471"/>
      <c r="W22" s="2471"/>
      <c r="X22" s="2471"/>
      <c r="Y22" s="2471"/>
      <c r="Z22" s="2471"/>
      <c r="AA22" s="2471"/>
      <c r="AB22" s="2471"/>
      <c r="AC22" s="2471"/>
      <c r="AD22" s="2471"/>
      <c r="AE22" s="2471"/>
      <c r="AF22" s="2471"/>
      <c r="AG22" s="2471"/>
      <c r="AH22" s="2471"/>
      <c r="AI22" s="2472"/>
      <c r="AJ22" s="1858"/>
      <c r="AK22" s="590"/>
      <c r="AL22" s="1858"/>
      <c r="AM22" s="1858"/>
      <c r="AN22" s="1858"/>
      <c r="AO22" s="1858"/>
      <c r="AP22" s="1858"/>
      <c r="AQ22" s="1858"/>
      <c r="AR22" s="1858"/>
      <c r="AS22" s="1858"/>
      <c r="AT22" s="1858"/>
      <c r="AU22" s="1858"/>
      <c r="AV22" s="1858"/>
      <c r="AW22" s="1858"/>
      <c r="AX22" s="1858"/>
      <c r="AY22" s="1858"/>
      <c r="AZ22" s="1858"/>
      <c r="BA22" s="1858"/>
      <c r="BB22" s="1858"/>
      <c r="BC22" s="1858"/>
      <c r="BD22" s="1858"/>
      <c r="BE22" s="1858"/>
      <c r="BF22" s="1858"/>
      <c r="BG22" s="1858"/>
      <c r="BH22" s="1858"/>
      <c r="BI22" s="1858"/>
      <c r="BJ22" s="1858"/>
      <c r="BK22" s="1858"/>
      <c r="BL22" s="1858"/>
      <c r="BM22" s="1838">
        <v>11</v>
      </c>
    </row>
    <row customHeight="1" ht="15">
      <c r="D23" s="2467" t="s">
        <v>91</v>
      </c>
      <c r="E23" s="2463" t="s">
        <v>298</v>
      </c>
      <c r="F23" s="2463" t="s">
        <v>301</v>
      </c>
      <c r="G23" s="2469" t="s">
        <v>19</v>
      </c>
      <c r="H23" s="1883"/>
      <c r="I23" s="2465"/>
      <c r="J23" s="2436"/>
      <c r="K23" s="1798"/>
      <c r="L23" s="2421"/>
      <c r="M23" s="2421"/>
      <c r="N23" s="1868"/>
      <c r="O23" s="2421"/>
      <c r="P23" s="2436"/>
      <c r="Q23" s="1869"/>
      <c r="R23" s="2421"/>
      <c r="S23" s="2421"/>
      <c r="T23" s="1870"/>
      <c r="U23" s="2421"/>
      <c r="V23" s="2436"/>
      <c r="W23" s="1871"/>
      <c r="X23" s="2421"/>
      <c r="Y23" s="2421"/>
      <c r="Z23" s="1868"/>
      <c r="AA23" s="2421"/>
      <c r="AB23" s="2436"/>
      <c r="AC23" s="1872"/>
      <c r="AD23" s="2421"/>
      <c r="AE23" s="2421"/>
      <c r="AF23" s="1797"/>
      <c r="AG23" s="1797"/>
      <c r="AH23" s="1873"/>
      <c r="AI23" s="1580"/>
      <c r="AJ23" s="1858"/>
      <c r="AK23" s="590" t="s">
        <v>99</v>
      </c>
      <c r="BM23" s="577">
        <v>14</v>
      </c>
    </row>
    <row customHeight="1" ht="14.699999999999998">
      <c r="D24" s="2467"/>
      <c r="E24" s="2463"/>
      <c r="F24" s="2463"/>
      <c r="G24" s="2470"/>
      <c r="H24" s="1884"/>
      <c r="I24" s="2466"/>
      <c r="J24" s="2437"/>
      <c r="K24" s="1894"/>
      <c r="L24" s="2422"/>
      <c r="M24" s="2422"/>
      <c r="N24" s="1874"/>
      <c r="O24" s="2422"/>
      <c r="P24" s="2437"/>
      <c r="Q24" s="1875"/>
      <c r="R24" s="2422"/>
      <c r="S24" s="2422"/>
      <c r="T24" s="1876"/>
      <c r="U24" s="2422"/>
      <c r="V24" s="2437"/>
      <c r="W24" s="1877"/>
      <c r="X24" s="2422"/>
      <c r="Y24" s="2422"/>
      <c r="Z24" s="1874"/>
      <c r="AA24" s="2422"/>
      <c r="AB24" s="2437"/>
      <c r="AC24" s="1878"/>
      <c r="AD24" s="2422"/>
      <c r="AE24" s="2422"/>
      <c r="AF24" s="1879"/>
      <c r="AG24" s="1879"/>
      <c r="AH24" s="2461"/>
      <c r="AI24" s="2462"/>
      <c r="AJ24" s="1858"/>
      <c r="BM24" s="577">
        <v>14</v>
      </c>
    </row>
    <row customHeight="1" ht="14.699999999999998">
      <c r="D25" s="2467"/>
      <c r="E25" s="2463"/>
      <c r="F25" s="2463"/>
      <c r="G25" s="2470"/>
      <c r="H25" s="1884"/>
      <c r="I25" s="2466"/>
      <c r="J25" s="2437"/>
      <c r="K25" s="1894"/>
      <c r="L25" s="2422"/>
      <c r="M25" s="2422"/>
      <c r="N25" s="1874"/>
      <c r="O25" s="2422"/>
      <c r="P25" s="2437"/>
      <c r="Q25" s="1875"/>
      <c r="R25" s="2422"/>
      <c r="S25" s="2422"/>
      <c r="T25" s="1876"/>
      <c r="U25" s="2422"/>
      <c r="V25" s="2437"/>
      <c r="W25" s="1877"/>
      <c r="X25" s="2422"/>
      <c r="Y25" s="2422"/>
      <c r="Z25" s="1796"/>
      <c r="AA25" s="1879"/>
      <c r="AB25" s="2461"/>
      <c r="AC25" s="2461"/>
      <c r="AD25" s="2461"/>
      <c r="AE25" s="2461"/>
      <c r="AF25" s="2461"/>
      <c r="AG25" s="2461"/>
      <c r="AH25" s="2461"/>
      <c r="AI25" s="2462"/>
      <c r="AJ25" s="1858"/>
      <c r="BM25" s="577">
        <v>14</v>
      </c>
    </row>
    <row customHeight="1" ht="14.699999999999998">
      <c r="D26" s="2467"/>
      <c r="E26" s="2463"/>
      <c r="F26" s="2463"/>
      <c r="G26" s="2470"/>
      <c r="H26" s="1884"/>
      <c r="I26" s="2466"/>
      <c r="J26" s="2437"/>
      <c r="K26" s="1894"/>
      <c r="L26" s="2422"/>
      <c r="M26" s="2422"/>
      <c r="N26" s="1874"/>
      <c r="O26" s="2422"/>
      <c r="P26" s="2437"/>
      <c r="Q26" s="1875"/>
      <c r="R26" s="2422"/>
      <c r="S26" s="2422"/>
      <c r="T26" s="1880"/>
      <c r="U26" s="1881"/>
      <c r="V26" s="2461"/>
      <c r="W26" s="2461"/>
      <c r="X26" s="2461"/>
      <c r="Y26" s="2461"/>
      <c r="Z26" s="2461"/>
      <c r="AA26" s="2461"/>
      <c r="AB26" s="2461"/>
      <c r="AC26" s="2461"/>
      <c r="AD26" s="2461"/>
      <c r="AE26" s="2461"/>
      <c r="AF26" s="2461"/>
      <c r="AG26" s="2461"/>
      <c r="AH26" s="2461"/>
      <c r="AI26" s="2462"/>
      <c r="AJ26" s="1858"/>
      <c r="BM26" s="577">
        <v>14</v>
      </c>
    </row>
    <row customHeight="1" ht="11.549999999999999">
      <c r="D27" s="2467"/>
      <c r="E27" s="2463"/>
      <c r="F27" s="2463"/>
      <c r="G27" s="2470"/>
      <c r="H27" s="1885"/>
      <c r="I27" s="2466"/>
      <c r="J27" s="2437"/>
      <c r="K27" s="1894"/>
      <c r="L27" s="2422"/>
      <c r="M27" s="2422"/>
      <c r="N27" s="1879"/>
      <c r="O27" s="1879"/>
      <c r="P27" s="2461"/>
      <c r="Q27" s="2461"/>
      <c r="R27" s="2461"/>
      <c r="S27" s="2461"/>
      <c r="T27" s="2461"/>
      <c r="U27" s="2461"/>
      <c r="V27" s="2461"/>
      <c r="W27" s="2461"/>
      <c r="X27" s="2461"/>
      <c r="Y27" s="2461"/>
      <c r="Z27" s="2461"/>
      <c r="AA27" s="2461"/>
      <c r="AB27" s="2461"/>
      <c r="AC27" s="2461"/>
      <c r="AD27" s="2461"/>
      <c r="AE27" s="2461"/>
      <c r="AF27" s="2461"/>
      <c r="AG27" s="2461"/>
      <c r="AH27" s="2461"/>
      <c r="AI27" s="2462"/>
      <c r="AJ27" s="1858"/>
      <c r="BM27" s="577">
        <v>11</v>
      </c>
    </row>
    <row s="14524" customFormat="1" customHeight="1" ht="11.549999999999999">
      <c r="D28" s="2473"/>
      <c r="E28" s="2474"/>
      <c r="F28" s="2464"/>
      <c r="G28" s="2396"/>
      <c r="H28" s="1882"/>
      <c r="I28" s="1886"/>
      <c r="J28" s="2471"/>
      <c r="K28" s="2471"/>
      <c r="L28" s="2471"/>
      <c r="M28" s="2471"/>
      <c r="N28" s="2471"/>
      <c r="O28" s="2471"/>
      <c r="P28" s="2471"/>
      <c r="Q28" s="2471"/>
      <c r="R28" s="2471"/>
      <c r="S28" s="2471"/>
      <c r="T28" s="2471"/>
      <c r="U28" s="2471"/>
      <c r="V28" s="2471"/>
      <c r="W28" s="2471"/>
      <c r="X28" s="2471"/>
      <c r="Y28" s="2471"/>
      <c r="Z28" s="2471"/>
      <c r="AA28" s="2471"/>
      <c r="AB28" s="2471"/>
      <c r="AC28" s="2471"/>
      <c r="AD28" s="2471"/>
      <c r="AE28" s="2471"/>
      <c r="AF28" s="2471"/>
      <c r="AG28" s="2471"/>
      <c r="AH28" s="2471"/>
      <c r="AI28" s="2472"/>
      <c r="AJ28" s="1858"/>
      <c r="AK28" s="590"/>
      <c r="AL28" s="1858"/>
      <c r="AM28" s="1858"/>
      <c r="AN28" s="1858"/>
      <c r="AO28" s="1858"/>
      <c r="AP28" s="1858"/>
      <c r="AQ28" s="1858"/>
      <c r="AR28" s="1858"/>
      <c r="AS28" s="1858"/>
      <c r="AT28" s="1858"/>
      <c r="AU28" s="1858"/>
      <c r="AV28" s="1858"/>
      <c r="AW28" s="1858"/>
      <c r="AX28" s="1858"/>
      <c r="AY28" s="1858"/>
      <c r="AZ28" s="1858"/>
      <c r="BA28" s="1858"/>
      <c r="BB28" s="1858"/>
      <c r="BC28" s="1858"/>
      <c r="BD28" s="1858"/>
      <c r="BE28" s="1858"/>
      <c r="BF28" s="1858"/>
      <c r="BG28" s="1858"/>
      <c r="BH28" s="1858"/>
      <c r="BI28" s="1858"/>
      <c r="BJ28" s="1858"/>
      <c r="BK28" s="1858"/>
      <c r="BL28" s="1858"/>
      <c r="BM28" s="1838">
        <v>11</v>
      </c>
    </row>
    <row customHeight="1" ht="15">
      <c r="D29" s="2467" t="s">
        <v>92</v>
      </c>
      <c r="E29" s="2463" t="s">
        <v>298</v>
      </c>
      <c r="F29" s="2463" t="s">
        <v>302</v>
      </c>
      <c r="G29" s="2469" t="s">
        <v>19</v>
      </c>
      <c r="H29" s="1883"/>
      <c r="I29" s="2465"/>
      <c r="J29" s="2436"/>
      <c r="K29" s="1798"/>
      <c r="L29" s="2421"/>
      <c r="M29" s="2421"/>
      <c r="N29" s="1868"/>
      <c r="O29" s="2421"/>
      <c r="P29" s="2436"/>
      <c r="Q29" s="1869"/>
      <c r="R29" s="2421"/>
      <c r="S29" s="2421"/>
      <c r="T29" s="1870"/>
      <c r="U29" s="2421"/>
      <c r="V29" s="2436"/>
      <c r="W29" s="1871"/>
      <c r="X29" s="2421"/>
      <c r="Y29" s="2421"/>
      <c r="Z29" s="1868"/>
      <c r="AA29" s="2421"/>
      <c r="AB29" s="2436"/>
      <c r="AC29" s="1872"/>
      <c r="AD29" s="2421"/>
      <c r="AE29" s="2421"/>
      <c r="AF29" s="1797"/>
      <c r="AG29" s="1797"/>
      <c r="AH29" s="1873"/>
      <c r="AI29" s="1580"/>
      <c r="AJ29" s="1858"/>
      <c r="BM29" s="577">
        <v>14</v>
      </c>
    </row>
    <row customHeight="1" ht="14.699999999999998">
      <c r="D30" s="2467"/>
      <c r="E30" s="2463"/>
      <c r="F30" s="2463"/>
      <c r="G30" s="2470"/>
      <c r="H30" s="1884"/>
      <c r="I30" s="2466"/>
      <c r="J30" s="2437"/>
      <c r="K30" s="1867"/>
      <c r="L30" s="2422"/>
      <c r="M30" s="2422"/>
      <c r="N30" s="1874"/>
      <c r="O30" s="2422"/>
      <c r="P30" s="2437"/>
      <c r="Q30" s="1875"/>
      <c r="R30" s="2422"/>
      <c r="S30" s="2422"/>
      <c r="T30" s="1876"/>
      <c r="U30" s="2422"/>
      <c r="V30" s="2437"/>
      <c r="W30" s="1877"/>
      <c r="X30" s="2422"/>
      <c r="Y30" s="2422"/>
      <c r="Z30" s="1874"/>
      <c r="AA30" s="2422"/>
      <c r="AB30" s="2437"/>
      <c r="AC30" s="1878"/>
      <c r="AD30" s="2422"/>
      <c r="AE30" s="2422"/>
      <c r="AF30" s="1879"/>
      <c r="AG30" s="1879"/>
      <c r="AH30" s="2461"/>
      <c r="AI30" s="2462"/>
      <c r="AJ30" s="1858"/>
      <c r="BM30" s="577">
        <v>14</v>
      </c>
    </row>
    <row customHeight="1" ht="14.699999999999998">
      <c r="D31" s="2467"/>
      <c r="E31" s="2463"/>
      <c r="F31" s="2463"/>
      <c r="G31" s="2470"/>
      <c r="H31" s="1884"/>
      <c r="I31" s="2466"/>
      <c r="J31" s="2437"/>
      <c r="K31" s="1867"/>
      <c r="L31" s="2422"/>
      <c r="M31" s="2422"/>
      <c r="N31" s="1874"/>
      <c r="O31" s="2422"/>
      <c r="P31" s="2437"/>
      <c r="Q31" s="1875"/>
      <c r="R31" s="2422"/>
      <c r="S31" s="2422"/>
      <c r="T31" s="1876"/>
      <c r="U31" s="2422"/>
      <c r="V31" s="2437"/>
      <c r="W31" s="1877"/>
      <c r="X31" s="2422"/>
      <c r="Y31" s="2422"/>
      <c r="Z31" s="1796"/>
      <c r="AA31" s="1879"/>
      <c r="AB31" s="2461"/>
      <c r="AC31" s="2461"/>
      <c r="AD31" s="2461"/>
      <c r="AE31" s="2461"/>
      <c r="AF31" s="2461"/>
      <c r="AG31" s="2461"/>
      <c r="AH31" s="2461"/>
      <c r="AI31" s="2462"/>
      <c r="AJ31" s="1858"/>
      <c r="BM31" s="577">
        <v>14</v>
      </c>
    </row>
    <row customHeight="1" ht="14.699999999999998">
      <c r="D32" s="2467"/>
      <c r="E32" s="2463"/>
      <c r="F32" s="2463"/>
      <c r="G32" s="2470"/>
      <c r="H32" s="1884"/>
      <c r="I32" s="2466"/>
      <c r="J32" s="2437"/>
      <c r="K32" s="1867"/>
      <c r="L32" s="2422"/>
      <c r="M32" s="2422"/>
      <c r="N32" s="1874"/>
      <c r="O32" s="2422"/>
      <c r="P32" s="2437"/>
      <c r="Q32" s="1875"/>
      <c r="R32" s="2422"/>
      <c r="S32" s="2422"/>
      <c r="T32" s="1880"/>
      <c r="U32" s="1881"/>
      <c r="V32" s="2461"/>
      <c r="W32" s="2461"/>
      <c r="X32" s="2461"/>
      <c r="Y32" s="2461"/>
      <c r="Z32" s="2461"/>
      <c r="AA32" s="2461"/>
      <c r="AB32" s="2461"/>
      <c r="AC32" s="2461"/>
      <c r="AD32" s="2461"/>
      <c r="AE32" s="2461"/>
      <c r="AF32" s="2461"/>
      <c r="AG32" s="2461"/>
      <c r="AH32" s="2461"/>
      <c r="AI32" s="2462"/>
      <c r="AJ32" s="1858"/>
      <c r="BM32" s="577">
        <v>14</v>
      </c>
    </row>
    <row customHeight="1" ht="11.549999999999999">
      <c r="D33" s="2467"/>
      <c r="E33" s="2463"/>
      <c r="F33" s="2463"/>
      <c r="G33" s="2470"/>
      <c r="H33" s="1885"/>
      <c r="I33" s="2466"/>
      <c r="J33" s="2437"/>
      <c r="K33" s="1867"/>
      <c r="L33" s="2422"/>
      <c r="M33" s="2422"/>
      <c r="N33" s="1879"/>
      <c r="O33" s="1879"/>
      <c r="P33" s="2461"/>
      <c r="Q33" s="2461"/>
      <c r="R33" s="2461"/>
      <c r="S33" s="2461"/>
      <c r="T33" s="2461"/>
      <c r="U33" s="2461"/>
      <c r="V33" s="2461"/>
      <c r="W33" s="2461"/>
      <c r="X33" s="2461"/>
      <c r="Y33" s="2461"/>
      <c r="Z33" s="2461"/>
      <c r="AA33" s="2461"/>
      <c r="AB33" s="2461"/>
      <c r="AC33" s="2461"/>
      <c r="AD33" s="2461"/>
      <c r="AE33" s="2461"/>
      <c r="AF33" s="2461"/>
      <c r="AG33" s="2461"/>
      <c r="AH33" s="2461"/>
      <c r="AI33" s="2462"/>
      <c r="AJ33" s="1858"/>
      <c r="BM33" s="577">
        <v>11</v>
      </c>
    </row>
    <row s="14524" customFormat="1" customHeight="1" ht="11.549999999999999">
      <c r="D34" s="2473"/>
      <c r="E34" s="2474"/>
      <c r="F34" s="2464"/>
      <c r="G34" s="2396"/>
      <c r="H34" s="1882"/>
      <c r="I34" s="1886"/>
      <c r="J34" s="2471"/>
      <c r="K34" s="2471"/>
      <c r="L34" s="2471"/>
      <c r="M34" s="2471"/>
      <c r="N34" s="2471"/>
      <c r="O34" s="2471"/>
      <c r="P34" s="2471"/>
      <c r="Q34" s="2471"/>
      <c r="R34" s="2471"/>
      <c r="S34" s="2471"/>
      <c r="T34" s="2471"/>
      <c r="U34" s="2471"/>
      <c r="V34" s="2471"/>
      <c r="W34" s="2471"/>
      <c r="X34" s="2471"/>
      <c r="Y34" s="2471"/>
      <c r="Z34" s="2471"/>
      <c r="AA34" s="2471"/>
      <c r="AB34" s="2471"/>
      <c r="AC34" s="2471"/>
      <c r="AD34" s="2471"/>
      <c r="AE34" s="2471"/>
      <c r="AF34" s="2471"/>
      <c r="AG34" s="2471"/>
      <c r="AH34" s="2471"/>
      <c r="AI34" s="2472"/>
      <c r="AJ34" s="1858"/>
      <c r="AK34" s="590"/>
      <c r="AL34" s="1858"/>
      <c r="AM34" s="1858"/>
      <c r="AN34" s="1858"/>
      <c r="AO34" s="1858"/>
      <c r="AP34" s="1858"/>
      <c r="AQ34" s="1858"/>
      <c r="AR34" s="1858"/>
      <c r="AS34" s="1858"/>
      <c r="AT34" s="1858"/>
      <c r="AU34" s="1858"/>
      <c r="AV34" s="1858"/>
      <c r="AW34" s="1858"/>
      <c r="AX34" s="1858"/>
      <c r="AY34" s="1858"/>
      <c r="AZ34" s="1858"/>
      <c r="BA34" s="1858"/>
      <c r="BB34" s="1858"/>
      <c r="BC34" s="1858"/>
      <c r="BD34" s="1858"/>
      <c r="BE34" s="1858"/>
      <c r="BF34" s="1858"/>
      <c r="BG34" s="1858"/>
      <c r="BH34" s="1858"/>
      <c r="BI34" s="1858"/>
      <c r="BJ34" s="1858"/>
      <c r="BK34" s="1858"/>
      <c r="BL34" s="1858"/>
      <c r="BM34" s="1838">
        <v>11</v>
      </c>
    </row>
    <row customHeight="1" ht="15">
      <c r="D35" s="2467" t="s">
        <v>112</v>
      </c>
      <c r="E35" s="2463" t="s">
        <v>298</v>
      </c>
      <c r="F35" s="2463" t="s">
        <v>303</v>
      </c>
      <c r="G35" s="2469" t="s">
        <v>19</v>
      </c>
      <c r="H35" s="1883"/>
      <c r="I35" s="2465"/>
      <c r="J35" s="2436"/>
      <c r="K35" s="1798"/>
      <c r="L35" s="2421"/>
      <c r="M35" s="2421"/>
      <c r="N35" s="1868"/>
      <c r="O35" s="2421"/>
      <c r="P35" s="2436"/>
      <c r="Q35" s="1869"/>
      <c r="R35" s="2421"/>
      <c r="S35" s="2421"/>
      <c r="T35" s="1870"/>
      <c r="U35" s="2421"/>
      <c r="V35" s="2436"/>
      <c r="W35" s="1871"/>
      <c r="X35" s="2421"/>
      <c r="Y35" s="2421"/>
      <c r="Z35" s="1868"/>
      <c r="AA35" s="2421"/>
      <c r="AB35" s="2436"/>
      <c r="AC35" s="1872"/>
      <c r="AD35" s="2421"/>
      <c r="AE35" s="2421"/>
      <c r="AF35" s="1797"/>
      <c r="AG35" s="1797"/>
      <c r="AH35" s="1873"/>
      <c r="AI35" s="1580"/>
      <c r="AJ35" s="1858"/>
      <c r="BM35" s="577">
        <v>14</v>
      </c>
    </row>
    <row customHeight="1" ht="14.699999999999998">
      <c r="D36" s="2467"/>
      <c r="E36" s="2463"/>
      <c r="F36" s="2463"/>
      <c r="G36" s="2470"/>
      <c r="H36" s="1884"/>
      <c r="I36" s="2466"/>
      <c r="J36" s="2437"/>
      <c r="K36" s="1867"/>
      <c r="L36" s="2422"/>
      <c r="M36" s="2422"/>
      <c r="N36" s="1874"/>
      <c r="O36" s="2422"/>
      <c r="P36" s="2437"/>
      <c r="Q36" s="1875"/>
      <c r="R36" s="2422"/>
      <c r="S36" s="2422"/>
      <c r="T36" s="1876"/>
      <c r="U36" s="2422"/>
      <c r="V36" s="2437"/>
      <c r="W36" s="1877"/>
      <c r="X36" s="2422"/>
      <c r="Y36" s="2422"/>
      <c r="Z36" s="1874"/>
      <c r="AA36" s="2422"/>
      <c r="AB36" s="2437"/>
      <c r="AC36" s="1878"/>
      <c r="AD36" s="2422"/>
      <c r="AE36" s="2422"/>
      <c r="AF36" s="1879"/>
      <c r="AG36" s="1879"/>
      <c r="AH36" s="2461"/>
      <c r="AI36" s="2462"/>
      <c r="AJ36" s="1858"/>
      <c r="BM36" s="577">
        <v>14</v>
      </c>
    </row>
    <row customHeight="1" ht="14.699999999999998">
      <c r="D37" s="2467"/>
      <c r="E37" s="2463"/>
      <c r="F37" s="2463"/>
      <c r="G37" s="2470"/>
      <c r="H37" s="1884"/>
      <c r="I37" s="2466"/>
      <c r="J37" s="2437"/>
      <c r="K37" s="1867"/>
      <c r="L37" s="2422"/>
      <c r="M37" s="2422"/>
      <c r="N37" s="1874"/>
      <c r="O37" s="2422"/>
      <c r="P37" s="2437"/>
      <c r="Q37" s="1875"/>
      <c r="R37" s="2422"/>
      <c r="S37" s="2422"/>
      <c r="T37" s="1876"/>
      <c r="U37" s="2422"/>
      <c r="V37" s="2437"/>
      <c r="W37" s="1877"/>
      <c r="X37" s="2422"/>
      <c r="Y37" s="2422"/>
      <c r="Z37" s="1796"/>
      <c r="AA37" s="1879"/>
      <c r="AB37" s="2461"/>
      <c r="AC37" s="2461"/>
      <c r="AD37" s="2461"/>
      <c r="AE37" s="2461"/>
      <c r="AF37" s="2461"/>
      <c r="AG37" s="2461"/>
      <c r="AH37" s="2461"/>
      <c r="AI37" s="2462"/>
      <c r="AJ37" s="1858"/>
      <c r="BM37" s="577">
        <v>14</v>
      </c>
    </row>
    <row customHeight="1" ht="14.699999999999998">
      <c r="D38" s="2467"/>
      <c r="E38" s="2463"/>
      <c r="F38" s="2463"/>
      <c r="G38" s="2470"/>
      <c r="H38" s="1884"/>
      <c r="I38" s="2466"/>
      <c r="J38" s="2437"/>
      <c r="K38" s="1867"/>
      <c r="L38" s="2422"/>
      <c r="M38" s="2422"/>
      <c r="N38" s="1874"/>
      <c r="O38" s="2422"/>
      <c r="P38" s="2437"/>
      <c r="Q38" s="1875"/>
      <c r="R38" s="2422"/>
      <c r="S38" s="2422"/>
      <c r="T38" s="1880"/>
      <c r="U38" s="1881"/>
      <c r="V38" s="2461"/>
      <c r="W38" s="2461"/>
      <c r="X38" s="2461"/>
      <c r="Y38" s="2461"/>
      <c r="Z38" s="2461"/>
      <c r="AA38" s="2461"/>
      <c r="AB38" s="2461"/>
      <c r="AC38" s="2461"/>
      <c r="AD38" s="2461"/>
      <c r="AE38" s="2461"/>
      <c r="AF38" s="2461"/>
      <c r="AG38" s="2461"/>
      <c r="AH38" s="2461"/>
      <c r="AI38" s="2462"/>
      <c r="AJ38" s="1858"/>
      <c r="BM38" s="577">
        <v>14</v>
      </c>
    </row>
    <row customHeight="1" ht="11.549999999999999">
      <c r="D39" s="2467"/>
      <c r="E39" s="2463"/>
      <c r="F39" s="2463"/>
      <c r="G39" s="2470"/>
      <c r="H39" s="1885"/>
      <c r="I39" s="2466"/>
      <c r="J39" s="2437"/>
      <c r="K39" s="1867"/>
      <c r="L39" s="2422"/>
      <c r="M39" s="2422"/>
      <c r="N39" s="1879"/>
      <c r="O39" s="1879"/>
      <c r="P39" s="2461"/>
      <c r="Q39" s="2461"/>
      <c r="R39" s="2461"/>
      <c r="S39" s="2461"/>
      <c r="T39" s="2461"/>
      <c r="U39" s="2461"/>
      <c r="V39" s="2461"/>
      <c r="W39" s="2461"/>
      <c r="X39" s="2461"/>
      <c r="Y39" s="2461"/>
      <c r="Z39" s="2461"/>
      <c r="AA39" s="2461"/>
      <c r="AB39" s="2461"/>
      <c r="AC39" s="2461"/>
      <c r="AD39" s="2461"/>
      <c r="AE39" s="2461"/>
      <c r="AF39" s="2461"/>
      <c r="AG39" s="2461"/>
      <c r="AH39" s="2461"/>
      <c r="AI39" s="2462"/>
      <c r="AJ39" s="1858"/>
      <c r="BM39" s="577">
        <v>11</v>
      </c>
    </row>
    <row s="14524" customFormat="1" customHeight="1" ht="11.549999999999999">
      <c r="D40" s="2467"/>
      <c r="E40" s="2463"/>
      <c r="F40" s="2468"/>
      <c r="G40" s="2396"/>
      <c r="H40" s="1882"/>
      <c r="I40" s="1886"/>
      <c r="J40" s="2471"/>
      <c r="K40" s="2471"/>
      <c r="L40" s="2471"/>
      <c r="M40" s="2471"/>
      <c r="N40" s="2471"/>
      <c r="O40" s="2471"/>
      <c r="P40" s="2471"/>
      <c r="Q40" s="2471"/>
      <c r="R40" s="2471"/>
      <c r="S40" s="2471"/>
      <c r="T40" s="2471"/>
      <c r="U40" s="2471"/>
      <c r="V40" s="2471"/>
      <c r="W40" s="2471"/>
      <c r="X40" s="2471"/>
      <c r="Y40" s="2471"/>
      <c r="Z40" s="2471"/>
      <c r="AA40" s="2471"/>
      <c r="AB40" s="2471"/>
      <c r="AC40" s="2471"/>
      <c r="AD40" s="2471"/>
      <c r="AE40" s="2471"/>
      <c r="AF40" s="2471"/>
      <c r="AG40" s="2471"/>
      <c r="AH40" s="2471"/>
      <c r="AI40" s="2472"/>
      <c r="AJ40" s="1858"/>
      <c r="AK40" s="590"/>
      <c r="AL40" s="1858"/>
      <c r="AM40" s="1858"/>
      <c r="AN40" s="1858"/>
      <c r="AO40" s="1858"/>
      <c r="AP40" s="1858"/>
      <c r="AQ40" s="1858"/>
      <c r="AR40" s="1858"/>
      <c r="AS40" s="1858"/>
      <c r="AT40" s="1858"/>
      <c r="AU40" s="1858"/>
      <c r="AV40" s="1858"/>
      <c r="AW40" s="1858"/>
      <c r="AX40" s="1858"/>
      <c r="AY40" s="1858"/>
      <c r="AZ40" s="1858"/>
      <c r="BA40" s="1858"/>
      <c r="BB40" s="1858"/>
      <c r="BC40" s="1858"/>
      <c r="BD40" s="1858"/>
      <c r="BE40" s="1858"/>
      <c r="BF40" s="1858"/>
      <c r="BG40" s="1858"/>
      <c r="BH40" s="1858"/>
      <c r="BI40" s="1858"/>
      <c r="BJ40" s="1858"/>
      <c r="BK40" s="1858"/>
      <c r="BL40" s="1858"/>
      <c r="BM40" s="1838">
        <v>11</v>
      </c>
    </row>
    <row customHeight="1" ht="11.549999999999999">
      <c r="AK41" s="707"/>
      <c r="BM41" s="577">
        <v>11</v>
      </c>
    </row>
    <row customHeight="1" ht="11.549999999999999">
      <c r="AK42" s="707"/>
      <c r="BM42" s="577">
        <v>11</v>
      </c>
    </row>
    <row customHeight="1" ht="11.549999999999999">
      <c r="AK43" s="707"/>
      <c r="BM43" s="577">
        <v>11</v>
      </c>
    </row>
    <row customHeight="1" ht="11.549999999999999">
      <c r="AK44" s="707"/>
      <c r="BM44" s="577">
        <v>11</v>
      </c>
    </row>
    <row customHeight="1" ht="11.549999999999999">
      <c r="AK45" s="707"/>
      <c r="BM45" s="577">
        <v>11</v>
      </c>
    </row>
    <row customHeight="1" ht="11.549999999999999">
      <c r="AK46" s="707"/>
      <c r="BM46" s="577">
        <v>11</v>
      </c>
    </row>
    <row customHeight="1" ht="11.549999999999999">
      <c r="AK47" s="707"/>
      <c r="BM47" s="577">
        <v>11</v>
      </c>
    </row>
    <row customHeight="1" ht="11.549999999999999">
      <c r="AK48" s="707"/>
      <c r="BM48" s="577">
        <v>11</v>
      </c>
    </row>
    <row customHeight="1" ht="11.549999999999999">
      <c r="AK49" s="707"/>
      <c r="BM49" s="577">
        <v>11</v>
      </c>
    </row>
    <row customHeight="1" ht="11.25" hidden="1">
      <c r="A50" s="577" t="s">
        <v>83</v>
      </c>
      <c r="B50" s="577">
        <v>0</v>
      </c>
      <c r="C50" s="577">
        <v>3</v>
      </c>
      <c r="D50" s="577">
        <v>3</v>
      </c>
      <c r="E50" s="577">
        <v>15</v>
      </c>
      <c r="F50" s="577">
        <v>15</v>
      </c>
      <c r="G50" s="577">
        <v>11</v>
      </c>
      <c r="H50" s="577">
        <v>3</v>
      </c>
      <c r="I50" s="577">
        <v>3</v>
      </c>
      <c r="J50" s="577">
        <v>12</v>
      </c>
      <c r="K50" s="577">
        <v>0</v>
      </c>
      <c r="L50" s="577">
        <v>10</v>
      </c>
      <c r="M50" s="577">
        <v>10</v>
      </c>
      <c r="N50" s="577">
        <v>3</v>
      </c>
      <c r="O50" s="577">
        <v>3</v>
      </c>
      <c r="P50" s="577">
        <v>19</v>
      </c>
      <c r="Q50" s="577">
        <v>0</v>
      </c>
      <c r="R50" s="577">
        <v>10</v>
      </c>
      <c r="S50" s="577">
        <v>10</v>
      </c>
      <c r="T50" s="577">
        <v>3</v>
      </c>
      <c r="U50" s="577">
        <v>3</v>
      </c>
      <c r="V50" s="577">
        <v>25</v>
      </c>
      <c r="W50" s="577">
        <v>0</v>
      </c>
      <c r="X50" s="577">
        <v>10</v>
      </c>
      <c r="Y50" s="577">
        <v>10</v>
      </c>
      <c r="Z50" s="577">
        <v>3</v>
      </c>
      <c r="AA50" s="577">
        <v>3</v>
      </c>
      <c r="AB50" s="577">
        <v>16</v>
      </c>
      <c r="AC50" s="577">
        <v>0</v>
      </c>
      <c r="AD50" s="577">
        <v>10</v>
      </c>
      <c r="AE50" s="577">
        <v>10</v>
      </c>
      <c r="AF50" s="577">
        <v>3</v>
      </c>
      <c r="AG50" s="577">
        <v>3</v>
      </c>
      <c r="AH50" s="577">
        <v>8</v>
      </c>
      <c r="AI50" s="577">
        <v>21</v>
      </c>
      <c r="AJ50" s="707">
        <v>8</v>
      </c>
      <c r="AK50" s="590">
        <v>8</v>
      </c>
      <c r="AL50" s="707">
        <v>8</v>
      </c>
      <c r="AM50" s="707">
        <v>8</v>
      </c>
      <c r="AN50" s="707">
        <v>8</v>
      </c>
      <c r="AO50" s="707">
        <v>8</v>
      </c>
      <c r="AP50" s="707">
        <v>8</v>
      </c>
      <c r="AQ50" s="707">
        <v>8</v>
      </c>
      <c r="AR50" s="707">
        <v>8</v>
      </c>
      <c r="AS50" s="707">
        <v>8</v>
      </c>
      <c r="AT50" s="707">
        <v>8</v>
      </c>
      <c r="AU50" s="707">
        <v>8</v>
      </c>
      <c r="AV50" s="707">
        <v>8</v>
      </c>
      <c r="AW50" s="707">
        <v>8</v>
      </c>
      <c r="AX50" s="707">
        <v>8</v>
      </c>
      <c r="AY50" s="707">
        <v>8</v>
      </c>
      <c r="AZ50" s="707">
        <v>8</v>
      </c>
      <c r="BA50" s="707">
        <v>8</v>
      </c>
      <c r="BB50" s="707">
        <v>8</v>
      </c>
      <c r="BC50" s="707">
        <v>8</v>
      </c>
      <c r="BD50" s="707">
        <v>8</v>
      </c>
      <c r="BE50" s="707">
        <v>8</v>
      </c>
      <c r="BF50" s="707">
        <v>8</v>
      </c>
      <c r="BG50" s="707">
        <v>8</v>
      </c>
      <c r="BH50" s="707">
        <v>8</v>
      </c>
      <c r="BI50" s="707">
        <v>8</v>
      </c>
      <c r="BJ50" s="707">
        <v>8</v>
      </c>
      <c r="BK50" s="707">
        <v>8</v>
      </c>
      <c r="BL50" s="707">
        <v>8</v>
      </c>
      <c r="BM50" s="577">
        <v>11</v>
      </c>
    </row>
  </sheetData>
  <sheetProtection formatColumns="0" formatRows="0" autoFilter="0" sort="0" insertRows="0" insertColumns="1" deleteRows="0" deleteColumns="0"/>
  <mergeCells count="151">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AH24:AI24"/>
    <mergeCell ref="AB25:AI25"/>
    <mergeCell ref="V26:AI26"/>
    <mergeCell ref="P27:AI27"/>
    <mergeCell ref="U23:U25"/>
    <mergeCell ref="V23:V25"/>
    <mergeCell ref="X23:X25"/>
    <mergeCell ref="Y23:Y25"/>
    <mergeCell ref="L23:L27"/>
    <mergeCell ref="M23:M27"/>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AB35:AB36"/>
    <mergeCell ref="O23:O26"/>
    <mergeCell ref="P23:P26"/>
    <mergeCell ref="R23:R26"/>
    <mergeCell ref="S23:S26"/>
    <mergeCell ref="AB23:AB24"/>
    <mergeCell ref="AD23:AD24"/>
    <mergeCell ref="AE23:AE24"/>
    <mergeCell ref="AA23:AA24"/>
    <mergeCell ref="AB29:AB30"/>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s>
  <dataValidations count="2">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5C5DA28-2BF7-80A8-E818-6ABEEB035368}" mc:Ignorable="x14ac xr xr2 xr3">
  <sheetPr>
    <tabColor rgb="FFCCCCFF"/>
  </sheetPr>
  <dimension ref="A1:F5"/>
  <sheetViews>
    <sheetView topLeftCell="A1" showGridLines="0" zoomScale="90" workbookViewId="0">
      <selection activeCell="A1" sqref="A1"/>
    </sheetView>
  </sheetViews>
  <sheetFormatPr defaultColWidth="9.140625" customHeight="1" defaultRowHeight="11.25"/>
  <cols>
    <col min="1" max="1" style="14218" width="1.7109375" customWidth="1"/>
    <col min="2" max="2" style="14218" width="34.57421875" customWidth="1"/>
    <col min="3" max="3" style="14218" width="85.00390625" customWidth="1"/>
    <col min="4" max="4" style="14218" width="17.00390625" customWidth="1"/>
    <col min="5" max="5" style="14218" width="8.00390625" customWidth="1"/>
    <col min="6" max="6" style="14218" width="9.140625" hidden="1"/>
  </cols>
  <sheetData>
    <row customHeight="1" ht="3">
      <c r="F1" s="373" t="s">
        <v>14</v>
      </c>
    </row>
    <row customHeight="1" ht="22.5">
      <c r="B2" s="2897" t="s">
        <v>1910</v>
      </c>
      <c r="C2" s="2784"/>
      <c r="D2" s="2784"/>
      <c r="E2" s="552"/>
      <c r="F2" s="373">
        <v>22</v>
      </c>
    </row>
    <row customHeight="1" ht="3">
      <c r="F3" s="373">
        <v>3</v>
      </c>
    </row>
    <row customHeight="1" ht="23.25">
      <c r="B4" s="2898" t="s">
        <v>1911</v>
      </c>
      <c r="C4" s="667" t="s">
        <v>1912</v>
      </c>
      <c r="D4" s="667" t="s">
        <v>1913</v>
      </c>
      <c r="F4" s="373">
        <v>22</v>
      </c>
    </row>
    <row customHeight="1" ht="11.25" hidden="1">
      <c r="A5" s="373" t="s">
        <v>83</v>
      </c>
      <c r="B5" s="373">
        <v>34</v>
      </c>
      <c r="C5" s="373">
        <v>85</v>
      </c>
      <c r="D5" s="373">
        <v>17</v>
      </c>
      <c r="E5" s="373">
        <v>8</v>
      </c>
      <c r="F5" s="373">
        <v>11</v>
      </c>
    </row>
  </sheetData>
  <sheetProtection formatColumns="0" formatRows="0" autoFilter="0" sort="0" insertRows="0" insertColumns="1" deleteRows="0" deleteColumns="0"/>
  <mergeCells count="1">
    <mergeCell ref="B2:D2"/>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61FA4B8-82EF-1D88-09B8-FB8191C193F5}" mc:Ignorable="x14ac xr xr2 xr3">
  <sheetPr>
    <tabColor rgb="FFFFCC99"/>
  </sheetPr>
  <dimension ref="A1:GB215"/>
  <sheetViews>
    <sheetView topLeftCell="A1" showGridLines="0" zoomScale="85" workbookViewId="0">
      <selection activeCell="A1" sqref="A1"/>
    </sheetView>
  </sheetViews>
  <sheetFormatPr defaultColWidth="9.140625" customHeight="1" defaultRowHeight="17.1"/>
  <cols>
    <col min="1" max="1" style="14218" width="26.57421875" customWidth="1"/>
    <col min="2" max="2" style="14218" width="10.00390625" customWidth="1"/>
    <col min="3" max="3" style="14218" width="9.140625"/>
    <col min="4" max="4" style="14218" width="11.140625" customWidth="1"/>
    <col min="5" max="5" style="14218" width="16.57421875" customWidth="1"/>
    <col min="6" max="6" style="14218" width="16.28125" customWidth="1"/>
    <col min="7" max="7" style="14218" width="19.140625" customWidth="1"/>
    <col min="8" max="11" style="14218" width="10.00390625" customWidth="1"/>
    <col min="12" max="12" style="14218" width="12.7109375" customWidth="1"/>
    <col min="13" max="13" style="14218" width="61.28125" customWidth="1"/>
    <col min="14" max="14" style="14218" width="10.00390625" customWidth="1"/>
    <col min="15" max="17" style="14218" width="23.7109375" customWidth="1"/>
    <col min="18" max="18" style="14218" width="11.7109375" customWidth="1"/>
    <col min="19" max="19" style="14218" width="8.57421875" customWidth="1"/>
    <col min="20" max="20" style="14218" width="11.7109375" customWidth="1"/>
    <col min="21" max="21" style="14218" width="8.57421875" customWidth="1"/>
    <col min="22" max="22" style="14218" width="4.7109375" customWidth="1"/>
    <col min="23" max="23" style="14218" width="115.7109375" customWidth="1"/>
    <col min="24" max="24" style="14218" width="115.28125" customWidth="1"/>
    <col min="25" max="27" style="14218" width="9.140625"/>
    <col min="28" max="28" style="14218" width="115.7109375" customWidth="1"/>
    <col min="29" max="29" style="14218" width="9.140625"/>
    <col min="30" max="90" style="14218" width="115.7109375" customWidth="1"/>
    <col min="91" max="184" style="14218" width="9.140625"/>
  </cols>
  <sheetData>
    <row r="2" s="16332" customFormat="1" customHeight="1" ht="17.25">
      <c r="A2" s="2099" t="s">
        <v>1914</v>
      </c>
    </row>
    <row r="4" s="16321" customFormat="1" customHeight="1" ht="15">
      <c r="C4" s="2100"/>
      <c r="D4" s="397"/>
      <c r="E4" s="661"/>
    </row>
    <row r="6" s="16332" customFormat="1" customHeight="1" ht="17.25">
      <c r="A6" s="2099" t="s">
        <v>1915</v>
      </c>
    </row>
    <row r="8" s="16321" customFormat="1" customHeight="1" ht="17.25">
      <c r="C8" s="2101"/>
      <c r="D8" s="397"/>
      <c r="E8" s="398"/>
    </row>
    <row r="11" s="16332" customFormat="1" customHeight="1" ht="17.25">
      <c r="A11" s="2099" t="s">
        <v>1916</v>
      </c>
    </row>
    <row r="13" s="14173" customFormat="1" customHeight="1" ht="15">
      <c r="A13" s="2501">
        <v>1</v>
      </c>
      <c r="B13" s="1444"/>
      <c r="C13" s="1085" t="s">
        <v>454</v>
      </c>
      <c r="D13" s="2102"/>
      <c r="E13" s="2089">
        <f>A13</f>
        <v>1</v>
      </c>
      <c r="F13" s="1088"/>
      <c r="G13" s="824" t="str">
        <f>"Территория "&amp;E13</f>
        <v>Территория 1</v>
      </c>
      <c r="H13" s="1076"/>
      <c r="I13" s="1076"/>
      <c r="J13" s="1073"/>
      <c r="K13" s="1908"/>
      <c r="L13" s="1908"/>
      <c r="M13" s="1908"/>
      <c r="N13" s="510"/>
      <c r="O13" s="1908"/>
      <c r="P13" s="509"/>
      <c r="Q13" s="509"/>
      <c r="R13" s="509"/>
      <c r="S13" s="509"/>
    </row>
    <row s="14218" customFormat="1" customHeight="1" ht="15">
      <c r="A14" s="2501"/>
      <c r="B14" s="1444">
        <v>1</v>
      </c>
      <c r="C14" s="1444"/>
      <c r="D14" s="1084"/>
      <c r="E14" s="2097" t="str">
        <f>A13&amp;"."&amp;B14</f>
        <v>1.1</v>
      </c>
      <c r="F14" s="1087">
        <f>$F$20</f>
        <v>0</v>
      </c>
      <c r="G14" s="1077"/>
      <c r="H14" s="1077"/>
      <c r="I14" s="1075"/>
      <c r="J14" s="1908"/>
      <c r="K14" s="1920"/>
      <c r="L14" s="1920"/>
      <c r="M14" s="1908" t="str">
        <f t="array" ref="M14:M14">IF(ISERROR(MATCH(MID(N14,1,250),MID(note_ter,1,250),0)),"n","y")</f>
        <v>n</v>
      </c>
      <c r="N14" s="1920"/>
      <c r="O14" s="1908" t="str">
        <f>H14&amp;"("&amp;I14&amp;")"</f>
        <v>()</v>
      </c>
      <c r="P14" s="1444"/>
      <c r="Q14" s="1444"/>
      <c r="R14" s="704"/>
      <c r="S14" s="1444"/>
      <c r="T14" s="1444"/>
      <c r="U14" s="1444"/>
      <c r="V14" s="706"/>
      <c r="W14" s="706"/>
      <c r="X14" s="703"/>
      <c r="Y14" s="703"/>
      <c r="Z14" s="703"/>
      <c r="AA14" s="703"/>
      <c r="AB14" s="703"/>
      <c r="AC14" s="703"/>
      <c r="AD14" s="703"/>
      <c r="AE14" s="703"/>
      <c r="AF14" s="703"/>
      <c r="AG14" s="703"/>
      <c r="AH14" s="703"/>
      <c r="AI14" s="703"/>
      <c r="AJ14" s="703"/>
      <c r="AK14" s="703"/>
      <c r="AL14" s="703"/>
      <c r="AM14" s="703"/>
      <c r="AN14" s="703"/>
      <c r="AO14" s="703"/>
      <c r="AP14" s="703"/>
      <c r="AQ14" s="703"/>
      <c r="AR14" s="703"/>
      <c r="AS14" s="703"/>
      <c r="AT14" s="703"/>
      <c r="AU14" s="703"/>
      <c r="AV14" s="703"/>
      <c r="AW14" s="703"/>
      <c r="AX14" s="703"/>
      <c r="AY14" s="703"/>
      <c r="AZ14" s="703"/>
      <c r="BA14" s="703"/>
      <c r="BB14" s="703"/>
      <c r="BC14" s="703"/>
      <c r="BD14" s="703"/>
      <c r="BE14" s="703"/>
      <c r="BF14" s="703"/>
      <c r="BG14" s="703"/>
      <c r="BH14" s="703"/>
      <c r="BI14" s="703"/>
      <c r="BJ14" s="703"/>
      <c r="BK14" s="703"/>
      <c r="BL14" s="703"/>
      <c r="BM14" s="703"/>
      <c r="BN14" s="703"/>
      <c r="BO14" s="703"/>
      <c r="BP14" s="703"/>
      <c r="BQ14" s="703"/>
      <c r="BR14" s="703"/>
      <c r="BS14" s="706"/>
      <c r="BT14" s="706"/>
      <c r="BU14" s="706"/>
      <c r="BV14" s="706"/>
      <c r="BW14" s="706"/>
      <c r="BX14" s="706"/>
      <c r="BY14" s="706"/>
      <c r="BZ14" s="706"/>
      <c r="CA14" s="706"/>
      <c r="CB14" s="706"/>
    </row>
    <row s="14218" customFormat="1" customHeight="1" ht="15">
      <c r="A15" s="2501"/>
      <c r="B15" s="1444"/>
      <c r="C15" s="696"/>
      <c r="D15" s="1085"/>
      <c r="E15" s="705"/>
      <c r="F15" s="461"/>
      <c r="G15" s="699" t="s">
        <v>103</v>
      </c>
      <c r="H15" s="471"/>
      <c r="I15" s="708"/>
      <c r="J15" s="1920"/>
      <c r="K15" s="1920"/>
      <c r="L15" s="1920"/>
      <c r="M15" s="1920"/>
      <c r="N15" s="1908"/>
      <c r="O15" s="1920"/>
      <c r="P15" s="1444"/>
      <c r="Q15" s="1444"/>
      <c r="R15" s="704"/>
      <c r="S15" s="1444"/>
      <c r="T15" s="1444"/>
      <c r="U15" s="1444"/>
      <c r="V15" s="706"/>
      <c r="W15" s="706"/>
      <c r="X15" s="703"/>
      <c r="Y15" s="703"/>
      <c r="Z15" s="703"/>
      <c r="AA15" s="703"/>
      <c r="AB15" s="703"/>
      <c r="AC15" s="703"/>
      <c r="AD15" s="703"/>
      <c r="AE15" s="703"/>
      <c r="AF15" s="703"/>
      <c r="AG15" s="703"/>
      <c r="AH15" s="703"/>
      <c r="AI15" s="703"/>
      <c r="AJ15" s="703"/>
      <c r="AK15" s="703"/>
      <c r="AL15" s="703"/>
      <c r="AM15" s="703"/>
      <c r="AN15" s="703"/>
      <c r="AO15" s="703"/>
      <c r="AP15" s="703"/>
      <c r="AQ15" s="703"/>
      <c r="AR15" s="703"/>
      <c r="AS15" s="703"/>
      <c r="AT15" s="703"/>
      <c r="AU15" s="703"/>
      <c r="AV15" s="703"/>
      <c r="AW15" s="703"/>
      <c r="AX15" s="703"/>
      <c r="AY15" s="703"/>
      <c r="AZ15" s="703"/>
      <c r="BA15" s="703"/>
      <c r="BB15" s="703"/>
      <c r="BC15" s="703"/>
      <c r="BD15" s="703"/>
      <c r="BE15" s="703"/>
      <c r="BF15" s="703"/>
      <c r="BG15" s="703"/>
      <c r="BH15" s="703"/>
      <c r="BI15" s="703"/>
      <c r="BJ15" s="703"/>
      <c r="BK15" s="703"/>
      <c r="BL15" s="703"/>
      <c r="BM15" s="703"/>
      <c r="BN15" s="703"/>
      <c r="BO15" s="703"/>
      <c r="BP15" s="703"/>
      <c r="BQ15" s="703"/>
      <c r="BR15" s="703"/>
      <c r="BS15" s="706"/>
      <c r="BT15" s="706"/>
      <c r="BU15" s="706"/>
      <c r="BV15" s="706"/>
      <c r="BW15" s="706"/>
      <c r="BX15" s="706"/>
      <c r="BY15" s="706"/>
      <c r="BZ15" s="706"/>
      <c r="CA15" s="706"/>
      <c r="CB15" s="706"/>
    </row>
    <row r="17" s="16332" customFormat="1" customHeight="1" ht="17.25">
      <c r="A17" s="2099" t="s">
        <v>1917</v>
      </c>
    </row>
    <row r="19" s="14218" customFormat="1" customHeight="1" ht="15">
      <c r="A19" s="2166"/>
      <c r="B19" s="1650">
        <v>1</v>
      </c>
      <c r="C19" s="1650"/>
      <c r="D19" s="1084" t="s">
        <v>454</v>
      </c>
      <c r="E19" s="2162"/>
      <c r="F19" s="2167">
        <f>$F$20</f>
        <v>0</v>
      </c>
      <c r="G19" s="2171"/>
      <c r="H19" s="2171"/>
      <c r="I19" s="2169"/>
      <c r="J19" s="1908"/>
      <c r="K19" s="1920"/>
      <c r="L19" s="1920"/>
      <c r="M19" s="1908" t="str">
        <f t="array" ref="M19:M19">IF(ISERROR(MATCH(MID(N19,1,250),MID(note_ter,1,250),0)),"n","y")</f>
        <v>n</v>
      </c>
      <c r="N19" s="1920"/>
      <c r="O19" s="1908" t="str">
        <f>H19&amp;"("&amp;I19&amp;")"</f>
        <v>()</v>
      </c>
      <c r="P19" s="1650"/>
      <c r="Q19" s="1650"/>
      <c r="R19" s="704"/>
      <c r="S19" s="1650"/>
      <c r="T19" s="1650"/>
      <c r="U19" s="1650"/>
      <c r="V19" s="1117"/>
      <c r="W19" s="1117"/>
      <c r="X19" s="911"/>
      <c r="Y19" s="911"/>
      <c r="Z19" s="911"/>
      <c r="AA19" s="911"/>
      <c r="AB19" s="911"/>
      <c r="AC19" s="911"/>
      <c r="AD19" s="911"/>
      <c r="AE19" s="911"/>
      <c r="AF19" s="911"/>
      <c r="AG19" s="911"/>
      <c r="AH19" s="911"/>
      <c r="AI19" s="911"/>
      <c r="AJ19" s="911"/>
      <c r="AK19" s="911"/>
      <c r="AL19" s="911"/>
      <c r="AM19" s="911"/>
      <c r="AN19" s="911"/>
      <c r="AO19" s="911"/>
      <c r="AP19" s="911"/>
      <c r="AQ19" s="911"/>
      <c r="AR19" s="911"/>
      <c r="AS19" s="911"/>
      <c r="AT19" s="911"/>
      <c r="AU19" s="911"/>
      <c r="AV19" s="911"/>
      <c r="AW19" s="911"/>
      <c r="AX19" s="911"/>
      <c r="AY19" s="911"/>
      <c r="AZ19" s="911"/>
      <c r="BA19" s="911"/>
      <c r="BB19" s="911"/>
      <c r="BC19" s="911"/>
      <c r="BD19" s="911"/>
      <c r="BE19" s="911"/>
      <c r="BF19" s="911"/>
      <c r="BG19" s="911"/>
      <c r="BH19" s="911"/>
      <c r="BI19" s="911"/>
      <c r="BJ19" s="911"/>
      <c r="BK19" s="911"/>
      <c r="BL19" s="911"/>
      <c r="BM19" s="911"/>
      <c r="BN19" s="911"/>
      <c r="BO19" s="911"/>
      <c r="BP19" s="911"/>
      <c r="BQ19" s="911"/>
      <c r="BR19" s="911"/>
      <c r="BS19" s="1117"/>
      <c r="BT19" s="1117"/>
      <c r="BU19" s="1117"/>
      <c r="BV19" s="1117"/>
      <c r="BW19" s="1117"/>
      <c r="BX19" s="1117"/>
      <c r="BY19" s="1117"/>
      <c r="BZ19" s="1117"/>
      <c r="CA19" s="1117"/>
      <c r="CB19" s="1117"/>
    </row>
    <row r="21" s="14218" customFormat="1" customHeight="1" ht="15">
      <c r="A21" s="2099" t="s">
        <v>1918</v>
      </c>
      <c r="B21" s="2099"/>
      <c r="C21" s="2099"/>
      <c r="D21" s="2099"/>
      <c r="E21" s="2099"/>
      <c r="F21" s="2099"/>
      <c r="G21" s="2099"/>
      <c r="H21" s="2099"/>
      <c r="I21" s="2099"/>
      <c r="J21" s="2099"/>
      <c r="K21" s="2099"/>
      <c r="L21" s="2099"/>
      <c r="M21" s="2099"/>
      <c r="N21" s="2099"/>
      <c r="O21" s="2099"/>
      <c r="P21" s="2099"/>
      <c r="Q21" s="2099"/>
      <c r="R21" s="2099"/>
      <c r="S21" s="2099"/>
      <c r="T21" s="2099"/>
      <c r="U21" s="468"/>
      <c r="V21" s="2099"/>
      <c r="W21" s="2099"/>
    </row>
    <row s="14218" customFormat="1" customHeight="1" ht="15">
      <c r="U22" s="469"/>
    </row>
    <row s="14284" customFormat="1" customHeight="1" ht="15">
      <c r="A23" s="707"/>
      <c r="B23" s="707"/>
      <c r="C23" s="2012" t="s">
        <v>454</v>
      </c>
      <c r="D23" s="2392" t="s">
        <v>110</v>
      </c>
      <c r="E23" s="2393"/>
      <c r="F23" s="2391" t="s">
        <v>19</v>
      </c>
      <c r="G23" s="2841"/>
      <c r="H23" s="2411">
        <v>1</v>
      </c>
      <c r="I23" s="2843" t="str">
        <f>IF(U23="","",INDEX(TERRITORY_MR_LIST,MATCH(U23,TERRITORY_LIST_ID,0)))</f>
        <v/>
      </c>
      <c r="J23" s="2391" t="s">
        <v>19</v>
      </c>
      <c r="K23" s="1116"/>
      <c r="L23" s="2066" t="s">
        <v>110</v>
      </c>
      <c r="M23" s="887"/>
      <c r="N23" s="888"/>
      <c r="O23" s="888"/>
      <c r="P23" s="888"/>
      <c r="Q23" s="888"/>
      <c r="R23" s="888"/>
      <c r="S23" s="888"/>
      <c r="T23" s="888"/>
      <c r="U23" s="889"/>
      <c r="V23" s="888"/>
      <c r="W23" s="888"/>
      <c r="X23" s="879"/>
      <c r="Y23" s="879" t="s">
        <v>119</v>
      </c>
      <c r="Z23" s="879">
        <v>1705000</v>
      </c>
      <c r="AA23" s="879"/>
      <c r="AB23" s="879"/>
      <c r="AC23" s="879"/>
      <c r="AD23" s="879"/>
      <c r="AE23" s="879"/>
      <c r="AF23" s="879"/>
      <c r="AG23" s="879"/>
      <c r="AH23" s="879"/>
      <c r="AI23" s="879"/>
      <c r="AJ23" s="879"/>
      <c r="AK23" s="879"/>
      <c r="AL23" s="879"/>
    </row>
    <row s="14284" customFormat="1" customHeight="1" ht="15">
      <c r="A24" s="707"/>
      <c r="B24" s="707"/>
      <c r="C24" s="460"/>
      <c r="D24" s="2392"/>
      <c r="E24" s="2394"/>
      <c r="F24" s="2391"/>
      <c r="G24" s="2842"/>
      <c r="H24" s="2411"/>
      <c r="I24" s="2844"/>
      <c r="J24" s="2391"/>
      <c r="K24" s="705"/>
      <c r="L24" s="461"/>
      <c r="M24" s="891" t="s">
        <v>120</v>
      </c>
      <c r="N24" s="888"/>
      <c r="O24" s="888"/>
      <c r="P24" s="888"/>
      <c r="Q24" s="888"/>
      <c r="R24" s="888"/>
      <c r="S24" s="888"/>
      <c r="T24" s="888"/>
      <c r="U24" s="889"/>
      <c r="V24" s="888"/>
      <c r="W24" s="888"/>
      <c r="X24" s="879"/>
      <c r="Y24" s="879"/>
      <c r="Z24" s="879"/>
      <c r="AA24" s="879"/>
      <c r="AB24" s="879"/>
      <c r="AC24" s="879"/>
      <c r="AD24" s="879"/>
      <c r="AE24" s="879"/>
      <c r="AF24" s="879"/>
      <c r="AG24" s="879"/>
      <c r="AH24" s="879"/>
      <c r="AI24" s="879"/>
      <c r="AJ24" s="879"/>
      <c r="AK24" s="879"/>
      <c r="AL24" s="879"/>
    </row>
    <row s="14284" customFormat="1" customHeight="1" ht="15">
      <c r="A25" s="707"/>
      <c r="B25" s="707"/>
      <c r="C25" s="460"/>
      <c r="D25" s="2392"/>
      <c r="E25" s="2395"/>
      <c r="F25" s="2391"/>
      <c r="G25" s="705"/>
      <c r="H25" s="461"/>
      <c r="I25" s="864" t="s">
        <v>121</v>
      </c>
      <c r="J25" s="461"/>
      <c r="K25" s="461"/>
      <c r="L25" s="461"/>
      <c r="M25" s="892"/>
      <c r="N25" s="888"/>
      <c r="O25" s="888"/>
      <c r="P25" s="888"/>
      <c r="Q25" s="888"/>
      <c r="R25" s="888"/>
      <c r="S25" s="888"/>
      <c r="T25" s="888"/>
      <c r="U25" s="889"/>
      <c r="V25" s="888"/>
      <c r="W25" s="888"/>
      <c r="X25" s="879"/>
      <c r="Y25" s="879"/>
      <c r="Z25" s="879"/>
      <c r="AA25" s="879"/>
      <c r="AB25" s="879"/>
      <c r="AC25" s="879"/>
      <c r="AD25" s="879"/>
      <c r="AE25" s="879"/>
      <c r="AF25" s="879"/>
      <c r="AG25" s="879"/>
      <c r="AH25" s="879"/>
      <c r="AI25" s="879"/>
      <c r="AJ25" s="879"/>
      <c r="AK25" s="879"/>
      <c r="AL25" s="879"/>
    </row>
    <row s="14218" customFormat="1" customHeight="1" ht="15">
      <c r="U26" s="469"/>
    </row>
    <row s="14218" customFormat="1" customHeight="1" ht="15">
      <c r="A27" s="2099" t="s">
        <v>1919</v>
      </c>
      <c r="B27" s="2099"/>
      <c r="C27" s="2099"/>
      <c r="D27" s="2099"/>
      <c r="E27" s="2099"/>
      <c r="F27" s="2099"/>
      <c r="G27" s="2099"/>
      <c r="H27" s="2099"/>
      <c r="I27" s="2099"/>
      <c r="J27" s="2099"/>
      <c r="K27" s="2099"/>
      <c r="L27" s="2099"/>
      <c r="M27" s="2099"/>
      <c r="N27" s="2099"/>
      <c r="O27" s="2099"/>
      <c r="P27" s="2099"/>
      <c r="Q27" s="2099"/>
      <c r="R27" s="2099"/>
      <c r="S27" s="2099"/>
      <c r="T27" s="2099"/>
      <c r="U27" s="468"/>
      <c r="V27" s="2099"/>
      <c r="W27" s="2099"/>
    </row>
    <row s="14218" customFormat="1" customHeight="1" ht="15">
      <c r="U28" s="469"/>
    </row>
    <row s="14284" customFormat="1" customHeight="1" ht="15">
      <c r="A29" s="707"/>
      <c r="B29" s="707"/>
      <c r="C29" s="460"/>
      <c r="D29" s="2105"/>
      <c r="E29" s="2105"/>
      <c r="F29" s="2105"/>
      <c r="G29" s="2845" t="s">
        <v>454</v>
      </c>
      <c r="H29" s="2387">
        <v>1</v>
      </c>
      <c r="I29" s="2846" t="str">
        <f>IF(U29="","",INDEX(TERRITORY_MR_LIST,MATCH(U29,TERRITORY_LIST_ID,0)))</f>
        <v/>
      </c>
      <c r="J29" s="2391" t="s">
        <v>19</v>
      </c>
      <c r="K29" s="1116"/>
      <c r="L29" s="2066" t="s">
        <v>110</v>
      </c>
      <c r="M29" s="887"/>
      <c r="N29" s="888"/>
      <c r="O29" s="888"/>
      <c r="P29" s="888"/>
      <c r="Q29" s="888"/>
      <c r="R29" s="888"/>
      <c r="S29" s="888"/>
      <c r="T29" s="888"/>
      <c r="U29" s="889"/>
      <c r="V29" s="888"/>
      <c r="W29" s="888"/>
      <c r="X29" s="879"/>
      <c r="Y29" s="879" t="s">
        <v>119</v>
      </c>
      <c r="Z29" s="879">
        <v>1705000</v>
      </c>
      <c r="AA29" s="879"/>
      <c r="AB29" s="879"/>
      <c r="AC29" s="879"/>
      <c r="AD29" s="879"/>
      <c r="AE29" s="879"/>
      <c r="AF29" s="879"/>
      <c r="AG29" s="879"/>
      <c r="AH29" s="879"/>
      <c r="AI29" s="879"/>
      <c r="AJ29" s="879"/>
      <c r="AK29" s="879"/>
      <c r="AL29" s="879"/>
    </row>
    <row s="14284" customFormat="1" customHeight="1" ht="15">
      <c r="A30" s="707"/>
      <c r="B30" s="707"/>
      <c r="C30" s="460"/>
      <c r="D30" s="2105"/>
      <c r="E30" s="2105"/>
      <c r="F30" s="2105"/>
      <c r="G30" s="2845"/>
      <c r="H30" s="2387"/>
      <c r="I30" s="2846"/>
      <c r="J30" s="2391"/>
      <c r="K30" s="705"/>
      <c r="L30" s="461"/>
      <c r="M30" s="891" t="s">
        <v>120</v>
      </c>
      <c r="N30" s="888"/>
      <c r="O30" s="888"/>
      <c r="P30" s="888"/>
      <c r="Q30" s="888"/>
      <c r="R30" s="888"/>
      <c r="S30" s="888"/>
      <c r="T30" s="888"/>
      <c r="U30" s="889"/>
      <c r="V30" s="888"/>
      <c r="W30" s="888"/>
      <c r="X30" s="879"/>
      <c r="Y30" s="879"/>
      <c r="Z30" s="879"/>
      <c r="AA30" s="879"/>
      <c r="AB30" s="879"/>
      <c r="AC30" s="879"/>
      <c r="AD30" s="879"/>
      <c r="AE30" s="879"/>
      <c r="AF30" s="879"/>
      <c r="AG30" s="879"/>
      <c r="AH30" s="879"/>
      <c r="AI30" s="879"/>
      <c r="AJ30" s="879"/>
      <c r="AK30" s="879"/>
      <c r="AL30" s="879"/>
    </row>
    <row s="14218" customFormat="1" customHeight="1" ht="15">
      <c r="U31" s="469"/>
    </row>
    <row s="14218" customFormat="1" customHeight="1" ht="15">
      <c r="A32" s="2099" t="s">
        <v>1920</v>
      </c>
      <c r="B32" s="2099"/>
      <c r="C32" s="2099"/>
      <c r="D32" s="2099"/>
      <c r="E32" s="2099"/>
      <c r="F32" s="2099"/>
      <c r="G32" s="2099"/>
      <c r="H32" s="2099"/>
      <c r="I32" s="2099"/>
      <c r="J32" s="2099"/>
      <c r="K32" s="2099"/>
      <c r="L32" s="2099"/>
      <c r="M32" s="2099"/>
      <c r="N32" s="2099"/>
      <c r="O32" s="2099"/>
      <c r="P32" s="2099"/>
      <c r="Q32" s="2099"/>
      <c r="R32" s="2099"/>
      <c r="S32" s="2099"/>
      <c r="T32" s="2099"/>
      <c r="U32" s="468"/>
      <c r="V32" s="2099"/>
      <c r="W32" s="2099"/>
    </row>
    <row s="14218" customFormat="1" customHeight="1" ht="15">
      <c r="U33" s="469"/>
    </row>
    <row s="14284" customFormat="1" customHeight="1" ht="15">
      <c r="A34" s="707"/>
      <c r="B34" s="707"/>
      <c r="C34" s="460"/>
      <c r="D34" s="2105"/>
      <c r="E34" s="2105"/>
      <c r="F34" s="2105"/>
      <c r="G34" s="2105"/>
      <c r="H34" s="2105"/>
      <c r="I34" s="2105"/>
      <c r="J34" s="2105"/>
      <c r="K34" s="2083" t="s">
        <v>454</v>
      </c>
      <c r="L34" s="2013" t="s">
        <v>110</v>
      </c>
      <c r="M34" s="1095"/>
      <c r="N34" s="1096"/>
      <c r="O34" s="888"/>
      <c r="P34" s="888"/>
      <c r="Q34" s="888"/>
      <c r="R34" s="888"/>
      <c r="S34" s="888"/>
      <c r="T34" s="888"/>
      <c r="U34" s="889"/>
      <c r="V34" s="888"/>
      <c r="W34" s="888"/>
      <c r="X34" s="879"/>
      <c r="Y34" s="879" t="s">
        <v>119</v>
      </c>
      <c r="Z34" s="879">
        <v>1705000</v>
      </c>
      <c r="AA34" s="879"/>
      <c r="AB34" s="879"/>
      <c r="AC34" s="879"/>
      <c r="AD34" s="879"/>
      <c r="AE34" s="879"/>
      <c r="AF34" s="879"/>
      <c r="AG34" s="879"/>
      <c r="AH34" s="879"/>
      <c r="AI34" s="879"/>
      <c r="AJ34" s="879"/>
      <c r="AK34" s="879"/>
      <c r="AL34" s="879"/>
    </row>
    <row s="14218" customFormat="1" customHeight="1" ht="15">
      <c r="U35" s="469"/>
    </row>
    <row s="14218" customFormat="1" customHeight="1" ht="15">
      <c r="U36" s="469"/>
    </row>
    <row s="16332" customFormat="1" customHeight="1" ht="11.25">
      <c r="A37" s="2099" t="s">
        <v>1921</v>
      </c>
    </row>
    <row customHeight="1" ht="11.25"/>
    <row s="14685" customFormat="1" customHeight="1" ht="22.5">
      <c r="A39" s="2075"/>
      <c r="B39" s="741"/>
      <c r="C39" s="1143"/>
      <c r="D39" s="724"/>
      <c r="E39" s="1144"/>
      <c r="F39" s="2096"/>
      <c r="G39" s="2106"/>
      <c r="H39" s="759"/>
    </row>
    <row customHeight="1" ht="11.25"/>
    <row s="16332" customFormat="1" customHeight="1" ht="11.25">
      <c r="A41" s="2099" t="s">
        <v>1922</v>
      </c>
    </row>
    <row customHeight="1" ht="11.25"/>
    <row s="14685" customFormat="1" customHeight="1" ht="22.5">
      <c r="A43" s="741"/>
      <c r="B43" s="741"/>
      <c r="C43" s="741"/>
      <c r="D43" s="724"/>
      <c r="E43" s="1144"/>
      <c r="F43" s="1145"/>
      <c r="G43" s="2106"/>
      <c r="H43" s="759"/>
    </row>
    <row customHeight="1" ht="11.25"/>
    <row s="16332" customFormat="1" customHeight="1" ht="11.25">
      <c r="A45" s="2099" t="s">
        <v>1923</v>
      </c>
    </row>
    <row customHeight="1" ht="11.25"/>
    <row s="14685" customFormat="1" customHeight="1" ht="24">
      <c r="A47" s="2486" t="s">
        <v>318</v>
      </c>
      <c r="B47" s="786"/>
      <c r="C47" s="2497"/>
      <c r="D47" s="729" t="str">
        <f>A47</f>
        <v>5.1</v>
      </c>
      <c r="E47" s="726" t="s">
        <v>319</v>
      </c>
      <c r="F47" s="2260" t="s">
        <v>311</v>
      </c>
      <c r="G47" s="728" t="s">
        <v>320</v>
      </c>
      <c r="H47" s="759"/>
      <c r="I47" s="1136"/>
    </row>
    <row s="14685" customFormat="1" customHeight="1" ht="22.5">
      <c r="A48" s="2486"/>
      <c r="B48" s="786"/>
      <c r="C48" s="2497"/>
      <c r="D48" s="724" t="str">
        <f>D47&amp;".1"</f>
        <v>5.1.1</v>
      </c>
      <c r="E48" s="723" t="s">
        <v>321</v>
      </c>
      <c r="F48" s="2261" t="s">
        <v>28</v>
      </c>
      <c r="G48" s="758"/>
      <c r="H48" s="759"/>
      <c r="I48" s="1136"/>
    </row>
    <row s="14685" customFormat="1" customHeight="1" ht="22.5">
      <c r="A49" s="2486"/>
      <c r="B49" s="786"/>
      <c r="C49" s="2497"/>
      <c r="D49" s="724" t="str">
        <f>D47&amp;".2"</f>
        <v>5.1.2</v>
      </c>
      <c r="E49" s="723" t="s">
        <v>322</v>
      </c>
      <c r="F49" s="2016" t="s">
        <v>28</v>
      </c>
      <c r="G49" s="728" t="s">
        <v>323</v>
      </c>
      <c r="H49" s="759"/>
      <c r="I49" s="1136"/>
    </row>
    <row s="14685" customFormat="1" customHeight="1" ht="22.5">
      <c r="A50" s="2486"/>
      <c r="B50" s="786"/>
      <c r="C50" s="2497"/>
      <c r="D50" s="724" t="str">
        <f>D47&amp;".3"</f>
        <v>5.1.3</v>
      </c>
      <c r="E50" s="723" t="s">
        <v>324</v>
      </c>
      <c r="F50" s="2261" t="s">
        <v>28</v>
      </c>
      <c r="G50" s="758"/>
      <c r="H50" s="759"/>
      <c r="I50" s="1136"/>
    </row>
    <row s="14685" customFormat="1" customHeight="1" ht="22.5">
      <c r="A51" s="2486"/>
      <c r="B51" s="786"/>
      <c r="C51" s="2497"/>
      <c r="D51" s="724" t="str">
        <f>D47&amp;".4"</f>
        <v>5.1.4</v>
      </c>
      <c r="E51" s="723" t="s">
        <v>325</v>
      </c>
      <c r="F51" s="2261" t="s">
        <v>28</v>
      </c>
      <c r="G51" s="728" t="s">
        <v>326</v>
      </c>
      <c r="H51" s="759"/>
      <c r="I51" s="1136"/>
    </row>
    <row r="54" s="16332" customFormat="1" customHeight="1" ht="17.25">
      <c r="A54" s="2099" t="s">
        <v>1924</v>
      </c>
    </row>
    <row r="56" s="14052" customFormat="1" customHeight="1" ht="18.75">
      <c r="A56" s="373"/>
      <c r="B56" s="2107"/>
      <c r="C56" s="2107"/>
      <c r="D56" s="2108"/>
      <c r="E56" s="2093"/>
      <c r="F56" s="1152">
        <v>13</v>
      </c>
      <c r="G56" s="1151"/>
      <c r="H56" s="1077"/>
      <c r="I56" s="1075"/>
      <c r="J56" s="804" t="s">
        <v>67</v>
      </c>
      <c r="K56" s="2109" t="s">
        <v>28</v>
      </c>
      <c r="L56" s="373"/>
      <c r="M56" s="1920"/>
      <c r="N56" s="1920"/>
      <c r="O56" s="1920"/>
      <c r="P56" s="800" t="s">
        <v>397</v>
      </c>
      <c r="Q56" s="800" t="s">
        <v>398</v>
      </c>
      <c r="R56" s="801" t="s">
        <v>399</v>
      </c>
      <c r="S56" s="1920" t="s">
        <v>400</v>
      </c>
      <c r="T56" s="1920"/>
      <c r="U56" s="1920"/>
      <c r="V56" s="1920"/>
    </row>
    <row r="58" s="16332" customFormat="1" customHeight="1" ht="11.25">
      <c r="A58" s="2099" t="s">
        <v>1925</v>
      </c>
    </row>
    <row r="60" s="14077" customFormat="1" customHeight="1" ht="14.25">
      <c r="C60" s="1972"/>
      <c r="D60" s="2153"/>
      <c r="E60" s="2061" t="s">
        <v>28</v>
      </c>
      <c r="F60" s="2152"/>
      <c r="G60" s="1140"/>
      <c r="H60" s="2062"/>
      <c r="I60" s="2062"/>
      <c r="J60" s="717"/>
      <c r="K60" s="2147"/>
      <c r="L60" s="716"/>
      <c r="M60" s="2147"/>
      <c r="N60" s="717"/>
      <c r="O60" s="2147"/>
      <c r="P60" s="717"/>
      <c r="Q60" s="2147"/>
      <c r="R60" s="717"/>
      <c r="S60" s="1138"/>
      <c r="T60" s="2062"/>
      <c r="U60" s="717"/>
      <c r="V60" s="717"/>
      <c r="W60" s="2151"/>
      <c r="X60" s="2062"/>
      <c r="Y60" s="717"/>
      <c r="Z60" s="717"/>
      <c r="AA60" s="2151"/>
      <c r="AB60" s="2062"/>
      <c r="AC60" s="717"/>
      <c r="AD60" s="2151"/>
      <c r="AE60" s="373"/>
      <c r="AF60" s="373"/>
      <c r="AG60" s="373"/>
      <c r="AH60" s="373"/>
      <c r="AJ60" s="1920"/>
      <c r="AK60" s="1920"/>
      <c r="AL60" s="1920"/>
      <c r="AM60" s="1920"/>
      <c r="AN60" s="1920"/>
      <c r="AO60" s="1920"/>
      <c r="AP60" s="1908" t="s">
        <v>386</v>
      </c>
      <c r="AQ60" s="1908" t="s">
        <v>386</v>
      </c>
      <c r="AR60" s="1920"/>
      <c r="AS60" s="1920"/>
    </row>
    <row r="62" s="16332" customFormat="1" customHeight="1" ht="11.25">
      <c r="A62" s="2099" t="s">
        <v>1926</v>
      </c>
    </row>
    <row r="64" s="16016" customFormat="1" customHeight="1" ht="15">
      <c r="A64" s="429" t="s">
        <v>91</v>
      </c>
      <c r="B64" s="409" t="s">
        <v>28</v>
      </c>
      <c r="C64" s="2110"/>
      <c r="D64" s="412"/>
      <c r="E64" s="665"/>
      <c r="F64" s="665"/>
      <c r="G64" s="2087"/>
      <c r="H64" s="2109"/>
      <c r="I64" s="2088"/>
      <c r="K64" s="556"/>
      <c r="L64" s="557"/>
    </row>
    <row r="66" s="16332" customFormat="1" customHeight="1" ht="11.25">
      <c r="A66" s="2099" t="s">
        <v>1927</v>
      </c>
    </row>
    <row r="68" s="14077" customFormat="1" customHeight="1" ht="14.25">
      <c r="A68" s="627"/>
      <c r="B68" s="1444"/>
      <c r="C68" s="660"/>
      <c r="D68" s="2094"/>
      <c r="E68" s="1170"/>
      <c r="F68" s="2109"/>
      <c r="G68" s="373"/>
      <c r="I68" s="1908"/>
      <c r="J68" s="1908"/>
    </row>
    <row r="70" s="16332" customFormat="1" customHeight="1" ht="11.25">
      <c r="A70" s="2099" t="s">
        <v>1928</v>
      </c>
    </row>
    <row r="72" s="14077" customFormat="1" customHeight="1" ht="27">
      <c r="A72" s="1450"/>
      <c r="B72" s="1450"/>
      <c r="C72" s="1450"/>
      <c r="D72" s="1444"/>
      <c r="E72" s="2111"/>
      <c r="F72" s="2865"/>
      <c r="G72" s="2866"/>
      <c r="H72" s="2867" t="s">
        <v>67</v>
      </c>
      <c r="I72" s="2869"/>
      <c r="J72" s="2832"/>
      <c r="K72" s="2871"/>
      <c r="L72" s="2834"/>
      <c r="M72" s="2834"/>
      <c r="N72" s="2835"/>
      <c r="O72" s="2835"/>
      <c r="P72" s="2836">
        <f>DATEDIF(DATEVALUE(N72),DATEVALUE(O72),"y")&amp;"г. "&amp;DATEDIF(DATEVALUE(N72),DATEVALUE(O72),"ym")&amp;"мес. "&amp;DATEVALUE(O72)-DATE(YEAR(DATEVALUE(O72)),MONTH(DATEVALUE(O72)),1)&amp;"дн. "</f>
      </c>
      <c r="Q72" s="2831"/>
      <c r="R72" s="2831"/>
      <c r="S72" s="2831"/>
      <c r="T72" s="2832"/>
      <c r="U72" s="2831"/>
      <c r="V72" s="2831"/>
      <c r="W72" s="2831"/>
      <c r="X72" s="2832"/>
      <c r="Y72" s="2829" t="s">
        <v>67</v>
      </c>
      <c r="Z72" s="2092"/>
      <c r="AA72" s="2076">
        <v>1</v>
      </c>
      <c r="AB72" s="1526"/>
      <c r="AD72" s="1920" t="s">
        <v>1929</v>
      </c>
    </row>
    <row s="14077" customFormat="1" customHeight="1" ht="10.5">
      <c r="A73" s="1450"/>
      <c r="B73" s="1450"/>
      <c r="C73" s="1450"/>
      <c r="D73" s="1444"/>
      <c r="E73" s="1231"/>
      <c r="F73" s="2865"/>
      <c r="G73" s="2866"/>
      <c r="H73" s="2868"/>
      <c r="I73" s="2870"/>
      <c r="J73" s="2833"/>
      <c r="K73" s="2871"/>
      <c r="L73" s="2834"/>
      <c r="M73" s="2834"/>
      <c r="N73" s="2835"/>
      <c r="O73" s="2835"/>
      <c r="P73" s="2836"/>
      <c r="Q73" s="2831"/>
      <c r="R73" s="2831"/>
      <c r="S73" s="2831"/>
      <c r="T73" s="2833"/>
      <c r="U73" s="2831"/>
      <c r="V73" s="2831"/>
      <c r="W73" s="2831"/>
      <c r="X73" s="2833"/>
      <c r="Y73" s="2830"/>
      <c r="Z73" s="631"/>
      <c r="AA73" s="856"/>
      <c r="AB73" s="936" t="s">
        <v>1930</v>
      </c>
    </row>
    <row r="75" s="16332" customFormat="1" customHeight="1" ht="11.25">
      <c r="A75" s="2099" t="s">
        <v>1931</v>
      </c>
    </row>
    <row r="77" s="14077" customFormat="1" customHeight="1" ht="27">
      <c r="A77" s="1450"/>
      <c r="B77" s="1450"/>
      <c r="C77" s="1450"/>
      <c r="D77" s="1444"/>
      <c r="E77" s="2111"/>
      <c r="F77" s="2081"/>
      <c r="G77" s="2031"/>
      <c r="H77" s="2032"/>
      <c r="I77" s="2033"/>
      <c r="J77" s="2034"/>
      <c r="K77" s="2035"/>
      <c r="L77" s="2036"/>
      <c r="M77" s="2036"/>
      <c r="N77" s="2037"/>
      <c r="O77" s="2037"/>
      <c r="P77" s="2038"/>
      <c r="Q77" s="2039"/>
      <c r="R77" s="2039"/>
      <c r="S77" s="2039"/>
      <c r="T77" s="2034"/>
      <c r="U77" s="2039"/>
      <c r="V77" s="2039"/>
      <c r="W77" s="2039"/>
      <c r="X77" s="2034"/>
      <c r="Y77" s="2032"/>
      <c r="Z77" s="2092"/>
      <c r="AA77" s="2076">
        <v>1</v>
      </c>
      <c r="AB77" s="1526"/>
      <c r="AD77" s="1920" t="s">
        <v>1929</v>
      </c>
    </row>
    <row r="79" s="16332" customFormat="1" customHeight="1" ht="11.25">
      <c r="A79" s="2099" t="s">
        <v>1932</v>
      </c>
    </row>
    <row customHeight="1" ht="17.25"/>
    <row s="14077" customFormat="1" customHeight="1" ht="21">
      <c r="A81" s="1451"/>
      <c r="B81" s="1450"/>
      <c r="C81" s="1450"/>
      <c r="D81" s="1444"/>
      <c r="E81" s="1454"/>
      <c r="F81" s="1406">
        <f>INDEX(IP_MAIN_LIST_NAME_IP,MATCH(A81,IP_MAIN_LIST_IP_ID,0))&amp;" ("&amp;INDEX(IP_MAIN_START_DATE,MATCH(A81,IP_MAIN_LIST_IP_ID,0))&amp;"-"&amp;INDEX(IP_MAIN_END_DATE,MATCH(A81,IP_MAIN_LIST_IP_ID,0))&amp;")"</f>
      </c>
      <c r="G81" s="1407"/>
      <c r="H81" s="1407"/>
      <c r="I81" s="1469"/>
      <c r="J81" s="1469"/>
      <c r="K81" s="1470"/>
      <c r="L81" s="1470"/>
      <c r="M81" s="1470"/>
      <c r="N81" s="1471"/>
      <c r="O81" s="1471"/>
      <c r="P81" s="1471"/>
      <c r="Q81" s="1471"/>
      <c r="R81" s="1471"/>
      <c r="S81" s="1471"/>
      <c r="T81" s="1471"/>
      <c r="U81" s="1471"/>
      <c r="V81" s="1471"/>
      <c r="W81" s="1471"/>
      <c r="X81" s="1471"/>
      <c r="Y81" s="1471"/>
      <c r="Z81" s="1471"/>
      <c r="AA81" s="1471"/>
      <c r="AB81" s="1471"/>
      <c r="AC81" s="1471"/>
      <c r="AD81" s="1471"/>
      <c r="AE81" s="1472"/>
      <c r="AF81" s="1470"/>
      <c r="AG81" s="1470"/>
      <c r="AH81" s="1470"/>
      <c r="AI81" s="1470"/>
      <c r="AJ81" s="1470"/>
      <c r="AK81" s="1470"/>
      <c r="AL81" s="2272"/>
      <c r="AM81" s="2107"/>
      <c r="AN81" s="2107"/>
      <c r="AO81" s="2107"/>
      <c r="AP81" s="2107"/>
      <c r="AQ81" s="2107"/>
      <c r="AR81" s="2107"/>
      <c r="AS81" s="2107"/>
      <c r="AT81" s="2107"/>
      <c r="AU81" s="2107"/>
      <c r="AV81" s="2107"/>
      <c r="AW81" s="2107"/>
      <c r="AX81" s="2107"/>
      <c r="AY81" s="2107"/>
      <c r="AZ81" s="2107"/>
      <c r="BA81" s="2107"/>
      <c r="BB81" s="2107"/>
      <c r="BC81" s="2107"/>
      <c r="BD81" s="2107"/>
      <c r="BE81" s="2107"/>
      <c r="BF81" s="2107"/>
    </row>
    <row s="14077" customFormat="1" customHeight="1" ht="0.75">
      <c r="A82" s="1450"/>
      <c r="B82" s="1450"/>
      <c r="C82" s="1450"/>
      <c r="D82" s="1444"/>
      <c r="E82" s="1454"/>
      <c r="F82" s="2820"/>
      <c r="G82" s="2799"/>
      <c r="H82" s="2824" t="s">
        <v>381</v>
      </c>
      <c r="I82" s="2825"/>
      <c r="J82" s="2826"/>
      <c r="K82" s="2826"/>
      <c r="L82" s="2818"/>
      <c r="M82" s="2552"/>
      <c r="N82" s="2320"/>
      <c r="O82" s="2319"/>
      <c r="P82" s="2320"/>
      <c r="Q82" s="2320"/>
      <c r="R82" s="2320"/>
      <c r="S82" s="2320"/>
      <c r="T82" s="2320"/>
      <c r="U82" s="2320"/>
      <c r="V82" s="2320"/>
      <c r="W82" s="2320"/>
      <c r="X82" s="2320"/>
      <c r="Y82" s="2320"/>
      <c r="Z82" s="2320"/>
      <c r="AA82" s="2320"/>
      <c r="AB82" s="2320"/>
      <c r="AC82" s="2320"/>
      <c r="AD82" s="2320"/>
      <c r="AE82" s="2320"/>
      <c r="AF82" s="2822"/>
      <c r="AG82" s="2818"/>
      <c r="AH82" s="2818"/>
      <c r="AI82" s="2822"/>
      <c r="AJ82" s="2818"/>
      <c r="AK82" s="2818"/>
      <c r="AL82" s="2272"/>
      <c r="AM82" s="2107"/>
      <c r="AN82" s="2107"/>
      <c r="AO82" s="2107"/>
      <c r="AP82" s="2107"/>
      <c r="AQ82" s="2107"/>
      <c r="AR82" s="2107"/>
      <c r="AS82" s="2107"/>
      <c r="AT82" s="2107"/>
      <c r="AU82" s="2107"/>
      <c r="AV82" s="2107"/>
      <c r="AW82" s="2107"/>
      <c r="AX82" s="2107"/>
      <c r="AY82" s="2107"/>
      <c r="AZ82" s="2107"/>
      <c r="BA82" s="2107"/>
      <c r="BB82" s="2107"/>
      <c r="BC82" s="2107"/>
      <c r="BD82" s="2107"/>
      <c r="BE82" s="2107"/>
      <c r="BF82" s="2107"/>
    </row>
    <row s="14077" customFormat="1" customHeight="1" ht="0.75">
      <c r="A83" s="1450"/>
      <c r="B83" s="1450"/>
      <c r="C83" s="1450"/>
      <c r="D83" s="1444"/>
      <c r="E83" s="1454"/>
      <c r="F83" s="2820"/>
      <c r="G83" s="2799"/>
      <c r="H83" s="2824"/>
      <c r="I83" s="2825"/>
      <c r="J83" s="2826"/>
      <c r="K83" s="2826"/>
      <c r="L83" s="2818"/>
      <c r="M83" s="2552"/>
      <c r="N83" s="2827"/>
      <c r="O83" s="2828"/>
      <c r="P83" s="2872"/>
      <c r="Q83" s="2823"/>
      <c r="R83" s="2823"/>
      <c r="S83" s="2823"/>
      <c r="T83" s="2823"/>
      <c r="U83" s="2823"/>
      <c r="V83" s="2823"/>
      <c r="W83" s="2823"/>
      <c r="X83" s="2823"/>
      <c r="Y83" s="2823"/>
      <c r="Z83" s="2321"/>
      <c r="AA83" s="2322"/>
      <c r="AB83" s="2322"/>
      <c r="AC83" s="2323"/>
      <c r="AD83" s="2323"/>
      <c r="AE83" s="2324"/>
      <c r="AF83" s="2822"/>
      <c r="AG83" s="2818"/>
      <c r="AH83" s="2818"/>
      <c r="AI83" s="2822"/>
      <c r="AJ83" s="2818"/>
      <c r="AK83" s="2818"/>
      <c r="AL83" s="2272"/>
      <c r="AM83" s="2107"/>
      <c r="AN83" s="2107"/>
      <c r="AO83" s="2107"/>
      <c r="AP83" s="2107"/>
      <c r="AQ83" s="2107"/>
      <c r="AR83" s="2107"/>
      <c r="AS83" s="2107"/>
      <c r="AT83" s="2107"/>
      <c r="AU83" s="2107"/>
      <c r="AV83" s="2107"/>
      <c r="AW83" s="2107"/>
      <c r="AX83" s="2107"/>
      <c r="AY83" s="2107"/>
      <c r="AZ83" s="2107"/>
      <c r="BA83" s="2107"/>
      <c r="BB83" s="2107"/>
      <c r="BC83" s="2107"/>
      <c r="BD83" s="2107"/>
      <c r="BE83" s="2107"/>
      <c r="BF83" s="2107"/>
    </row>
    <row s="14077" customFormat="1" customHeight="1" ht="0.75">
      <c r="A84" s="1450"/>
      <c r="B84" s="1450"/>
      <c r="C84" s="1450"/>
      <c r="D84" s="1444"/>
      <c r="E84" s="1454"/>
      <c r="F84" s="2820"/>
      <c r="G84" s="2799"/>
      <c r="H84" s="2824"/>
      <c r="I84" s="2825"/>
      <c r="J84" s="2826"/>
      <c r="K84" s="2826"/>
      <c r="L84" s="2818"/>
      <c r="M84" s="2552"/>
      <c r="N84" s="2827"/>
      <c r="O84" s="2828"/>
      <c r="P84" s="2873"/>
      <c r="Q84" s="2823"/>
      <c r="R84" s="2823"/>
      <c r="S84" s="2823"/>
      <c r="T84" s="2823"/>
      <c r="U84" s="2823"/>
      <c r="V84" s="2823"/>
      <c r="W84" s="2823"/>
      <c r="X84" s="2823"/>
      <c r="Y84" s="2823"/>
      <c r="Z84" s="2325"/>
      <c r="AA84" s="2326"/>
      <c r="AB84" s="2327"/>
      <c r="AC84" s="2328"/>
      <c r="AD84" s="2327"/>
      <c r="AE84" s="2328"/>
      <c r="AF84" s="2822"/>
      <c r="AG84" s="2818"/>
      <c r="AH84" s="2818"/>
      <c r="AI84" s="2822"/>
      <c r="AJ84" s="2818"/>
      <c r="AK84" s="2818"/>
      <c r="AL84" s="2272"/>
      <c r="AM84" s="2107"/>
      <c r="AN84" s="2107"/>
      <c r="AO84" s="2107"/>
      <c r="AP84" s="2107"/>
      <c r="AQ84" s="2107"/>
      <c r="AR84" s="2107"/>
      <c r="AS84" s="2107"/>
      <c r="AT84" s="2107"/>
      <c r="AU84" s="2107"/>
      <c r="AV84" s="2107"/>
      <c r="AW84" s="2107"/>
      <c r="AX84" s="2107"/>
      <c r="AY84" s="2107"/>
      <c r="AZ84" s="2107"/>
      <c r="BA84" s="2107"/>
      <c r="BB84" s="2107"/>
      <c r="BC84" s="2107"/>
      <c r="BD84" s="2107"/>
      <c r="BE84" s="2107"/>
      <c r="BF84" s="2107"/>
    </row>
    <row s="14077" customFormat="1" customHeight="1" ht="0.75">
      <c r="A85" s="1450"/>
      <c r="B85" s="1450"/>
      <c r="C85" s="1450"/>
      <c r="D85" s="1444"/>
      <c r="E85" s="1454"/>
      <c r="F85" s="2820"/>
      <c r="G85" s="2799"/>
      <c r="H85" s="2824"/>
      <c r="I85" s="2825"/>
      <c r="J85" s="2826"/>
      <c r="K85" s="2826"/>
      <c r="L85" s="2818"/>
      <c r="M85" s="2552"/>
      <c r="N85" s="2827"/>
      <c r="O85" s="2828"/>
      <c r="P85" s="2874"/>
      <c r="Q85" s="2823"/>
      <c r="R85" s="2823"/>
      <c r="S85" s="2823"/>
      <c r="T85" s="2823"/>
      <c r="U85" s="2823"/>
      <c r="V85" s="2823"/>
      <c r="W85" s="2823"/>
      <c r="X85" s="2823"/>
      <c r="Y85" s="2823"/>
      <c r="Z85" s="2321"/>
      <c r="AA85" s="2322"/>
      <c r="AB85" s="2329"/>
      <c r="AC85" s="2323"/>
      <c r="AD85" s="2323"/>
      <c r="AE85" s="2330"/>
      <c r="AF85" s="2822"/>
      <c r="AG85" s="2818"/>
      <c r="AH85" s="2818"/>
      <c r="AI85" s="2822"/>
      <c r="AJ85" s="2818"/>
      <c r="AK85" s="2818"/>
      <c r="AL85" s="2272"/>
      <c r="AM85" s="2107"/>
      <c r="AN85" s="2107"/>
      <c r="AO85" s="2107"/>
      <c r="AP85" s="2107"/>
      <c r="AQ85" s="2107"/>
      <c r="AR85" s="2107"/>
      <c r="AS85" s="2107"/>
      <c r="AT85" s="2107"/>
      <c r="AU85" s="2107"/>
      <c r="AV85" s="2107"/>
      <c r="AW85" s="2107"/>
      <c r="AX85" s="2107"/>
      <c r="AY85" s="2107"/>
      <c r="AZ85" s="2107"/>
      <c r="BA85" s="2107"/>
      <c r="BB85" s="2107"/>
      <c r="BC85" s="2107"/>
      <c r="BD85" s="2107"/>
      <c r="BE85" s="2107"/>
      <c r="BF85" s="2107"/>
    </row>
    <row s="14077" customFormat="1" customHeight="1" ht="0.75">
      <c r="A86" s="1450"/>
      <c r="B86" s="1450"/>
      <c r="C86" s="1450"/>
      <c r="D86" s="1444"/>
      <c r="E86" s="1454"/>
      <c r="F86" s="2820"/>
      <c r="G86" s="2799"/>
      <c r="H86" s="2824"/>
      <c r="I86" s="2825"/>
      <c r="J86" s="2826"/>
      <c r="K86" s="2826"/>
      <c r="L86" s="2818"/>
      <c r="M86" s="2552"/>
      <c r="N86" s="2322"/>
      <c r="O86" s="2322"/>
      <c r="P86" s="2329"/>
      <c r="Q86" s="2322"/>
      <c r="R86" s="2322"/>
      <c r="S86" s="2322"/>
      <c r="T86" s="2322"/>
      <c r="U86" s="2322"/>
      <c r="V86" s="2322"/>
      <c r="W86" s="2322"/>
      <c r="X86" s="2322"/>
      <c r="Y86" s="2322"/>
      <c r="Z86" s="2322"/>
      <c r="AA86" s="2322"/>
      <c r="AB86" s="2322"/>
      <c r="AC86" s="2322"/>
      <c r="AD86" s="2322"/>
      <c r="AE86" s="2331"/>
      <c r="AF86" s="2822"/>
      <c r="AG86" s="2818"/>
      <c r="AH86" s="2818"/>
      <c r="AI86" s="2822"/>
      <c r="AJ86" s="2818"/>
      <c r="AK86" s="2818"/>
      <c r="AL86" s="2272"/>
      <c r="AM86" s="2107"/>
      <c r="AN86" s="2107"/>
      <c r="AO86" s="2107"/>
      <c r="AP86" s="2107"/>
      <c r="AQ86" s="2107"/>
      <c r="AR86" s="2107"/>
      <c r="AS86" s="2107"/>
      <c r="AT86" s="2107"/>
      <c r="AU86" s="2107"/>
      <c r="AV86" s="2107"/>
      <c r="AW86" s="2107"/>
      <c r="AX86" s="2107"/>
      <c r="AY86" s="2107"/>
      <c r="AZ86" s="2107"/>
      <c r="BA86" s="2107"/>
      <c r="BB86" s="2107"/>
      <c r="BC86" s="2107"/>
      <c r="BD86" s="2107"/>
      <c r="BE86" s="2107"/>
      <c r="BF86" s="2107"/>
    </row>
    <row s="14077" customFormat="1" customHeight="1" ht="12">
      <c r="A87" s="1450"/>
      <c r="B87" s="1450"/>
      <c r="C87" s="1450"/>
      <c r="D87" s="1444"/>
      <c r="E87" s="1454"/>
      <c r="F87" s="2821"/>
      <c r="G87" s="1474"/>
      <c r="H87" s="1474"/>
      <c r="I87" s="2819" t="s">
        <v>1933</v>
      </c>
      <c r="J87" s="2819"/>
      <c r="K87" s="2819"/>
      <c r="L87" s="1457"/>
      <c r="M87" s="1457"/>
      <c r="N87" s="1458"/>
      <c r="O87" s="1458"/>
      <c r="P87" s="1458"/>
      <c r="Q87" s="1458"/>
      <c r="R87" s="1458"/>
      <c r="S87" s="1458"/>
      <c r="T87" s="1458"/>
      <c r="U87" s="1458"/>
      <c r="V87" s="1458"/>
      <c r="W87" s="1458"/>
      <c r="X87" s="1458"/>
      <c r="Y87" s="1458"/>
      <c r="Z87" s="1458"/>
      <c r="AA87" s="1458"/>
      <c r="AB87" s="1458"/>
      <c r="AC87" s="1458"/>
      <c r="AD87" s="1458"/>
      <c r="AE87" s="1458"/>
      <c r="AF87" s="1458"/>
      <c r="AG87" s="1457"/>
      <c r="AH87" s="1457"/>
      <c r="AI87" s="1458"/>
      <c r="AJ87" s="1457"/>
      <c r="AK87" s="1458"/>
      <c r="AL87" s="2272"/>
      <c r="AM87" s="2107"/>
      <c r="AN87" s="2107"/>
      <c r="AO87" s="2107"/>
      <c r="AP87" s="2107"/>
      <c r="AQ87" s="2107"/>
      <c r="AR87" s="2107"/>
      <c r="AS87" s="2107"/>
      <c r="AT87" s="2107"/>
      <c r="AU87" s="2107"/>
      <c r="AV87" s="2107"/>
      <c r="AW87" s="2107"/>
      <c r="AX87" s="2107"/>
      <c r="AY87" s="2107"/>
      <c r="AZ87" s="2107"/>
      <c r="BA87" s="2107"/>
      <c r="BB87" s="2107"/>
      <c r="BC87" s="2107"/>
      <c r="BD87" s="2107"/>
      <c r="BE87" s="2107"/>
      <c r="BF87" s="2107"/>
    </row>
    <row r="89" s="16332" customFormat="1" customHeight="1" ht="11.25">
      <c r="A89" s="2099" t="s">
        <v>1934</v>
      </c>
    </row>
    <row r="91" s="14077" customFormat="1" customHeight="1" ht="11.25">
      <c r="A91" s="1450"/>
      <c r="B91" s="1450"/>
      <c r="C91" s="1450"/>
      <c r="D91" s="1444"/>
      <c r="E91" s="1454"/>
      <c r="F91" s="2113"/>
      <c r="G91" s="2114"/>
      <c r="H91" s="2114"/>
      <c r="I91" s="2048"/>
      <c r="J91" s="2048"/>
      <c r="K91" s="2115"/>
      <c r="L91" s="2048"/>
      <c r="M91" s="2114"/>
      <c r="N91" s="2792"/>
      <c r="O91" s="2875">
        <v>1</v>
      </c>
      <c r="P91" s="2794" t="s">
        <v>19</v>
      </c>
      <c r="Q91" s="2797" t="s">
        <v>28</v>
      </c>
      <c r="R91" s="2797" t="s">
        <v>28</v>
      </c>
      <c r="S91" s="2797" t="s">
        <v>28</v>
      </c>
      <c r="T91" s="2797" t="s">
        <v>28</v>
      </c>
      <c r="U91" s="2797" t="s">
        <v>28</v>
      </c>
      <c r="V91" s="2797" t="s">
        <v>28</v>
      </c>
      <c r="W91" s="2797" t="s">
        <v>28</v>
      </c>
      <c r="X91" s="2797" t="s">
        <v>28</v>
      </c>
      <c r="Y91" s="2797"/>
      <c r="Z91" s="1459"/>
      <c r="AA91" s="1460"/>
      <c r="AB91" s="1460"/>
      <c r="AC91" s="1464"/>
      <c r="AD91" s="1464"/>
      <c r="AE91" s="1464"/>
      <c r="AF91" s="2116"/>
      <c r="AG91" s="2043"/>
      <c r="AH91" s="2043"/>
      <c r="AI91" s="2116"/>
      <c r="AJ91" s="2043"/>
      <c r="AK91" s="2271"/>
      <c r="AL91" s="2272"/>
      <c r="AM91" s="2107"/>
      <c r="AN91" s="2107"/>
      <c r="AO91" s="2107"/>
      <c r="AP91" s="2107"/>
      <c r="AQ91" s="2107"/>
      <c r="AR91" s="2107"/>
      <c r="AS91" s="2107"/>
      <c r="AT91" s="2107"/>
      <c r="AU91" s="2107"/>
      <c r="AV91" s="2107"/>
      <c r="AW91" s="2107"/>
      <c r="AX91" s="2107"/>
      <c r="AY91" s="2107"/>
      <c r="AZ91" s="2107"/>
      <c r="BA91" s="2107"/>
      <c r="BB91" s="2107"/>
      <c r="BC91" s="2107"/>
      <c r="BD91" s="2107"/>
      <c r="BE91" s="2107"/>
      <c r="BF91" s="2107"/>
    </row>
    <row s="14077" customFormat="1" customHeight="1" ht="11.25">
      <c r="A92" s="1450"/>
      <c r="B92" s="1450"/>
      <c r="C92" s="1450"/>
      <c r="D92" s="1444"/>
      <c r="E92" s="1454"/>
      <c r="F92" s="2113"/>
      <c r="G92" s="2114"/>
      <c r="H92" s="2114"/>
      <c r="I92" s="2049"/>
      <c r="J92" s="2049"/>
      <c r="K92" s="2115"/>
      <c r="L92" s="2049"/>
      <c r="M92" s="2114"/>
      <c r="N92" s="2792"/>
      <c r="O92" s="2875"/>
      <c r="P92" s="2795"/>
      <c r="Q92" s="2797"/>
      <c r="R92" s="2797"/>
      <c r="S92" s="2798"/>
      <c r="T92" s="2797"/>
      <c r="U92" s="2797"/>
      <c r="V92" s="2797"/>
      <c r="W92" s="2797"/>
      <c r="X92" s="2797"/>
      <c r="Y92" s="2797"/>
      <c r="Z92" s="2112"/>
      <c r="AA92" s="2078">
        <v>1</v>
      </c>
      <c r="AB92" s="1463"/>
      <c r="AC92" s="1453"/>
      <c r="AD92" s="1463">
        <f>AB92</f>
        <v>0</v>
      </c>
      <c r="AE92" s="1008"/>
      <c r="AF92" s="2115"/>
      <c r="AG92" s="2043"/>
      <c r="AH92" s="2043"/>
      <c r="AI92" s="2115"/>
      <c r="AJ92" s="2043"/>
      <c r="AK92" s="2271"/>
      <c r="AL92" s="2272"/>
      <c r="AM92" s="2107"/>
      <c r="AN92" s="2107"/>
      <c r="AO92" s="2107"/>
      <c r="AP92" s="2107"/>
      <c r="AQ92" s="2107"/>
      <c r="AR92" s="2107"/>
      <c r="AS92" s="2107"/>
      <c r="AT92" s="2107"/>
      <c r="AU92" s="2107"/>
      <c r="AV92" s="2107"/>
      <c r="AW92" s="2107"/>
      <c r="AX92" s="2107"/>
      <c r="AY92" s="2107"/>
      <c r="AZ92" s="2107"/>
      <c r="BA92" s="2107"/>
      <c r="BB92" s="2107"/>
      <c r="BC92" s="2107"/>
      <c r="BD92" s="2107"/>
      <c r="BE92" s="2107"/>
      <c r="BF92" s="2107"/>
    </row>
    <row s="14077" customFormat="1" customHeight="1" ht="11.25">
      <c r="A93" s="1450"/>
      <c r="B93" s="1450"/>
      <c r="C93" s="1450"/>
      <c r="D93" s="1444"/>
      <c r="E93" s="1454"/>
      <c r="F93" s="2113"/>
      <c r="G93" s="2114"/>
      <c r="H93" s="2114"/>
      <c r="I93" s="2050"/>
      <c r="J93" s="2050"/>
      <c r="K93" s="2115"/>
      <c r="L93" s="2050"/>
      <c r="M93" s="2114"/>
      <c r="N93" s="2792"/>
      <c r="O93" s="2875"/>
      <c r="P93" s="2796"/>
      <c r="Q93" s="2797"/>
      <c r="R93" s="2797"/>
      <c r="S93" s="2798"/>
      <c r="T93" s="2797"/>
      <c r="U93" s="2797"/>
      <c r="V93" s="2797"/>
      <c r="W93" s="2797"/>
      <c r="X93" s="2797"/>
      <c r="Y93" s="2797"/>
      <c r="Z93" s="1459"/>
      <c r="AA93" s="1460"/>
      <c r="AB93" s="1525" t="s">
        <v>1935</v>
      </c>
      <c r="AC93" s="1464"/>
      <c r="AD93" s="1464"/>
      <c r="AE93" s="1464"/>
      <c r="AF93" s="2117"/>
      <c r="AG93" s="2043"/>
      <c r="AH93" s="2043"/>
      <c r="AI93" s="2117"/>
      <c r="AJ93" s="2043"/>
      <c r="AK93" s="2271"/>
      <c r="AL93" s="2272"/>
      <c r="AM93" s="2107"/>
      <c r="AN93" s="2107"/>
      <c r="AO93" s="2107"/>
      <c r="AP93" s="2107"/>
      <c r="AQ93" s="2107"/>
      <c r="AR93" s="2107"/>
      <c r="AS93" s="2107"/>
      <c r="AT93" s="2107"/>
      <c r="AU93" s="2107"/>
      <c r="AV93" s="2107"/>
      <c r="AW93" s="2107"/>
      <c r="AX93" s="2107"/>
      <c r="AY93" s="2107"/>
      <c r="AZ93" s="2107"/>
      <c r="BA93" s="2107"/>
      <c r="BB93" s="2107"/>
      <c r="BC93" s="2107"/>
      <c r="BD93" s="2107"/>
      <c r="BE93" s="2107"/>
      <c r="BF93" s="2107"/>
    </row>
    <row r="95" s="16332" customFormat="1" customHeight="1" ht="11.25">
      <c r="A95" s="2099" t="s">
        <v>1936</v>
      </c>
    </row>
    <row r="97" s="14077" customFormat="1" customHeight="1" ht="11.25">
      <c r="A97" s="1450"/>
      <c r="B97" s="1450"/>
      <c r="C97" s="1450"/>
      <c r="D97" s="1444"/>
      <c r="E97" s="1454"/>
      <c r="F97" s="2114"/>
      <c r="G97" s="2114"/>
      <c r="H97" s="2114"/>
      <c r="I97" s="2114"/>
      <c r="J97" s="2114"/>
      <c r="K97" s="2114"/>
      <c r="L97" s="2114"/>
      <c r="M97" s="2114"/>
      <c r="N97" s="2114"/>
      <c r="O97" s="2114"/>
      <c r="P97" s="2114"/>
      <c r="Q97" s="2114"/>
      <c r="R97" s="2114"/>
      <c r="S97" s="2114"/>
      <c r="T97" s="2114"/>
      <c r="U97" s="2114"/>
      <c r="V97" s="2114"/>
      <c r="W97" s="2114"/>
      <c r="X97" s="2114"/>
      <c r="Y97" s="2114"/>
      <c r="Z97" s="2118"/>
      <c r="AA97" s="2098">
        <v>1</v>
      </c>
      <c r="AB97" s="1463"/>
      <c r="AC97" s="1453"/>
      <c r="AD97" s="1463">
        <f>AB97</f>
        <v>0</v>
      </c>
      <c r="AE97" s="1453"/>
      <c r="AF97" s="2115"/>
      <c r="AG97" s="2043"/>
      <c r="AH97" s="2043"/>
      <c r="AI97" s="2115"/>
      <c r="AJ97" s="2043"/>
      <c r="AK97" s="2271"/>
      <c r="AL97" s="2272"/>
      <c r="AM97" s="2107"/>
      <c r="AN97" s="2107"/>
      <c r="AO97" s="2107"/>
      <c r="AP97" s="2107"/>
      <c r="AQ97" s="2107"/>
      <c r="AR97" s="2107"/>
      <c r="AS97" s="2107"/>
      <c r="AT97" s="2107"/>
      <c r="AU97" s="2107"/>
      <c r="AV97" s="2107"/>
      <c r="AW97" s="2107"/>
      <c r="AX97" s="2107"/>
      <c r="AY97" s="2107"/>
      <c r="AZ97" s="2107"/>
      <c r="BA97" s="2107"/>
      <c r="BB97" s="2107"/>
      <c r="BC97" s="2107"/>
      <c r="BD97" s="2107"/>
      <c r="BE97" s="2107"/>
      <c r="BF97" s="2107"/>
    </row>
    <row r="99" s="16332" customFormat="1" customHeight="1" ht="11.25">
      <c r="A99" s="2099" t="s">
        <v>1937</v>
      </c>
    </row>
    <row r="101" s="14077" customFormat="1" customHeight="1" ht="11.25">
      <c r="A101" s="1450"/>
      <c r="B101" s="1450"/>
      <c r="C101" s="1450"/>
      <c r="D101" s="1444"/>
      <c r="E101" s="1454"/>
      <c r="F101" s="2113"/>
      <c r="G101" s="2114"/>
      <c r="H101" s="2799" t="s">
        <v>110</v>
      </c>
      <c r="I101" s="2800"/>
      <c r="J101" s="2769"/>
      <c r="K101" s="2801"/>
      <c r="L101" s="2391" t="s">
        <v>19</v>
      </c>
      <c r="M101" s="2392"/>
      <c r="N101" s="2270"/>
      <c r="O101" s="1461" t="s">
        <v>381</v>
      </c>
      <c r="P101" s="1462"/>
      <c r="Q101" s="1462"/>
      <c r="R101" s="1462"/>
      <c r="S101" s="1462"/>
      <c r="T101" s="1462"/>
      <c r="U101" s="1462"/>
      <c r="V101" s="1462"/>
      <c r="W101" s="1462"/>
      <c r="X101" s="1462"/>
      <c r="Y101" s="1462"/>
      <c r="Z101" s="1462"/>
      <c r="AA101" s="1462"/>
      <c r="AB101" s="1462"/>
      <c r="AC101" s="1462"/>
      <c r="AD101" s="1462"/>
      <c r="AE101" s="1462"/>
      <c r="AF101" s="2790"/>
      <c r="AG101" s="2791"/>
      <c r="AH101" s="2791"/>
      <c r="AI101" s="2790"/>
      <c r="AJ101" s="2791"/>
      <c r="AK101" s="2791"/>
      <c r="AL101" s="2272"/>
      <c r="AM101" s="2107"/>
      <c r="AN101" s="2107"/>
      <c r="AO101" s="2107"/>
      <c r="AP101" s="2107"/>
      <c r="AQ101" s="2107"/>
      <c r="AR101" s="2107"/>
      <c r="AS101" s="2107"/>
      <c r="AT101" s="2107"/>
      <c r="AU101" s="2107"/>
      <c r="AV101" s="2107"/>
      <c r="AW101" s="2107"/>
      <c r="AX101" s="2107"/>
      <c r="AY101" s="2107"/>
      <c r="AZ101" s="2107"/>
      <c r="BA101" s="2107"/>
      <c r="BB101" s="2107"/>
      <c r="BC101" s="2107"/>
      <c r="BD101" s="2107"/>
      <c r="BE101" s="2107"/>
      <c r="BF101" s="2107"/>
    </row>
    <row s="14077" customFormat="1" customHeight="1" ht="11.25">
      <c r="A102" s="1450"/>
      <c r="B102" s="1450"/>
      <c r="C102" s="1450"/>
      <c r="D102" s="1444"/>
      <c r="E102" s="1454"/>
      <c r="F102" s="2113"/>
      <c r="G102" s="2114"/>
      <c r="H102" s="2799"/>
      <c r="I102" s="2800"/>
      <c r="J102" s="2769"/>
      <c r="K102" s="2801"/>
      <c r="L102" s="2391"/>
      <c r="M102" s="2392"/>
      <c r="N102" s="2792"/>
      <c r="O102" s="2793">
        <v>1</v>
      </c>
      <c r="P102" s="2794" t="s">
        <v>19</v>
      </c>
      <c r="Q102" s="2797" t="s">
        <v>28</v>
      </c>
      <c r="R102" s="2797" t="s">
        <v>28</v>
      </c>
      <c r="S102" s="2797" t="s">
        <v>28</v>
      </c>
      <c r="T102" s="2797" t="s">
        <v>28</v>
      </c>
      <c r="U102" s="2797" t="s">
        <v>28</v>
      </c>
      <c r="V102" s="2797" t="s">
        <v>28</v>
      </c>
      <c r="W102" s="2797" t="s">
        <v>28</v>
      </c>
      <c r="X102" s="2797" t="s">
        <v>28</v>
      </c>
      <c r="Y102" s="2797"/>
      <c r="Z102" s="1459"/>
      <c r="AA102" s="1460"/>
      <c r="AB102" s="1460"/>
      <c r="AC102" s="1464"/>
      <c r="AD102" s="1464"/>
      <c r="AE102" s="1465"/>
      <c r="AF102" s="2790"/>
      <c r="AG102" s="2791"/>
      <c r="AH102" s="2791"/>
      <c r="AI102" s="2790"/>
      <c r="AJ102" s="2791"/>
      <c r="AK102" s="2791"/>
      <c r="AL102" s="2272"/>
      <c r="AM102" s="2107"/>
      <c r="AN102" s="2107"/>
      <c r="AO102" s="2107"/>
      <c r="AP102" s="2107"/>
      <c r="AQ102" s="2107"/>
      <c r="AR102" s="2107"/>
      <c r="AS102" s="2107"/>
      <c r="AT102" s="2107"/>
      <c r="AU102" s="2107"/>
      <c r="AV102" s="2107"/>
      <c r="AW102" s="2107"/>
      <c r="AX102" s="2107"/>
      <c r="AY102" s="2107"/>
      <c r="AZ102" s="2107"/>
      <c r="BA102" s="2107"/>
      <c r="BB102" s="2107"/>
      <c r="BC102" s="2107"/>
      <c r="BD102" s="2107"/>
      <c r="BE102" s="2107"/>
      <c r="BF102" s="2107"/>
    </row>
    <row s="14077" customFormat="1" customHeight="1" ht="11.25">
      <c r="A103" s="1450"/>
      <c r="B103" s="1450"/>
      <c r="C103" s="1450"/>
      <c r="D103" s="1444"/>
      <c r="E103" s="1454"/>
      <c r="F103" s="2113"/>
      <c r="G103" s="2114"/>
      <c r="H103" s="2799"/>
      <c r="I103" s="2800"/>
      <c r="J103" s="2769"/>
      <c r="K103" s="2801"/>
      <c r="L103" s="2391"/>
      <c r="M103" s="2392"/>
      <c r="N103" s="2792"/>
      <c r="O103" s="2793"/>
      <c r="P103" s="2795"/>
      <c r="Q103" s="2797"/>
      <c r="R103" s="2797"/>
      <c r="S103" s="2798"/>
      <c r="T103" s="2797"/>
      <c r="U103" s="2797"/>
      <c r="V103" s="2797"/>
      <c r="W103" s="2797"/>
      <c r="X103" s="2797"/>
      <c r="Y103" s="2797"/>
      <c r="Z103" s="2112"/>
      <c r="AA103" s="2078">
        <v>1</v>
      </c>
      <c r="AB103" s="1463"/>
      <c r="AC103" s="1453"/>
      <c r="AD103" s="1463">
        <f>AB103</f>
        <v>0</v>
      </c>
      <c r="AE103" s="1453"/>
      <c r="AF103" s="2790"/>
      <c r="AG103" s="2791"/>
      <c r="AH103" s="2791"/>
      <c r="AI103" s="2790"/>
      <c r="AJ103" s="2791"/>
      <c r="AK103" s="2791"/>
      <c r="AL103" s="2272"/>
      <c r="AM103" s="2107"/>
      <c r="AN103" s="2107"/>
      <c r="AO103" s="2107"/>
      <c r="AP103" s="2107"/>
      <c r="AQ103" s="2107"/>
      <c r="AR103" s="2107"/>
      <c r="AS103" s="2107"/>
      <c r="AT103" s="2107"/>
      <c r="AU103" s="2107"/>
      <c r="AV103" s="2107"/>
      <c r="AW103" s="2107"/>
      <c r="AX103" s="2107"/>
      <c r="AY103" s="2107"/>
      <c r="AZ103" s="2107"/>
      <c r="BA103" s="2107"/>
      <c r="BB103" s="2107"/>
      <c r="BC103" s="2107"/>
      <c r="BD103" s="2107"/>
      <c r="BE103" s="2107"/>
      <c r="BF103" s="2107"/>
    </row>
    <row s="14077" customFormat="1" customHeight="1" ht="11.25">
      <c r="A104" s="1450"/>
      <c r="B104" s="1450"/>
      <c r="C104" s="1450"/>
      <c r="D104" s="1444"/>
      <c r="E104" s="1454"/>
      <c r="F104" s="2113"/>
      <c r="G104" s="2114"/>
      <c r="H104" s="2799"/>
      <c r="I104" s="2800"/>
      <c r="J104" s="2769"/>
      <c r="K104" s="2801"/>
      <c r="L104" s="2391"/>
      <c r="M104" s="2392"/>
      <c r="N104" s="2792"/>
      <c r="O104" s="2793"/>
      <c r="P104" s="2796"/>
      <c r="Q104" s="2797"/>
      <c r="R104" s="2797"/>
      <c r="S104" s="2798"/>
      <c r="T104" s="2797"/>
      <c r="U104" s="2797"/>
      <c r="V104" s="2797"/>
      <c r="W104" s="2797"/>
      <c r="X104" s="2797"/>
      <c r="Y104" s="2797"/>
      <c r="Z104" s="1459"/>
      <c r="AA104" s="1460"/>
      <c r="AB104" s="1525" t="s">
        <v>1935</v>
      </c>
      <c r="AC104" s="1464"/>
      <c r="AD104" s="1464"/>
      <c r="AE104" s="1466"/>
      <c r="AF104" s="2790"/>
      <c r="AG104" s="2791"/>
      <c r="AH104" s="2791"/>
      <c r="AI104" s="2790"/>
      <c r="AJ104" s="2791"/>
      <c r="AK104" s="2791"/>
      <c r="AL104" s="2272"/>
      <c r="AM104" s="2107"/>
      <c r="AN104" s="2107"/>
      <c r="AO104" s="2107"/>
      <c r="AP104" s="2107"/>
      <c r="AQ104" s="2107"/>
      <c r="AR104" s="2107"/>
      <c r="AS104" s="2107"/>
      <c r="AT104" s="2107"/>
      <c r="AU104" s="2107"/>
      <c r="AV104" s="2107"/>
      <c r="AW104" s="2107"/>
      <c r="AX104" s="2107"/>
      <c r="AY104" s="2107"/>
      <c r="AZ104" s="2107"/>
      <c r="BA104" s="2107"/>
      <c r="BB104" s="2107"/>
      <c r="BC104" s="2107"/>
      <c r="BD104" s="2107"/>
      <c r="BE104" s="2107"/>
      <c r="BF104" s="2107"/>
    </row>
    <row s="14077" customFormat="1" customHeight="1" ht="11.25">
      <c r="A105" s="1450"/>
      <c r="B105" s="1450"/>
      <c r="C105" s="1450"/>
      <c r="D105" s="1444"/>
      <c r="E105" s="1454"/>
      <c r="F105" s="2113"/>
      <c r="G105" s="2114"/>
      <c r="H105" s="2799"/>
      <c r="I105" s="2800"/>
      <c r="J105" s="2769"/>
      <c r="K105" s="2801"/>
      <c r="L105" s="2391"/>
      <c r="M105" s="2392"/>
      <c r="N105" s="1459"/>
      <c r="O105" s="1460"/>
      <c r="P105" s="1452" t="s">
        <v>1938</v>
      </c>
      <c r="Q105" s="1460"/>
      <c r="R105" s="1460"/>
      <c r="S105" s="1460"/>
      <c r="T105" s="1460"/>
      <c r="U105" s="1460"/>
      <c r="V105" s="1460"/>
      <c r="W105" s="1460"/>
      <c r="X105" s="1460"/>
      <c r="Y105" s="1460"/>
      <c r="Z105" s="1460"/>
      <c r="AA105" s="1460"/>
      <c r="AB105" s="1460"/>
      <c r="AC105" s="1460"/>
      <c r="AD105" s="1460"/>
      <c r="AE105" s="1467"/>
      <c r="AF105" s="2790"/>
      <c r="AG105" s="2791"/>
      <c r="AH105" s="2791"/>
      <c r="AI105" s="2790"/>
      <c r="AJ105" s="2791"/>
      <c r="AK105" s="2791"/>
      <c r="AL105" s="2272"/>
      <c r="AM105" s="2107"/>
      <c r="AN105" s="2107"/>
      <c r="AO105" s="2107"/>
      <c r="AP105" s="2107"/>
      <c r="AQ105" s="2107"/>
      <c r="AR105" s="2107"/>
      <c r="AS105" s="2107"/>
      <c r="AT105" s="2107"/>
      <c r="AU105" s="2107"/>
      <c r="AV105" s="2107"/>
      <c r="AW105" s="2107"/>
      <c r="AX105" s="2107"/>
      <c r="AY105" s="2107"/>
      <c r="AZ105" s="2107"/>
      <c r="BA105" s="2107"/>
      <c r="BB105" s="2107"/>
      <c r="BC105" s="2107"/>
      <c r="BD105" s="2107"/>
      <c r="BE105" s="2107"/>
      <c r="BF105" s="2107"/>
    </row>
    <row r="107" s="16332" customFormat="1" customHeight="1" ht="11.25">
      <c r="A107" s="2099" t="s">
        <v>1939</v>
      </c>
    </row>
    <row customHeight="1" ht="17.25"/>
    <row s="15863" customFormat="1" customHeight="1" ht="21">
      <c r="A109" s="1451"/>
      <c r="B109" s="1224"/>
      <c r="D109" s="1208"/>
      <c r="E109" s="1223" t="s">
        <v>28</v>
      </c>
      <c r="F109" s="1405">
        <f>INDEX(IP_MAIN_LIST_NAME_IP,MATCH(A109,IP_MAIN_LIST_IP_ID,0))&amp;" ("&amp;INDEX(IP_MAIN_START_DATE,MATCH(A109,IP_MAIN_LIST_IP_ID,0))&amp;"-"&amp;INDEX(IP_MAIN_END_DATE,MATCH(A109,IP_MAIN_LIST_IP_ID,0))&amp;")"</f>
      </c>
      <c r="G109" s="1487"/>
      <c r="H109" s="1488"/>
      <c r="I109" s="1488"/>
      <c r="J109" s="1488"/>
      <c r="K109" s="1488"/>
      <c r="L109" s="1488"/>
      <c r="M109" s="1488"/>
      <c r="N109" s="1488"/>
      <c r="O109" s="1487"/>
      <c r="P109" s="1487"/>
      <c r="Q109" s="1487"/>
      <c r="R109" s="1487"/>
      <c r="S109" s="1487"/>
      <c r="T109" s="1487"/>
      <c r="U109" s="1489"/>
      <c r="V109" s="1489"/>
      <c r="W109" s="1489"/>
      <c r="X109" s="1489"/>
      <c r="Y109" s="1489"/>
      <c r="Z109" s="1489"/>
      <c r="AA109" s="1489"/>
      <c r="AB109" s="1487"/>
      <c r="AC109" s="1488"/>
      <c r="AD109" s="1488"/>
      <c r="AE109" s="1488"/>
      <c r="AF109" s="1488"/>
      <c r="AG109" s="1488"/>
      <c r="AH109" s="1488"/>
      <c r="AI109" s="1488"/>
      <c r="AJ109" s="1488"/>
      <c r="AK109" s="1488"/>
      <c r="AL109" s="1488"/>
      <c r="AM109" s="1488"/>
      <c r="AN109" s="1488"/>
      <c r="AO109" s="1488"/>
      <c r="AP109" s="1488"/>
      <c r="AQ109" s="1488"/>
      <c r="AR109" s="1488"/>
      <c r="AS109" s="1488"/>
      <c r="AT109" s="1488"/>
      <c r="AU109" s="1488"/>
      <c r="AV109" s="1488"/>
      <c r="AW109" s="1488"/>
      <c r="AX109" s="1488"/>
      <c r="AY109" s="1488"/>
      <c r="AZ109" s="1488"/>
      <c r="BA109" s="1488"/>
      <c r="BB109" s="1488"/>
      <c r="BC109" s="1488"/>
      <c r="BD109" s="1488"/>
      <c r="BE109" s="1488"/>
      <c r="BF109" s="1488"/>
      <c r="BG109" s="1488"/>
      <c r="BH109" s="1488"/>
      <c r="BI109" s="1488"/>
      <c r="BJ109" s="1488"/>
      <c r="BK109" s="1488"/>
      <c r="BL109" s="1488"/>
      <c r="BM109" s="1488"/>
      <c r="BN109" s="1488"/>
      <c r="BO109" s="1488"/>
      <c r="BP109" s="1488"/>
      <c r="BQ109" s="1488"/>
      <c r="BR109" s="1488"/>
      <c r="BS109" s="1488"/>
      <c r="BT109" s="1488"/>
      <c r="BU109" s="1488"/>
      <c r="BV109" s="1488"/>
      <c r="BW109" s="1488"/>
      <c r="BX109" s="1488"/>
      <c r="BY109" s="1488"/>
      <c r="BZ109" s="1488"/>
      <c r="CA109" s="1488"/>
      <c r="CB109" s="1488"/>
      <c r="CC109" s="1488"/>
      <c r="CD109" s="1488"/>
      <c r="CE109" s="1488"/>
      <c r="CF109" s="1488"/>
      <c r="CG109" s="1488"/>
      <c r="CH109" s="1488"/>
      <c r="CI109" s="1488"/>
      <c r="CJ109" s="1488"/>
      <c r="CK109" s="1488"/>
      <c r="CL109" s="1490"/>
      <c r="CM109" s="1490"/>
      <c r="CN109" s="1490"/>
      <c r="CO109" s="1490"/>
      <c r="CP109" s="1490"/>
      <c r="CQ109" s="1490"/>
      <c r="CR109" s="1490"/>
      <c r="CS109" s="1490"/>
      <c r="CT109" s="1490"/>
      <c r="CU109" s="1490"/>
      <c r="CV109" s="1490"/>
      <c r="CW109" s="1490"/>
      <c r="CX109" s="1490"/>
      <c r="CY109" s="1490"/>
      <c r="CZ109" s="1490"/>
      <c r="DA109" s="1490"/>
      <c r="DB109" s="1490"/>
      <c r="DC109" s="1490"/>
      <c r="DD109" s="1490"/>
      <c r="DE109" s="1490"/>
      <c r="DF109" s="1490"/>
      <c r="DG109" s="1490"/>
      <c r="DH109" s="1490"/>
      <c r="DI109" s="1490"/>
      <c r="DJ109" s="1490"/>
      <c r="DK109" s="1490"/>
      <c r="DL109" s="1490"/>
      <c r="DM109" s="1490"/>
      <c r="DN109" s="1490"/>
      <c r="DO109" s="1490"/>
      <c r="DP109" s="1490"/>
      <c r="DQ109" s="1490"/>
      <c r="DR109" s="1490"/>
      <c r="DS109" s="1490"/>
      <c r="DT109" s="1490"/>
      <c r="DU109" s="1490"/>
      <c r="DV109" s="1490"/>
      <c r="DW109" s="1490"/>
      <c r="DX109" s="1490"/>
      <c r="DY109" s="1490"/>
      <c r="DZ109" s="1490"/>
      <c r="EA109" s="1490"/>
      <c r="EB109" s="1490"/>
      <c r="EC109" s="1490"/>
      <c r="ED109" s="1490"/>
      <c r="EE109" s="1490"/>
      <c r="EF109" s="1490"/>
      <c r="EG109" s="1490"/>
      <c r="EH109" s="1490"/>
      <c r="EI109" s="1490"/>
      <c r="EJ109" s="1490"/>
      <c r="EK109" s="1490"/>
      <c r="EL109" s="1490"/>
      <c r="EM109" s="1490"/>
      <c r="EN109" s="1490"/>
      <c r="EO109" s="1490"/>
      <c r="EP109" s="1490"/>
      <c r="EQ109" s="1490"/>
      <c r="ER109" s="1490"/>
      <c r="ES109" s="1490"/>
      <c r="ET109" s="1490"/>
      <c r="EU109" s="1490"/>
      <c r="EV109" s="1490"/>
      <c r="EW109" s="1490"/>
      <c r="EX109" s="1490"/>
      <c r="EY109" s="1490"/>
      <c r="EZ109" s="1490"/>
      <c r="FA109" s="1490"/>
      <c r="FB109" s="1490"/>
      <c r="FC109" s="1490"/>
      <c r="FD109" s="1490"/>
      <c r="FE109" s="1490"/>
      <c r="FF109" s="1490"/>
      <c r="FG109" s="1490"/>
      <c r="FH109" s="1490"/>
      <c r="FI109" s="1490"/>
      <c r="FJ109" s="1490"/>
      <c r="FK109" s="1490"/>
      <c r="FL109" s="1490"/>
      <c r="FM109" s="1490"/>
      <c r="FN109" s="1490"/>
      <c r="FO109" s="1490"/>
      <c r="FP109" s="1490"/>
      <c r="FQ109" s="1490"/>
      <c r="FR109" s="1490"/>
      <c r="FS109" s="1490"/>
      <c r="FT109" s="1490"/>
      <c r="FU109" s="1490"/>
      <c r="FV109" s="1491"/>
      <c r="FW109" s="1485"/>
      <c r="FX109" s="1486"/>
    </row>
    <row s="15863" customFormat="1" customHeight="1" ht="24.75">
      <c r="B110" s="1207"/>
      <c r="C110" s="1208"/>
      <c r="D110" s="1208"/>
      <c r="E110" s="2119"/>
      <c r="F110" s="1492">
        <v>1</v>
      </c>
      <c r="G110" s="1493"/>
      <c r="H110" s="1494"/>
      <c r="I110" s="2266"/>
      <c r="J110" s="1495"/>
      <c r="K110" s="1495"/>
      <c r="L110" s="1495"/>
      <c r="M110" s="1495"/>
      <c r="N110" s="1495"/>
      <c r="O110" s="1496"/>
      <c r="P110" s="1496"/>
      <c r="Q110" s="1496"/>
      <c r="R110" s="1496"/>
      <c r="S110" s="1496"/>
      <c r="T110" s="1496"/>
      <c r="U110" s="1496"/>
      <c r="V110" s="1496"/>
      <c r="W110" s="1496"/>
      <c r="X110" s="1496"/>
      <c r="Y110" s="1496"/>
      <c r="Z110" s="1496"/>
      <c r="AA110" s="1496"/>
      <c r="AB110" s="1496"/>
      <c r="AC110" s="1495"/>
      <c r="AD110" s="1495"/>
      <c r="AE110" s="1495"/>
      <c r="AF110" s="1495"/>
      <c r="AG110" s="1495"/>
      <c r="AH110" s="1495"/>
      <c r="AI110" s="1495"/>
      <c r="AJ110" s="1495"/>
      <c r="AK110" s="1495"/>
      <c r="AL110" s="1495"/>
      <c r="AM110" s="1495"/>
      <c r="AN110" s="1495"/>
      <c r="AO110" s="1495"/>
      <c r="AP110" s="1495"/>
      <c r="AQ110" s="1495"/>
      <c r="AR110" s="1495"/>
      <c r="AS110" s="1495"/>
      <c r="AT110" s="1495"/>
      <c r="AU110" s="1495"/>
      <c r="AV110" s="1495"/>
      <c r="AW110" s="1495"/>
      <c r="AX110" s="1495"/>
      <c r="AY110" s="1495"/>
      <c r="AZ110" s="1495"/>
      <c r="BA110" s="1495"/>
      <c r="BB110" s="1495"/>
      <c r="BC110" s="1495"/>
      <c r="BD110" s="1495"/>
      <c r="BE110" s="1495"/>
      <c r="BF110" s="1495"/>
      <c r="BG110" s="1495"/>
      <c r="BH110" s="1495"/>
      <c r="BI110" s="1495"/>
      <c r="BJ110" s="1495"/>
      <c r="BK110" s="1495"/>
      <c r="BL110" s="1495"/>
      <c r="BM110" s="1495"/>
      <c r="BN110" s="1495"/>
      <c r="BO110" s="1495"/>
      <c r="BP110" s="1495"/>
      <c r="BQ110" s="1495"/>
      <c r="BR110" s="1495"/>
      <c r="BS110" s="1495"/>
      <c r="BT110" s="1496"/>
      <c r="BU110" s="1496"/>
      <c r="BV110" s="1496"/>
      <c r="BW110" s="1496"/>
      <c r="BX110" s="1496"/>
      <c r="BY110" s="1496"/>
      <c r="BZ110" s="1496"/>
      <c r="CA110" s="1496"/>
      <c r="CB110" s="1496"/>
      <c r="CC110" s="1496"/>
      <c r="CD110" s="1496"/>
      <c r="CE110" s="1496"/>
      <c r="CF110" s="1496"/>
      <c r="CG110" s="1496"/>
      <c r="CH110" s="1496"/>
      <c r="CI110" s="1496"/>
      <c r="CJ110" s="1496"/>
      <c r="CK110" s="1496"/>
      <c r="CL110" s="1495"/>
      <c r="CM110" s="1495"/>
      <c r="CN110" s="1495"/>
      <c r="CO110" s="1495"/>
      <c r="CP110" s="1495"/>
      <c r="CQ110" s="1495"/>
      <c r="CR110" s="1495"/>
      <c r="CS110" s="1495"/>
      <c r="CT110" s="1495"/>
      <c r="CU110" s="1495"/>
      <c r="CV110" s="1495"/>
      <c r="CW110" s="1495"/>
      <c r="CX110" s="1495"/>
      <c r="CY110" s="1496"/>
      <c r="CZ110" s="1496"/>
      <c r="DA110" s="1496"/>
      <c r="DB110" s="1496"/>
      <c r="DC110" s="1496"/>
      <c r="DD110" s="1496"/>
      <c r="DE110" s="1496"/>
      <c r="DF110" s="1496"/>
      <c r="DG110" s="1496"/>
      <c r="DH110" s="1496"/>
      <c r="DI110" s="1496"/>
      <c r="DJ110" s="1496"/>
      <c r="DK110" s="1495"/>
      <c r="DL110" s="1495"/>
      <c r="DM110" s="1495"/>
      <c r="DN110" s="1495"/>
      <c r="DO110" s="1495"/>
      <c r="DP110" s="1495"/>
      <c r="DQ110" s="1495"/>
      <c r="DR110" s="1495"/>
      <c r="DS110" s="1495"/>
      <c r="DT110" s="1495"/>
      <c r="DU110" s="1495"/>
      <c r="DV110" s="1495"/>
      <c r="DW110" s="1495"/>
      <c r="DX110" s="1495"/>
      <c r="DY110" s="1495"/>
      <c r="DZ110" s="1495"/>
      <c r="EA110" s="1495"/>
      <c r="EB110" s="1495"/>
      <c r="EC110" s="1495"/>
      <c r="ED110" s="1495"/>
      <c r="EE110" s="1495"/>
      <c r="EF110" s="1495"/>
      <c r="EG110" s="1495"/>
      <c r="EH110" s="1495"/>
      <c r="EI110" s="1495"/>
      <c r="EJ110" s="1495"/>
      <c r="EK110" s="1495"/>
      <c r="EL110" s="1495"/>
      <c r="EM110" s="1495"/>
      <c r="EN110" s="1495"/>
      <c r="EO110" s="1495"/>
      <c r="EP110" s="1495"/>
      <c r="EQ110" s="1495"/>
      <c r="ER110" s="1495"/>
      <c r="ES110" s="1495"/>
      <c r="ET110" s="1495"/>
      <c r="EU110" s="1495"/>
      <c r="EV110" s="1495"/>
      <c r="EW110" s="1495"/>
      <c r="EX110" s="1495"/>
      <c r="EY110" s="1495"/>
      <c r="EZ110" s="1495"/>
      <c r="FA110" s="1495"/>
      <c r="FB110" s="1495"/>
      <c r="FC110" s="1495"/>
      <c r="FD110" s="1495"/>
      <c r="FE110" s="1495"/>
      <c r="FF110" s="1495"/>
      <c r="FG110" s="1495"/>
      <c r="FH110" s="1495"/>
      <c r="FI110" s="1495"/>
      <c r="FJ110" s="1495"/>
      <c r="FK110" s="1495"/>
      <c r="FL110" s="1495"/>
      <c r="FM110" s="1495"/>
      <c r="FN110" s="1495"/>
      <c r="FO110" s="1495"/>
      <c r="FP110" s="1495"/>
      <c r="FQ110" s="1495"/>
      <c r="FR110" s="1495"/>
      <c r="FS110" s="1495"/>
      <c r="FT110" s="1495"/>
      <c r="FU110" s="1495"/>
      <c r="FV110" s="1495"/>
      <c r="FW110" s="1495"/>
      <c r="FX110" s="1486"/>
    </row>
    <row s="15863" customFormat="1" customHeight="1" ht="12">
      <c r="A111" s="1208"/>
      <c r="B111" s="1207"/>
      <c r="C111" s="1208"/>
      <c r="D111" s="1208"/>
      <c r="E111" s="1208"/>
      <c r="F111" s="1497"/>
      <c r="G111" s="2084" t="s">
        <v>1940</v>
      </c>
      <c r="H111" s="1498"/>
      <c r="I111" s="1498"/>
      <c r="J111" s="1498"/>
      <c r="K111" s="1498"/>
      <c r="L111" s="1498"/>
      <c r="M111" s="1498"/>
      <c r="N111" s="1498"/>
      <c r="O111" s="1498"/>
      <c r="P111" s="1498"/>
      <c r="Q111" s="1498"/>
      <c r="R111" s="1498"/>
      <c r="S111" s="1498"/>
      <c r="T111" s="1498"/>
      <c r="U111" s="1498"/>
      <c r="V111" s="1498"/>
      <c r="W111" s="1498"/>
      <c r="X111" s="1498"/>
      <c r="Y111" s="1498"/>
      <c r="Z111" s="1498"/>
      <c r="AA111" s="1498"/>
      <c r="AB111" s="1498"/>
      <c r="AC111" s="1498"/>
      <c r="AD111" s="1498"/>
      <c r="AE111" s="1498"/>
      <c r="AF111" s="1498"/>
      <c r="AG111" s="1498"/>
      <c r="AH111" s="1498"/>
      <c r="AI111" s="1498"/>
      <c r="AJ111" s="1498"/>
      <c r="AK111" s="1498"/>
      <c r="AL111" s="1498"/>
      <c r="AM111" s="1498"/>
      <c r="AN111" s="1498"/>
      <c r="AO111" s="1498"/>
      <c r="AP111" s="1498"/>
      <c r="AQ111" s="1498"/>
      <c r="AR111" s="1498"/>
      <c r="AS111" s="1498"/>
      <c r="AT111" s="1498"/>
      <c r="AU111" s="1498"/>
      <c r="AV111" s="1498"/>
      <c r="AW111" s="1498"/>
      <c r="AX111" s="1498"/>
      <c r="AY111" s="1498"/>
      <c r="AZ111" s="1498"/>
      <c r="BA111" s="1498"/>
      <c r="BB111" s="1498"/>
      <c r="BC111" s="1498"/>
      <c r="BD111" s="1498"/>
      <c r="BE111" s="1498"/>
      <c r="BF111" s="1498"/>
      <c r="BG111" s="1498"/>
      <c r="BH111" s="1498"/>
      <c r="BI111" s="1498"/>
      <c r="BJ111" s="1498"/>
      <c r="BK111" s="1498"/>
      <c r="BL111" s="1498"/>
      <c r="BM111" s="1498"/>
      <c r="BN111" s="1498"/>
      <c r="BO111" s="1498"/>
      <c r="BP111" s="1498"/>
      <c r="BQ111" s="1498"/>
      <c r="BR111" s="1498"/>
      <c r="BS111" s="1498"/>
      <c r="BT111" s="1498"/>
      <c r="BU111" s="1498"/>
      <c r="BV111" s="1498"/>
      <c r="BW111" s="1498"/>
      <c r="BX111" s="1498"/>
      <c r="BY111" s="1498"/>
      <c r="BZ111" s="1498"/>
      <c r="CA111" s="1498"/>
      <c r="CB111" s="1498"/>
      <c r="CC111" s="1498"/>
      <c r="CD111" s="1498"/>
      <c r="CE111" s="1498"/>
      <c r="CF111" s="1498"/>
      <c r="CG111" s="1498"/>
      <c r="CH111" s="1498"/>
      <c r="CI111" s="1498"/>
      <c r="CJ111" s="1498"/>
      <c r="CK111" s="1498"/>
      <c r="CL111" s="1498"/>
      <c r="CM111" s="1498"/>
      <c r="CN111" s="1498"/>
      <c r="CO111" s="1498"/>
      <c r="CP111" s="1498"/>
      <c r="CQ111" s="1498"/>
      <c r="CR111" s="1498"/>
      <c r="CS111" s="1498"/>
      <c r="CT111" s="1498"/>
      <c r="CU111" s="1498"/>
      <c r="CV111" s="1498"/>
      <c r="CW111" s="1498"/>
      <c r="CX111" s="1498"/>
      <c r="CY111" s="1498"/>
      <c r="CZ111" s="1498"/>
      <c r="DA111" s="1498"/>
      <c r="DB111" s="1498"/>
      <c r="DC111" s="1498"/>
      <c r="DD111" s="1498"/>
      <c r="DE111" s="1498"/>
      <c r="DF111" s="1498"/>
      <c r="DG111" s="1498"/>
      <c r="DH111" s="1498"/>
      <c r="DI111" s="1498"/>
      <c r="DJ111" s="1498"/>
      <c r="DK111" s="1498"/>
      <c r="DL111" s="1498"/>
      <c r="DM111" s="1498"/>
      <c r="DN111" s="1498"/>
      <c r="DO111" s="1498"/>
      <c r="DP111" s="1498"/>
      <c r="DQ111" s="1498"/>
      <c r="DR111" s="1498"/>
      <c r="DS111" s="1498"/>
      <c r="DT111" s="1498"/>
      <c r="DU111" s="1498"/>
      <c r="DV111" s="1498"/>
      <c r="DW111" s="1498"/>
      <c r="DX111" s="1498"/>
      <c r="DY111" s="1498"/>
      <c r="DZ111" s="1498"/>
      <c r="EA111" s="1498"/>
      <c r="EB111" s="1498"/>
      <c r="EC111" s="1498"/>
      <c r="ED111" s="1498"/>
      <c r="EE111" s="1498"/>
      <c r="EF111" s="1498"/>
      <c r="EG111" s="1498"/>
      <c r="EH111" s="1498"/>
      <c r="EI111" s="1498"/>
      <c r="EJ111" s="1498"/>
      <c r="EK111" s="1498"/>
      <c r="EL111" s="1498"/>
      <c r="EM111" s="1498"/>
      <c r="EN111" s="1498"/>
      <c r="EO111" s="1498"/>
      <c r="EP111" s="1498"/>
      <c r="EQ111" s="1498"/>
      <c r="ER111" s="1498"/>
      <c r="ES111" s="1498"/>
      <c r="ET111" s="1498"/>
      <c r="EU111" s="1498"/>
      <c r="EV111" s="1498"/>
      <c r="EW111" s="1498"/>
      <c r="EX111" s="1498"/>
      <c r="EY111" s="1498"/>
      <c r="EZ111" s="1498"/>
      <c r="FA111" s="1498"/>
      <c r="FB111" s="1498"/>
      <c r="FC111" s="1498"/>
      <c r="FD111" s="1498"/>
      <c r="FE111" s="1498"/>
      <c r="FF111" s="1498"/>
      <c r="FG111" s="1498"/>
      <c r="FH111" s="1498"/>
      <c r="FI111" s="1498"/>
      <c r="FJ111" s="1498"/>
      <c r="FK111" s="1498"/>
      <c r="FL111" s="1498"/>
      <c r="FM111" s="1498"/>
      <c r="FN111" s="1498"/>
      <c r="FO111" s="1498"/>
      <c r="FP111" s="1498"/>
      <c r="FQ111" s="1498"/>
      <c r="FR111" s="1498"/>
      <c r="FS111" s="1498"/>
      <c r="FT111" s="1498"/>
      <c r="FU111" s="1498"/>
      <c r="FV111" s="1498"/>
      <c r="FW111" s="1499"/>
      <c r="FX111" s="1500"/>
      <c r="FY111" s="1225"/>
      <c r="FZ111" s="1225"/>
      <c r="GA111" s="1225"/>
      <c r="GB111" s="1225"/>
    </row>
    <row r="113" s="16332" customFormat="1" customHeight="1" ht="11.25">
      <c r="A113" s="2099" t="s">
        <v>1941</v>
      </c>
    </row>
    <row r="115" s="14218" customFormat="1" customHeight="1" ht="15">
      <c r="A115" s="907"/>
      <c r="B115" s="908"/>
      <c r="C115" s="908"/>
      <c r="D115" s="2862" t="s">
        <v>110</v>
      </c>
      <c r="E115" s="2661" t="s">
        <v>106</v>
      </c>
      <c r="F115" s="2662"/>
      <c r="G115" s="2663"/>
      <c r="H115" s="2667" t="str">
        <f>IF(A115="","",INDEX(DIFFERENTIATION_UNMERGE_VD,MATCH(A115,DIFFERENTIATION_ID_DIFF,0)))</f>
        <v/>
      </c>
      <c r="I115" s="2667"/>
      <c r="J115" s="2667"/>
      <c r="K115" s="2667"/>
      <c r="L115" s="2667"/>
      <c r="M115" s="2667"/>
      <c r="N115" s="2667"/>
      <c r="O115" s="2667"/>
      <c r="P115" s="2667"/>
      <c r="Q115" s="2667"/>
      <c r="R115" s="2667"/>
      <c r="S115" s="1003"/>
      <c r="T115" s="1000"/>
      <c r="U115" s="909"/>
      <c r="V115" s="909"/>
      <c r="W115" s="910"/>
      <c r="X115" s="910"/>
      <c r="Y115" s="910"/>
      <c r="Z115" s="910"/>
      <c r="AA115" s="911"/>
      <c r="AB115" s="912"/>
      <c r="AC115" s="2659"/>
      <c r="AD115" s="913"/>
      <c r="AE115" s="914" t="s">
        <v>28</v>
      </c>
      <c r="AF115" s="914"/>
      <c r="AG115" s="915" t="s">
        <v>617</v>
      </c>
      <c r="AH115" s="916">
        <v>3</v>
      </c>
      <c r="AI115" s="909"/>
      <c r="AJ115" s="909"/>
      <c r="AK115" s="909"/>
      <c r="AL115" s="909"/>
      <c r="AM115" s="909"/>
      <c r="AN115" s="909"/>
      <c r="AO115" s="909"/>
      <c r="AP115" s="909"/>
      <c r="AQ115" s="909"/>
      <c r="AR115" s="909"/>
      <c r="AS115" s="909"/>
      <c r="AT115" s="909"/>
      <c r="AU115" s="909"/>
      <c r="AV115" s="909"/>
      <c r="AW115" s="909"/>
      <c r="AX115" s="909"/>
      <c r="AY115" s="909"/>
      <c r="AZ115" s="909"/>
      <c r="BA115" s="909"/>
      <c r="BB115" s="909"/>
      <c r="BC115" s="909"/>
      <c r="BD115" s="909"/>
      <c r="BE115" s="909"/>
      <c r="BF115" s="909"/>
      <c r="BG115" s="909"/>
      <c r="BH115" s="909"/>
      <c r="BI115" s="909"/>
      <c r="BJ115" s="909"/>
      <c r="BK115" s="909"/>
      <c r="BL115" s="909"/>
      <c r="BM115" s="909"/>
      <c r="BN115" s="909"/>
      <c r="BO115" s="909"/>
      <c r="BP115" s="909"/>
      <c r="BQ115" s="909"/>
      <c r="BR115" s="909"/>
      <c r="BS115" s="909"/>
      <c r="BT115" s="909"/>
      <c r="BU115" s="909"/>
      <c r="BV115" s="910"/>
      <c r="BW115" s="910"/>
      <c r="BX115" s="910"/>
      <c r="BY115" s="910"/>
      <c r="BZ115" s="910"/>
      <c r="CA115" s="910"/>
      <c r="CB115" s="910"/>
      <c r="CC115" s="910"/>
      <c r="CD115" s="910"/>
      <c r="CE115" s="910"/>
    </row>
    <row s="14218" customFormat="1" customHeight="1" ht="15">
      <c r="A116" s="907"/>
      <c r="B116" s="908"/>
      <c r="C116" s="908"/>
      <c r="D116" s="2863"/>
      <c r="E116" s="2661" t="s">
        <v>572</v>
      </c>
      <c r="F116" s="2662"/>
      <c r="G116" s="2663"/>
      <c r="H116" s="2667" t="str">
        <f>IF(A115="","",INDEX(DIFFERENTIATION_UNMERGE_AREA,MATCH(A115,DIFFERENTIATION_ID_DIFF,0)))</f>
        <v/>
      </c>
      <c r="I116" s="2667"/>
      <c r="J116" s="2667"/>
      <c r="K116" s="2667"/>
      <c r="L116" s="2667"/>
      <c r="M116" s="2667"/>
      <c r="N116" s="2667"/>
      <c r="O116" s="2667"/>
      <c r="P116" s="2667"/>
      <c r="Q116" s="2667"/>
      <c r="R116" s="2667"/>
      <c r="S116" s="1003"/>
      <c r="T116" s="1000"/>
      <c r="U116" s="909"/>
      <c r="V116" s="909"/>
      <c r="W116" s="910"/>
      <c r="X116" s="910"/>
      <c r="Y116" s="910"/>
      <c r="Z116" s="910"/>
      <c r="AA116" s="911"/>
      <c r="AB116" s="912"/>
      <c r="AC116" s="2659"/>
      <c r="AD116" s="913"/>
      <c r="AE116" s="914"/>
      <c r="AF116" s="914"/>
      <c r="AG116" s="915"/>
      <c r="AH116" s="916"/>
      <c r="AI116" s="909"/>
      <c r="AJ116" s="909"/>
      <c r="AK116" s="909"/>
      <c r="AL116" s="909"/>
      <c r="AM116" s="909"/>
      <c r="AN116" s="909"/>
      <c r="AO116" s="909"/>
      <c r="AP116" s="909"/>
      <c r="AQ116" s="909"/>
      <c r="AR116" s="909"/>
      <c r="AS116" s="909"/>
      <c r="AT116" s="909"/>
      <c r="AU116" s="909"/>
      <c r="AV116" s="909"/>
      <c r="AW116" s="909"/>
      <c r="AX116" s="909"/>
      <c r="AY116" s="909"/>
      <c r="AZ116" s="909"/>
      <c r="BA116" s="909"/>
      <c r="BB116" s="909"/>
      <c r="BC116" s="909"/>
      <c r="BD116" s="909"/>
      <c r="BE116" s="909"/>
      <c r="BF116" s="909"/>
      <c r="BG116" s="909"/>
      <c r="BH116" s="909"/>
      <c r="BI116" s="909"/>
      <c r="BJ116" s="909"/>
      <c r="BK116" s="909"/>
      <c r="BL116" s="909"/>
      <c r="BM116" s="909"/>
      <c r="BN116" s="909"/>
      <c r="BO116" s="909"/>
      <c r="BP116" s="909"/>
      <c r="BQ116" s="909"/>
      <c r="BR116" s="909"/>
      <c r="BS116" s="909"/>
      <c r="BT116" s="909"/>
      <c r="BU116" s="909"/>
      <c r="BV116" s="910"/>
      <c r="BW116" s="910"/>
      <c r="BX116" s="910"/>
      <c r="BY116" s="910"/>
      <c r="BZ116" s="910"/>
      <c r="CA116" s="910"/>
      <c r="CB116" s="910"/>
      <c r="CC116" s="910"/>
      <c r="CD116" s="910"/>
      <c r="CE116" s="910"/>
    </row>
    <row s="14218" customFormat="1" customHeight="1" ht="15">
      <c r="A117" s="907"/>
      <c r="B117" s="908"/>
      <c r="C117" s="908"/>
      <c r="D117" s="2863"/>
      <c r="E117" s="2661" t="s">
        <v>573</v>
      </c>
      <c r="F117" s="2662"/>
      <c r="G117" s="2663"/>
      <c r="H117" s="2667" t="str">
        <f>IF(A115="","",INDEX(DIFFERENTIATION_UNMERGE_SYSTEM,MATCH(A115,DIFFERENTIATION_ID_DIFF,0)))</f>
        <v/>
      </c>
      <c r="I117" s="2667"/>
      <c r="J117" s="2667"/>
      <c r="K117" s="2667"/>
      <c r="L117" s="2667"/>
      <c r="M117" s="2667"/>
      <c r="N117" s="2667"/>
      <c r="O117" s="2667"/>
      <c r="P117" s="2667"/>
      <c r="Q117" s="2667"/>
      <c r="R117" s="2667"/>
      <c r="S117" s="1003"/>
      <c r="T117" s="1000"/>
      <c r="U117" s="909"/>
      <c r="V117" s="909"/>
      <c r="W117" s="910"/>
      <c r="X117" s="910"/>
      <c r="Y117" s="910"/>
      <c r="Z117" s="910"/>
      <c r="AA117" s="911"/>
      <c r="AB117" s="912"/>
      <c r="AC117" s="2659"/>
      <c r="AD117" s="913"/>
      <c r="AE117" s="914"/>
      <c r="AF117" s="914"/>
      <c r="AG117" s="915"/>
      <c r="AH117" s="916"/>
      <c r="AI117" s="909"/>
      <c r="AJ117" s="909"/>
      <c r="AK117" s="909"/>
      <c r="AL117" s="909"/>
      <c r="AM117" s="909"/>
      <c r="AN117" s="909"/>
      <c r="AO117" s="909"/>
      <c r="AP117" s="909"/>
      <c r="AQ117" s="909"/>
      <c r="AR117" s="909"/>
      <c r="AS117" s="909"/>
      <c r="AT117" s="909"/>
      <c r="AU117" s="909"/>
      <c r="AV117" s="909"/>
      <c r="AW117" s="909"/>
      <c r="AX117" s="909"/>
      <c r="AY117" s="909"/>
      <c r="AZ117" s="909"/>
      <c r="BA117" s="909"/>
      <c r="BB117" s="909"/>
      <c r="BC117" s="909"/>
      <c r="BD117" s="909"/>
      <c r="BE117" s="909"/>
      <c r="BF117" s="909"/>
      <c r="BG117" s="909"/>
      <c r="BH117" s="909"/>
      <c r="BI117" s="909"/>
      <c r="BJ117" s="909"/>
      <c r="BK117" s="909"/>
      <c r="BL117" s="909"/>
      <c r="BM117" s="909"/>
      <c r="BN117" s="909"/>
      <c r="BO117" s="909"/>
      <c r="BP117" s="909"/>
      <c r="BQ117" s="909"/>
      <c r="BR117" s="909"/>
      <c r="BS117" s="909"/>
      <c r="BT117" s="909"/>
      <c r="BU117" s="909"/>
      <c r="BV117" s="910"/>
      <c r="BW117" s="910"/>
      <c r="BX117" s="910"/>
      <c r="BY117" s="910"/>
      <c r="BZ117" s="910"/>
      <c r="CA117" s="910"/>
      <c r="CB117" s="910"/>
      <c r="CC117" s="910"/>
      <c r="CD117" s="910"/>
      <c r="CE117" s="910"/>
    </row>
    <row s="14218" customFormat="1" customHeight="1" ht="24.75">
      <c r="A118" s="2090"/>
      <c r="B118" s="1444"/>
      <c r="C118" s="696"/>
      <c r="D118" s="2863"/>
      <c r="E118" s="2660" t="s">
        <v>618</v>
      </c>
      <c r="F118" s="2660"/>
      <c r="G118" s="2660"/>
      <c r="H118" s="2660"/>
      <c r="I118" s="2660"/>
      <c r="J118" s="2660"/>
      <c r="K118" s="2660"/>
      <c r="L118" s="2660"/>
      <c r="M118" s="2660"/>
      <c r="N118" s="2660"/>
      <c r="O118" s="2660"/>
      <c r="P118" s="2660"/>
      <c r="Q118" s="842">
        <f>SUMIF(T119:T120,"i",Q119:Q120)</f>
        <v>0</v>
      </c>
      <c r="R118" s="1301"/>
      <c r="S118" s="2082" t="s">
        <v>619</v>
      </c>
      <c r="T118" s="1001" t="s">
        <v>620</v>
      </c>
      <c r="U118" s="2658">
        <v>1</v>
      </c>
      <c r="V118" s="2658" t="s">
        <v>583</v>
      </c>
      <c r="W118" s="1444"/>
      <c r="X118" s="1444"/>
      <c r="Y118" s="1444"/>
      <c r="Z118" s="1444"/>
      <c r="AA118" s="1920"/>
      <c r="AB118" s="1444"/>
      <c r="AC118" s="2659"/>
      <c r="AD118" s="913"/>
      <c r="AE118" s="1444"/>
      <c r="AF118" s="1444"/>
      <c r="AG118" s="1920"/>
      <c r="AH118" s="1920"/>
      <c r="AI118" s="1920"/>
      <c r="AJ118" s="1920"/>
      <c r="AK118" s="1920"/>
      <c r="AL118" s="1920"/>
      <c r="AM118" s="1920"/>
      <c r="AN118" s="1920"/>
      <c r="AO118" s="1920"/>
      <c r="AP118" s="1920"/>
      <c r="AQ118" s="1920"/>
      <c r="AR118" s="1920"/>
      <c r="AS118" s="1920"/>
      <c r="AT118" s="1920"/>
      <c r="AU118" s="1920"/>
      <c r="AV118" s="1920"/>
      <c r="AW118" s="1920"/>
      <c r="AX118" s="1920"/>
      <c r="AY118" s="1920"/>
      <c r="AZ118" s="1920"/>
      <c r="BA118" s="1920"/>
      <c r="BB118" s="1920"/>
      <c r="BC118" s="1920"/>
      <c r="BD118" s="1920"/>
      <c r="BE118" s="1920"/>
      <c r="BF118" s="1920"/>
      <c r="BG118" s="1920"/>
      <c r="BH118" s="1920"/>
      <c r="BI118" s="1920"/>
      <c r="BJ118" s="1920"/>
      <c r="BK118" s="1920"/>
      <c r="BL118" s="1920"/>
      <c r="BM118" s="1920"/>
      <c r="BN118" s="1920"/>
      <c r="BO118" s="1920"/>
      <c r="BP118" s="1920"/>
      <c r="BQ118" s="1920"/>
      <c r="BR118" s="1920"/>
      <c r="BS118" s="1920"/>
      <c r="BT118" s="1920"/>
      <c r="BU118" s="1920"/>
      <c r="BV118" s="1444"/>
      <c r="BW118" s="1444"/>
      <c r="BX118" s="1444"/>
      <c r="BY118" s="1444"/>
      <c r="BZ118" s="1444"/>
      <c r="CA118" s="1444"/>
      <c r="CB118" s="1444"/>
      <c r="CC118" s="1444"/>
      <c r="CD118" s="1444"/>
      <c r="CE118" s="1444"/>
    </row>
    <row s="14218" customFormat="1" customHeight="1" ht="11.25" hidden="1">
      <c r="A119" s="2077"/>
      <c r="B119" s="1920"/>
      <c r="C119" s="1920"/>
      <c r="D119" s="2863"/>
      <c r="E119" s="919"/>
      <c r="F119" s="919">
        <v>0</v>
      </c>
      <c r="G119" s="919"/>
      <c r="H119" s="919"/>
      <c r="I119" s="919"/>
      <c r="J119" s="919"/>
      <c r="K119" s="919"/>
      <c r="L119" s="919"/>
      <c r="M119" s="919"/>
      <c r="N119" s="919"/>
      <c r="O119" s="919"/>
      <c r="P119" s="919"/>
      <c r="Q119" s="919"/>
      <c r="R119" s="919"/>
      <c r="S119" s="920"/>
      <c r="T119" s="1002"/>
      <c r="U119" s="2658"/>
      <c r="V119" s="2658"/>
      <c r="W119" s="1920"/>
      <c r="X119" s="1920"/>
      <c r="Y119" s="1920"/>
      <c r="Z119" s="1920"/>
      <c r="AA119" s="1920"/>
      <c r="AB119" s="1444"/>
      <c r="AC119" s="2659"/>
      <c r="AD119" s="913"/>
      <c r="AE119" s="1444"/>
      <c r="AF119" s="1444"/>
      <c r="AG119" s="1920"/>
      <c r="AH119" s="1920"/>
      <c r="AI119" s="1920"/>
      <c r="AJ119" s="1920"/>
      <c r="AK119" s="1920"/>
      <c r="AL119" s="1920"/>
      <c r="AM119" s="1920"/>
      <c r="AN119" s="1920"/>
      <c r="AO119" s="1920"/>
      <c r="AP119" s="1920"/>
      <c r="AQ119" s="1920"/>
      <c r="AR119" s="1920"/>
      <c r="AS119" s="1920"/>
      <c r="AT119" s="1920"/>
      <c r="AU119" s="1920"/>
      <c r="AV119" s="1920"/>
      <c r="AW119" s="1920"/>
      <c r="AX119" s="1920"/>
      <c r="AY119" s="1920"/>
      <c r="AZ119" s="1920"/>
      <c r="BA119" s="1920"/>
      <c r="BB119" s="1920"/>
      <c r="BC119" s="1920"/>
      <c r="BD119" s="1920"/>
      <c r="BE119" s="1920"/>
      <c r="BF119" s="1920"/>
      <c r="BG119" s="1920"/>
      <c r="BH119" s="1920"/>
      <c r="BI119" s="1920"/>
      <c r="BJ119" s="1920"/>
      <c r="BK119" s="1920"/>
      <c r="BL119" s="1920"/>
      <c r="BM119" s="1920"/>
      <c r="BN119" s="1920"/>
      <c r="BO119" s="1920"/>
      <c r="BP119" s="1920"/>
      <c r="BQ119" s="1920"/>
      <c r="BR119" s="1920"/>
      <c r="BS119" s="1920"/>
      <c r="BT119" s="1920"/>
      <c r="BU119" s="1920"/>
      <c r="BV119" s="1920"/>
      <c r="BW119" s="1920"/>
      <c r="BX119" s="1920"/>
      <c r="BY119" s="1920"/>
      <c r="BZ119" s="1920"/>
      <c r="CA119" s="1920"/>
      <c r="CB119" s="1920"/>
      <c r="CC119" s="1920"/>
      <c r="CD119" s="1920"/>
      <c r="CE119" s="1920"/>
    </row>
    <row s="14218" customFormat="1" customHeight="1" ht="11.25">
      <c r="A120" s="2090"/>
      <c r="B120" s="1444"/>
      <c r="C120" s="696"/>
      <c r="D120" s="2863"/>
      <c r="E120" s="933" t="s">
        <v>28</v>
      </c>
      <c r="F120" s="1452" t="s">
        <v>28</v>
      </c>
      <c r="G120" s="1452" t="s">
        <v>1942</v>
      </c>
      <c r="H120" s="935" t="s">
        <v>28</v>
      </c>
      <c r="I120" s="935"/>
      <c r="J120" s="935"/>
      <c r="K120" s="935"/>
      <c r="L120" s="935"/>
      <c r="M120" s="935"/>
      <c r="N120" s="935"/>
      <c r="O120" s="935"/>
      <c r="P120" s="935"/>
      <c r="Q120" s="935"/>
      <c r="R120" s="936"/>
      <c r="S120" s="937"/>
      <c r="T120" s="1002"/>
      <c r="U120" s="2658"/>
      <c r="V120" s="2658"/>
      <c r="W120" s="1444"/>
      <c r="X120" s="1444"/>
      <c r="Y120" s="1444"/>
      <c r="Z120" s="1444"/>
      <c r="AA120" s="1920"/>
      <c r="AB120" s="1444"/>
      <c r="AC120" s="2659"/>
      <c r="AD120" s="913"/>
      <c r="AE120" s="1444"/>
      <c r="AF120" s="1444"/>
      <c r="AG120" s="1920"/>
      <c r="AH120" s="1920"/>
      <c r="AI120" s="1920"/>
      <c r="AJ120" s="1920"/>
      <c r="AK120" s="1920"/>
      <c r="AL120" s="1920"/>
      <c r="AM120" s="1920"/>
      <c r="AN120" s="1920"/>
      <c r="AO120" s="1920"/>
      <c r="AP120" s="1920"/>
      <c r="AQ120" s="1920"/>
      <c r="AR120" s="1920"/>
      <c r="AS120" s="1920"/>
      <c r="AT120" s="1920"/>
      <c r="AU120" s="1920"/>
      <c r="AV120" s="1920"/>
      <c r="AW120" s="1920"/>
      <c r="AX120" s="1920"/>
      <c r="AY120" s="1920"/>
      <c r="AZ120" s="1920"/>
      <c r="BA120" s="1920"/>
      <c r="BB120" s="1920"/>
      <c r="BC120" s="1920"/>
      <c r="BD120" s="1920"/>
      <c r="BE120" s="1920"/>
      <c r="BF120" s="1920"/>
      <c r="BG120" s="1920"/>
      <c r="BH120" s="1920"/>
      <c r="BI120" s="1920"/>
      <c r="BJ120" s="1920"/>
      <c r="BK120" s="1920"/>
      <c r="BL120" s="1920"/>
      <c r="BM120" s="1920"/>
      <c r="BN120" s="1920"/>
      <c r="BO120" s="1920"/>
      <c r="BP120" s="1920"/>
      <c r="BQ120" s="1920"/>
      <c r="BR120" s="1920"/>
      <c r="BS120" s="1920"/>
      <c r="BT120" s="1920"/>
      <c r="BU120" s="1920"/>
      <c r="BV120" s="1444"/>
      <c r="BW120" s="1444"/>
      <c r="BX120" s="1444"/>
      <c r="BY120" s="1444"/>
      <c r="BZ120" s="1444"/>
      <c r="CA120" s="1444"/>
      <c r="CB120" s="1444"/>
      <c r="CC120" s="1444"/>
      <c r="CD120" s="1444"/>
      <c r="CE120" s="1444"/>
    </row>
    <row s="14218" customFormat="1" customHeight="1" ht="24.75">
      <c r="A121" s="2090"/>
      <c r="B121" s="1444"/>
      <c r="C121" s="696"/>
      <c r="D121" s="2863"/>
      <c r="E121" s="2660" t="s">
        <v>621</v>
      </c>
      <c r="F121" s="2660"/>
      <c r="G121" s="2660"/>
      <c r="H121" s="2660"/>
      <c r="I121" s="2660"/>
      <c r="J121" s="2660"/>
      <c r="K121" s="2660"/>
      <c r="L121" s="2660"/>
      <c r="M121" s="2660"/>
      <c r="N121" s="2660"/>
      <c r="O121" s="2660"/>
      <c r="P121" s="2660"/>
      <c r="Q121" s="842">
        <f>SUMIF(T122:T123,"i",Q122:Q123)</f>
        <v>0</v>
      </c>
      <c r="R121" s="1301"/>
      <c r="S121" s="2082" t="s">
        <v>622</v>
      </c>
      <c r="T121" s="1001" t="s">
        <v>620</v>
      </c>
      <c r="U121" s="2658">
        <v>1</v>
      </c>
      <c r="V121" s="2658" t="s">
        <v>583</v>
      </c>
      <c r="W121" s="1444"/>
      <c r="X121" s="1444"/>
      <c r="Y121" s="1444"/>
      <c r="Z121" s="1444"/>
      <c r="AA121" s="1920"/>
      <c r="AB121" s="1444"/>
      <c r="AC121" s="2080"/>
      <c r="AD121" s="913"/>
      <c r="AE121" s="1444"/>
      <c r="AF121" s="1444"/>
      <c r="AG121" s="1920"/>
      <c r="AH121" s="1920"/>
      <c r="AI121" s="1920"/>
      <c r="AJ121" s="1920"/>
      <c r="AK121" s="1920"/>
      <c r="AL121" s="1920"/>
      <c r="AM121" s="1920"/>
      <c r="AN121" s="1920"/>
      <c r="AO121" s="1920"/>
      <c r="AP121" s="1920"/>
      <c r="AQ121" s="1920"/>
      <c r="AR121" s="1920"/>
      <c r="AS121" s="1920"/>
      <c r="AT121" s="1920"/>
      <c r="AU121" s="1920"/>
      <c r="AV121" s="1920"/>
      <c r="AW121" s="1920"/>
      <c r="AX121" s="1920"/>
      <c r="AY121" s="1920"/>
      <c r="AZ121" s="1920"/>
      <c r="BA121" s="1920"/>
      <c r="BB121" s="1920"/>
      <c r="BC121" s="1920"/>
      <c r="BD121" s="1920"/>
      <c r="BE121" s="1920"/>
      <c r="BF121" s="1920"/>
      <c r="BG121" s="1920"/>
      <c r="BH121" s="1920"/>
      <c r="BI121" s="1920"/>
      <c r="BJ121" s="1920"/>
      <c r="BK121" s="1920"/>
      <c r="BL121" s="1920"/>
      <c r="BM121" s="1920"/>
      <c r="BN121" s="1920"/>
      <c r="BO121" s="1920"/>
      <c r="BP121" s="1920"/>
      <c r="BQ121" s="1920"/>
      <c r="BR121" s="1920"/>
      <c r="BS121" s="1920"/>
      <c r="BT121" s="1920"/>
      <c r="BU121" s="1920"/>
      <c r="BV121" s="1444"/>
      <c r="BW121" s="1444"/>
      <c r="BX121" s="1444"/>
      <c r="BY121" s="1444"/>
      <c r="BZ121" s="1444"/>
      <c r="CA121" s="1444"/>
      <c r="CB121" s="1444"/>
      <c r="CC121" s="1444"/>
      <c r="CD121" s="1444"/>
      <c r="CE121" s="1444"/>
    </row>
    <row s="14218" customFormat="1" customHeight="1" ht="11.25" hidden="1">
      <c r="A122" s="2077"/>
      <c r="B122" s="1920"/>
      <c r="C122" s="1920"/>
      <c r="D122" s="2863"/>
      <c r="E122" s="919"/>
      <c r="F122" s="919">
        <v>0</v>
      </c>
      <c r="G122" s="919"/>
      <c r="H122" s="919"/>
      <c r="I122" s="919"/>
      <c r="J122" s="919"/>
      <c r="K122" s="919"/>
      <c r="L122" s="919"/>
      <c r="M122" s="919"/>
      <c r="N122" s="919"/>
      <c r="O122" s="919"/>
      <c r="P122" s="919"/>
      <c r="Q122" s="919"/>
      <c r="R122" s="919"/>
      <c r="S122" s="920"/>
      <c r="T122" s="1002"/>
      <c r="U122" s="2658"/>
      <c r="V122" s="2658"/>
      <c r="W122" s="1920"/>
      <c r="X122" s="1920"/>
      <c r="Y122" s="1920"/>
      <c r="Z122" s="1920"/>
      <c r="AA122" s="1920"/>
      <c r="AB122" s="1444"/>
      <c r="AC122" s="2080"/>
      <c r="AD122" s="913"/>
      <c r="AE122" s="1444"/>
      <c r="AF122" s="1444"/>
      <c r="AG122" s="1920"/>
      <c r="AH122" s="1920"/>
      <c r="AI122" s="1920"/>
      <c r="AJ122" s="1920"/>
      <c r="AK122" s="1920"/>
      <c r="AL122" s="1920"/>
      <c r="AM122" s="1920"/>
      <c r="AN122" s="1920"/>
      <c r="AO122" s="1920"/>
      <c r="AP122" s="1920"/>
      <c r="AQ122" s="1920"/>
      <c r="AR122" s="1920"/>
      <c r="AS122" s="1920"/>
      <c r="AT122" s="1920"/>
      <c r="AU122" s="1920"/>
      <c r="AV122" s="1920"/>
      <c r="AW122" s="1920"/>
      <c r="AX122" s="1920"/>
      <c r="AY122" s="1920"/>
      <c r="AZ122" s="1920"/>
      <c r="BA122" s="1920"/>
      <c r="BB122" s="1920"/>
      <c r="BC122" s="1920"/>
      <c r="BD122" s="1920"/>
      <c r="BE122" s="1920"/>
      <c r="BF122" s="1920"/>
      <c r="BG122" s="1920"/>
      <c r="BH122" s="1920"/>
      <c r="BI122" s="1920"/>
      <c r="BJ122" s="1920"/>
      <c r="BK122" s="1920"/>
      <c r="BL122" s="1920"/>
      <c r="BM122" s="1920"/>
      <c r="BN122" s="1920"/>
      <c r="BO122" s="1920"/>
      <c r="BP122" s="1920"/>
      <c r="BQ122" s="1920"/>
      <c r="BR122" s="1920"/>
      <c r="BS122" s="1920"/>
      <c r="BT122" s="1920"/>
      <c r="BU122" s="1920"/>
      <c r="BV122" s="1920"/>
      <c r="BW122" s="1920"/>
      <c r="BX122" s="1920"/>
      <c r="BY122" s="1920"/>
      <c r="BZ122" s="1920"/>
      <c r="CA122" s="1920"/>
      <c r="CB122" s="1920"/>
      <c r="CC122" s="1920"/>
      <c r="CD122" s="1920"/>
      <c r="CE122" s="1920"/>
    </row>
    <row s="14218" customFormat="1" customHeight="1" ht="11.25">
      <c r="A123" s="2090"/>
      <c r="B123" s="1444"/>
      <c r="C123" s="696"/>
      <c r="D123" s="2864"/>
      <c r="E123" s="933" t="s">
        <v>28</v>
      </c>
      <c r="F123" s="1452" t="s">
        <v>28</v>
      </c>
      <c r="G123" s="1452" t="s">
        <v>1942</v>
      </c>
      <c r="H123" s="935" t="s">
        <v>28</v>
      </c>
      <c r="I123" s="935"/>
      <c r="J123" s="935"/>
      <c r="K123" s="935"/>
      <c r="L123" s="935"/>
      <c r="M123" s="935"/>
      <c r="N123" s="935"/>
      <c r="O123" s="935"/>
      <c r="P123" s="935"/>
      <c r="Q123" s="935"/>
      <c r="R123" s="936"/>
      <c r="S123" s="937"/>
      <c r="T123" s="1002"/>
      <c r="U123" s="2658"/>
      <c r="V123" s="2658"/>
      <c r="W123" s="1444"/>
      <c r="X123" s="1444"/>
      <c r="Y123" s="1444"/>
      <c r="Z123" s="1444"/>
      <c r="AA123" s="1920"/>
      <c r="AB123" s="1444"/>
      <c r="AC123" s="2080"/>
      <c r="AD123" s="913"/>
      <c r="AE123" s="1444"/>
      <c r="AF123" s="1444"/>
      <c r="AG123" s="1920"/>
      <c r="AH123" s="1920"/>
      <c r="AI123" s="1920"/>
      <c r="AJ123" s="1920"/>
      <c r="AK123" s="1920"/>
      <c r="AL123" s="1920"/>
      <c r="AM123" s="1920"/>
      <c r="AN123" s="1920"/>
      <c r="AO123" s="1920"/>
      <c r="AP123" s="1920"/>
      <c r="AQ123" s="1920"/>
      <c r="AR123" s="1920"/>
      <c r="AS123" s="1920"/>
      <c r="AT123" s="1920"/>
      <c r="AU123" s="1920"/>
      <c r="AV123" s="1920"/>
      <c r="AW123" s="1920"/>
      <c r="AX123" s="1920"/>
      <c r="AY123" s="1920"/>
      <c r="AZ123" s="1920"/>
      <c r="BA123" s="1920"/>
      <c r="BB123" s="1920"/>
      <c r="BC123" s="1920"/>
      <c r="BD123" s="1920"/>
      <c r="BE123" s="1920"/>
      <c r="BF123" s="1920"/>
      <c r="BG123" s="1920"/>
      <c r="BH123" s="1920"/>
      <c r="BI123" s="1920"/>
      <c r="BJ123" s="1920"/>
      <c r="BK123" s="1920"/>
      <c r="BL123" s="1920"/>
      <c r="BM123" s="1920"/>
      <c r="BN123" s="1920"/>
      <c r="BO123" s="1920"/>
      <c r="BP123" s="1920"/>
      <c r="BQ123" s="1920"/>
      <c r="BR123" s="1920"/>
      <c r="BS123" s="1920"/>
      <c r="BT123" s="1920"/>
      <c r="BU123" s="1920"/>
      <c r="BV123" s="1444"/>
      <c r="BW123" s="1444"/>
      <c r="BX123" s="1444"/>
      <c r="BY123" s="1444"/>
      <c r="BZ123" s="1444"/>
      <c r="CA123" s="1444"/>
      <c r="CB123" s="1444"/>
      <c r="CC123" s="1444"/>
      <c r="CD123" s="1444"/>
      <c r="CE123" s="1444"/>
    </row>
    <row r="125" s="16332" customFormat="1" customHeight="1" ht="11.25">
      <c r="A125" s="2099" t="s">
        <v>1943</v>
      </c>
    </row>
    <row r="127" s="14218" customFormat="1" customHeight="1" ht="15">
      <c r="A127" s="907"/>
      <c r="B127" s="908"/>
      <c r="C127" s="908"/>
      <c r="D127" s="2862" t="s">
        <v>110</v>
      </c>
      <c r="E127" s="2661" t="s">
        <v>106</v>
      </c>
      <c r="F127" s="2662"/>
      <c r="G127" s="2663"/>
      <c r="H127" s="2667" t="str">
        <f>IF(A127="","",INDEX(DIFFERENTIATION_UNMERGE_VD,MATCH(A127,DIFFERENTIATION_ID_DIFF,0)))</f>
        <v/>
      </c>
      <c r="I127" s="2667"/>
      <c r="J127" s="2667"/>
      <c r="K127" s="2667"/>
      <c r="L127" s="2667"/>
      <c r="M127" s="2667"/>
      <c r="N127" s="2667"/>
      <c r="O127" s="2667"/>
      <c r="P127" s="2667"/>
      <c r="Q127" s="2667"/>
      <c r="R127" s="2667"/>
      <c r="S127" s="1003"/>
      <c r="T127" s="1000"/>
      <c r="U127" s="909"/>
      <c r="V127" s="909"/>
      <c r="W127" s="910"/>
      <c r="X127" s="910"/>
      <c r="Y127" s="910"/>
      <c r="Z127" s="910"/>
      <c r="AA127" s="911"/>
      <c r="AB127" s="912"/>
      <c r="AC127" s="2659"/>
      <c r="AD127" s="913"/>
      <c r="AE127" s="914" t="s">
        <v>28</v>
      </c>
      <c r="AF127" s="914"/>
      <c r="AG127" s="915" t="s">
        <v>617</v>
      </c>
      <c r="AH127" s="916">
        <v>3</v>
      </c>
      <c r="AI127" s="909"/>
      <c r="AJ127" s="909"/>
      <c r="AK127" s="909"/>
      <c r="AL127" s="909"/>
      <c r="AM127" s="909"/>
      <c r="AN127" s="909"/>
      <c r="AO127" s="909"/>
      <c r="AP127" s="909"/>
      <c r="AQ127" s="909"/>
      <c r="AR127" s="909"/>
      <c r="AS127" s="909"/>
      <c r="AT127" s="909"/>
      <c r="AU127" s="909"/>
      <c r="AV127" s="909"/>
      <c r="AW127" s="909"/>
      <c r="AX127" s="909"/>
      <c r="AY127" s="909"/>
      <c r="AZ127" s="909"/>
      <c r="BA127" s="909"/>
      <c r="BB127" s="909"/>
      <c r="BC127" s="909"/>
      <c r="BD127" s="909"/>
      <c r="BE127" s="909"/>
      <c r="BF127" s="909"/>
      <c r="BG127" s="909"/>
      <c r="BH127" s="909"/>
      <c r="BI127" s="909"/>
      <c r="BJ127" s="909"/>
      <c r="BK127" s="909"/>
      <c r="BL127" s="909"/>
      <c r="BM127" s="909"/>
      <c r="BN127" s="909"/>
      <c r="BO127" s="909"/>
      <c r="BP127" s="909"/>
      <c r="BQ127" s="909"/>
      <c r="BR127" s="909"/>
      <c r="BS127" s="909"/>
      <c r="BT127" s="909"/>
      <c r="BU127" s="909"/>
      <c r="BV127" s="910"/>
      <c r="BW127" s="910"/>
      <c r="BX127" s="910"/>
      <c r="BY127" s="910"/>
      <c r="BZ127" s="910"/>
      <c r="CA127" s="910"/>
      <c r="CB127" s="910"/>
      <c r="CC127" s="910"/>
      <c r="CD127" s="910"/>
      <c r="CE127" s="910"/>
    </row>
    <row s="14218" customFormat="1" customHeight="1" ht="15">
      <c r="A128" s="907"/>
      <c r="B128" s="908"/>
      <c r="C128" s="908"/>
      <c r="D128" s="2863"/>
      <c r="E128" s="2661" t="s">
        <v>572</v>
      </c>
      <c r="F128" s="2662"/>
      <c r="G128" s="2663"/>
      <c r="H128" s="2667" t="str">
        <f>IF(A127="","",INDEX(DIFFERENTIATION_UNMERGE_AREA,MATCH(A127,DIFFERENTIATION_ID_DIFF,0)))</f>
        <v/>
      </c>
      <c r="I128" s="2667"/>
      <c r="J128" s="2667"/>
      <c r="K128" s="2667"/>
      <c r="L128" s="2667"/>
      <c r="M128" s="2667"/>
      <c r="N128" s="2667"/>
      <c r="O128" s="2667"/>
      <c r="P128" s="2667"/>
      <c r="Q128" s="2667"/>
      <c r="R128" s="2667"/>
      <c r="S128" s="1003"/>
      <c r="T128" s="1000"/>
      <c r="U128" s="909"/>
      <c r="V128" s="909"/>
      <c r="W128" s="910"/>
      <c r="X128" s="910"/>
      <c r="Y128" s="910"/>
      <c r="Z128" s="910"/>
      <c r="AA128" s="911"/>
      <c r="AB128" s="912"/>
      <c r="AC128" s="2659"/>
      <c r="AD128" s="913"/>
      <c r="AE128" s="914"/>
      <c r="AF128" s="914"/>
      <c r="AG128" s="915"/>
      <c r="AH128" s="916"/>
      <c r="AI128" s="909"/>
      <c r="AJ128" s="909"/>
      <c r="AK128" s="909"/>
      <c r="AL128" s="909"/>
      <c r="AM128" s="909"/>
      <c r="AN128" s="909"/>
      <c r="AO128" s="909"/>
      <c r="AP128" s="909"/>
      <c r="AQ128" s="909"/>
      <c r="AR128" s="909"/>
      <c r="AS128" s="909"/>
      <c r="AT128" s="909"/>
      <c r="AU128" s="909"/>
      <c r="AV128" s="909"/>
      <c r="AW128" s="909"/>
      <c r="AX128" s="909"/>
      <c r="AY128" s="909"/>
      <c r="AZ128" s="909"/>
      <c r="BA128" s="909"/>
      <c r="BB128" s="909"/>
      <c r="BC128" s="909"/>
      <c r="BD128" s="909"/>
      <c r="BE128" s="909"/>
      <c r="BF128" s="909"/>
      <c r="BG128" s="909"/>
      <c r="BH128" s="909"/>
      <c r="BI128" s="909"/>
      <c r="BJ128" s="909"/>
      <c r="BK128" s="909"/>
      <c r="BL128" s="909"/>
      <c r="BM128" s="909"/>
      <c r="BN128" s="909"/>
      <c r="BO128" s="909"/>
      <c r="BP128" s="909"/>
      <c r="BQ128" s="909"/>
      <c r="BR128" s="909"/>
      <c r="BS128" s="909"/>
      <c r="BT128" s="909"/>
      <c r="BU128" s="909"/>
      <c r="BV128" s="910"/>
      <c r="BW128" s="910"/>
      <c r="BX128" s="910"/>
      <c r="BY128" s="910"/>
      <c r="BZ128" s="910"/>
      <c r="CA128" s="910"/>
      <c r="CB128" s="910"/>
      <c r="CC128" s="910"/>
      <c r="CD128" s="910"/>
      <c r="CE128" s="910"/>
    </row>
    <row s="14218" customFormat="1" customHeight="1" ht="15">
      <c r="A129" s="907"/>
      <c r="B129" s="908"/>
      <c r="C129" s="908"/>
      <c r="D129" s="2863"/>
      <c r="E129" s="2661" t="s">
        <v>573</v>
      </c>
      <c r="F129" s="2662"/>
      <c r="G129" s="2663"/>
      <c r="H129" s="2667" t="str">
        <f>IF(A127="","",INDEX(DIFFERENTIATION_UNMERGE_SYSTEM,MATCH(A127,DIFFERENTIATION_ID_DIFF,0)))</f>
        <v/>
      </c>
      <c r="I129" s="2667"/>
      <c r="J129" s="2667"/>
      <c r="K129" s="2667"/>
      <c r="L129" s="2667"/>
      <c r="M129" s="2667"/>
      <c r="N129" s="2667"/>
      <c r="O129" s="2667"/>
      <c r="P129" s="2667"/>
      <c r="Q129" s="2667"/>
      <c r="R129" s="2667"/>
      <c r="S129" s="1003"/>
      <c r="T129" s="1000"/>
      <c r="U129" s="909"/>
      <c r="V129" s="909"/>
      <c r="W129" s="910"/>
      <c r="X129" s="910"/>
      <c r="Y129" s="910"/>
      <c r="Z129" s="910"/>
      <c r="AA129" s="911"/>
      <c r="AB129" s="912"/>
      <c r="AC129" s="2659"/>
      <c r="AD129" s="913"/>
      <c r="AE129" s="914"/>
      <c r="AF129" s="914"/>
      <c r="AG129" s="915"/>
      <c r="AH129" s="916"/>
      <c r="AI129" s="909"/>
      <c r="AJ129" s="909"/>
      <c r="AK129" s="909"/>
      <c r="AL129" s="909"/>
      <c r="AM129" s="909"/>
      <c r="AN129" s="909"/>
      <c r="AO129" s="909"/>
      <c r="AP129" s="909"/>
      <c r="AQ129" s="909"/>
      <c r="AR129" s="909"/>
      <c r="AS129" s="909"/>
      <c r="AT129" s="909"/>
      <c r="AU129" s="909"/>
      <c r="AV129" s="909"/>
      <c r="AW129" s="909"/>
      <c r="AX129" s="909"/>
      <c r="AY129" s="909"/>
      <c r="AZ129" s="909"/>
      <c r="BA129" s="909"/>
      <c r="BB129" s="909"/>
      <c r="BC129" s="909"/>
      <c r="BD129" s="909"/>
      <c r="BE129" s="909"/>
      <c r="BF129" s="909"/>
      <c r="BG129" s="909"/>
      <c r="BH129" s="909"/>
      <c r="BI129" s="909"/>
      <c r="BJ129" s="909"/>
      <c r="BK129" s="909"/>
      <c r="BL129" s="909"/>
      <c r="BM129" s="909"/>
      <c r="BN129" s="909"/>
      <c r="BO129" s="909"/>
      <c r="BP129" s="909"/>
      <c r="BQ129" s="909"/>
      <c r="BR129" s="909"/>
      <c r="BS129" s="909"/>
      <c r="BT129" s="909"/>
      <c r="BU129" s="909"/>
      <c r="BV129" s="910"/>
      <c r="BW129" s="910"/>
      <c r="BX129" s="910"/>
      <c r="BY129" s="910"/>
      <c r="BZ129" s="910"/>
      <c r="CA129" s="910"/>
      <c r="CB129" s="910"/>
      <c r="CC129" s="910"/>
      <c r="CD129" s="910"/>
      <c r="CE129" s="910"/>
    </row>
    <row s="14218" customFormat="1" customHeight="1" ht="24.75">
      <c r="A130" s="2090"/>
      <c r="B130" s="1444"/>
      <c r="C130" s="696"/>
      <c r="D130" s="2863"/>
      <c r="E130" s="2660" t="s">
        <v>618</v>
      </c>
      <c r="F130" s="2660"/>
      <c r="G130" s="2660"/>
      <c r="H130" s="2660"/>
      <c r="I130" s="2660"/>
      <c r="J130" s="2660"/>
      <c r="K130" s="2660"/>
      <c r="L130" s="2660"/>
      <c r="M130" s="2660"/>
      <c r="N130" s="2660"/>
      <c r="O130" s="2660"/>
      <c r="P130" s="2660"/>
      <c r="Q130" s="842">
        <f>SUMIF(T131:T132,"i",Q131:Q132)</f>
        <v>0</v>
      </c>
      <c r="R130" s="1301"/>
      <c r="S130" s="2082" t="s">
        <v>619</v>
      </c>
      <c r="T130" s="1001" t="s">
        <v>620</v>
      </c>
      <c r="U130" s="2658">
        <v>1</v>
      </c>
      <c r="V130" s="2658" t="s">
        <v>583</v>
      </c>
      <c r="W130" s="1444"/>
      <c r="X130" s="1444"/>
      <c r="Y130" s="1444"/>
      <c r="Z130" s="1444"/>
      <c r="AA130" s="1920"/>
      <c r="AB130" s="1444"/>
      <c r="AC130" s="2659"/>
      <c r="AD130" s="913"/>
      <c r="AE130" s="1444"/>
      <c r="AF130" s="1444"/>
      <c r="AG130" s="1920"/>
      <c r="AH130" s="1920"/>
      <c r="AI130" s="1920"/>
      <c r="AJ130" s="1920"/>
      <c r="AK130" s="1920"/>
      <c r="AL130" s="1920"/>
      <c r="AM130" s="1920"/>
      <c r="AN130" s="1920"/>
      <c r="AO130" s="1920"/>
      <c r="AP130" s="1920"/>
      <c r="AQ130" s="1920"/>
      <c r="AR130" s="1920"/>
      <c r="AS130" s="1920"/>
      <c r="AT130" s="1920"/>
      <c r="AU130" s="1920"/>
      <c r="AV130" s="1920"/>
      <c r="AW130" s="1920"/>
      <c r="AX130" s="1920"/>
      <c r="AY130" s="1920"/>
      <c r="AZ130" s="1920"/>
      <c r="BA130" s="1920"/>
      <c r="BB130" s="1920"/>
      <c r="BC130" s="1920"/>
      <c r="BD130" s="1920"/>
      <c r="BE130" s="1920"/>
      <c r="BF130" s="1920"/>
      <c r="BG130" s="1920"/>
      <c r="BH130" s="1920"/>
      <c r="BI130" s="1920"/>
      <c r="BJ130" s="1920"/>
      <c r="BK130" s="1920"/>
      <c r="BL130" s="1920"/>
      <c r="BM130" s="1920"/>
      <c r="BN130" s="1920"/>
      <c r="BO130" s="1920"/>
      <c r="BP130" s="1920"/>
      <c r="BQ130" s="1920"/>
      <c r="BR130" s="1920"/>
      <c r="BS130" s="1920"/>
      <c r="BT130" s="1920"/>
      <c r="BU130" s="1920"/>
      <c r="BV130" s="1444"/>
      <c r="BW130" s="1444"/>
      <c r="BX130" s="1444"/>
      <c r="BY130" s="1444"/>
      <c r="BZ130" s="1444"/>
      <c r="CA130" s="1444"/>
      <c r="CB130" s="1444"/>
      <c r="CC130" s="1444"/>
      <c r="CD130" s="1444"/>
      <c r="CE130" s="1444"/>
    </row>
    <row s="14218" customFormat="1" customHeight="1" ht="11.25" hidden="1">
      <c r="A131" s="2077"/>
      <c r="B131" s="1920"/>
      <c r="C131" s="1920"/>
      <c r="D131" s="2863"/>
      <c r="E131" s="919"/>
      <c r="F131" s="919">
        <v>0</v>
      </c>
      <c r="G131" s="919"/>
      <c r="H131" s="919"/>
      <c r="I131" s="919"/>
      <c r="J131" s="919"/>
      <c r="K131" s="919"/>
      <c r="L131" s="919"/>
      <c r="M131" s="919"/>
      <c r="N131" s="919"/>
      <c r="O131" s="919"/>
      <c r="P131" s="919"/>
      <c r="Q131" s="919"/>
      <c r="R131" s="919"/>
      <c r="S131" s="920"/>
      <c r="T131" s="1002"/>
      <c r="U131" s="2658"/>
      <c r="V131" s="2658"/>
      <c r="W131" s="1920"/>
      <c r="X131" s="1920"/>
      <c r="Y131" s="1920"/>
      <c r="Z131" s="1920"/>
      <c r="AA131" s="1920"/>
      <c r="AB131" s="1444"/>
      <c r="AC131" s="2659"/>
      <c r="AD131" s="913"/>
      <c r="AE131" s="1444"/>
      <c r="AF131" s="1444"/>
      <c r="AG131" s="1920"/>
      <c r="AH131" s="1920"/>
      <c r="AI131" s="1920"/>
      <c r="AJ131" s="1920"/>
      <c r="AK131" s="1920"/>
      <c r="AL131" s="1920"/>
      <c r="AM131" s="1920"/>
      <c r="AN131" s="1920"/>
      <c r="AO131" s="1920"/>
      <c r="AP131" s="1920"/>
      <c r="AQ131" s="1920"/>
      <c r="AR131" s="1920"/>
      <c r="AS131" s="1920"/>
      <c r="AT131" s="1920"/>
      <c r="AU131" s="1920"/>
      <c r="AV131" s="1920"/>
      <c r="AW131" s="1920"/>
      <c r="AX131" s="1920"/>
      <c r="AY131" s="1920"/>
      <c r="AZ131" s="1920"/>
      <c r="BA131" s="1920"/>
      <c r="BB131" s="1920"/>
      <c r="BC131" s="1920"/>
      <c r="BD131" s="1920"/>
      <c r="BE131" s="1920"/>
      <c r="BF131" s="1920"/>
      <c r="BG131" s="1920"/>
      <c r="BH131" s="1920"/>
      <c r="BI131" s="1920"/>
      <c r="BJ131" s="1920"/>
      <c r="BK131" s="1920"/>
      <c r="BL131" s="1920"/>
      <c r="BM131" s="1920"/>
      <c r="BN131" s="1920"/>
      <c r="BO131" s="1920"/>
      <c r="BP131" s="1920"/>
      <c r="BQ131" s="1920"/>
      <c r="BR131" s="1920"/>
      <c r="BS131" s="1920"/>
      <c r="BT131" s="1920"/>
      <c r="BU131" s="1920"/>
      <c r="BV131" s="1920"/>
      <c r="BW131" s="1920"/>
      <c r="BX131" s="1920"/>
      <c r="BY131" s="1920"/>
      <c r="BZ131" s="1920"/>
      <c r="CA131" s="1920"/>
      <c r="CB131" s="1920"/>
      <c r="CC131" s="1920"/>
      <c r="CD131" s="1920"/>
      <c r="CE131" s="1920"/>
    </row>
    <row s="14218" customFormat="1" customHeight="1" ht="11.25">
      <c r="A132" s="2090"/>
      <c r="B132" s="1444"/>
      <c r="C132" s="696"/>
      <c r="D132" s="2863"/>
      <c r="E132" s="933" t="s">
        <v>28</v>
      </c>
      <c r="F132" s="1452" t="s">
        <v>28</v>
      </c>
      <c r="G132" s="1452" t="s">
        <v>1942</v>
      </c>
      <c r="H132" s="935" t="s">
        <v>28</v>
      </c>
      <c r="I132" s="935"/>
      <c r="J132" s="935"/>
      <c r="K132" s="935"/>
      <c r="L132" s="935"/>
      <c r="M132" s="935"/>
      <c r="N132" s="935"/>
      <c r="O132" s="935"/>
      <c r="P132" s="935"/>
      <c r="Q132" s="935"/>
      <c r="R132" s="936"/>
      <c r="S132" s="937"/>
      <c r="T132" s="1002"/>
      <c r="U132" s="2658"/>
      <c r="V132" s="2658"/>
      <c r="W132" s="1444"/>
      <c r="X132" s="1444"/>
      <c r="Y132" s="1444"/>
      <c r="Z132" s="1444"/>
      <c r="AA132" s="1920"/>
      <c r="AB132" s="1444"/>
      <c r="AC132" s="2659"/>
      <c r="AD132" s="913"/>
      <c r="AE132" s="1444"/>
      <c r="AF132" s="1444"/>
      <c r="AG132" s="1920"/>
      <c r="AH132" s="1920"/>
      <c r="AI132" s="1920"/>
      <c r="AJ132" s="1920"/>
      <c r="AK132" s="1920"/>
      <c r="AL132" s="1920"/>
      <c r="AM132" s="1920"/>
      <c r="AN132" s="1920"/>
      <c r="AO132" s="1920"/>
      <c r="AP132" s="1920"/>
      <c r="AQ132" s="1920"/>
      <c r="AR132" s="1920"/>
      <c r="AS132" s="1920"/>
      <c r="AT132" s="1920"/>
      <c r="AU132" s="1920"/>
      <c r="AV132" s="1920"/>
      <c r="AW132" s="1920"/>
      <c r="AX132" s="1920"/>
      <c r="AY132" s="1920"/>
      <c r="AZ132" s="1920"/>
      <c r="BA132" s="1920"/>
      <c r="BB132" s="1920"/>
      <c r="BC132" s="1920"/>
      <c r="BD132" s="1920"/>
      <c r="BE132" s="1920"/>
      <c r="BF132" s="1920"/>
      <c r="BG132" s="1920"/>
      <c r="BH132" s="1920"/>
      <c r="BI132" s="1920"/>
      <c r="BJ132" s="1920"/>
      <c r="BK132" s="1920"/>
      <c r="BL132" s="1920"/>
      <c r="BM132" s="1920"/>
      <c r="BN132" s="1920"/>
      <c r="BO132" s="1920"/>
      <c r="BP132" s="1920"/>
      <c r="BQ132" s="1920"/>
      <c r="BR132" s="1920"/>
      <c r="BS132" s="1920"/>
      <c r="BT132" s="1920"/>
      <c r="BU132" s="1920"/>
      <c r="BV132" s="1444"/>
      <c r="BW132" s="1444"/>
      <c r="BX132" s="1444"/>
      <c r="BY132" s="1444"/>
      <c r="BZ132" s="1444"/>
      <c r="CA132" s="1444"/>
      <c r="CB132" s="1444"/>
      <c r="CC132" s="1444"/>
      <c r="CD132" s="1444"/>
      <c r="CE132" s="1444"/>
    </row>
    <row s="14520" customFormat="1" customHeight="1" ht="5.25" hidden="1">
      <c r="A133" s="2077"/>
      <c r="B133" s="1920"/>
      <c r="C133" s="1920"/>
      <c r="D133" s="2863"/>
      <c r="E133" s="1323"/>
      <c r="F133" s="1323"/>
      <c r="G133" s="1323"/>
      <c r="H133" s="1323"/>
      <c r="I133" s="1323"/>
      <c r="J133" s="1323"/>
      <c r="K133" s="1323"/>
      <c r="L133" s="1323"/>
      <c r="M133" s="1323"/>
      <c r="N133" s="1323"/>
      <c r="O133" s="1323"/>
      <c r="P133" s="1323"/>
      <c r="Q133" s="1324"/>
      <c r="R133" s="1325"/>
      <c r="S133" s="1326"/>
      <c r="T133" s="1001" t="s">
        <v>620</v>
      </c>
      <c r="U133" s="2658">
        <v>1</v>
      </c>
      <c r="V133" s="2658" t="s">
        <v>583</v>
      </c>
      <c r="W133" s="1920"/>
      <c r="X133" s="1920"/>
      <c r="Y133" s="1920"/>
      <c r="Z133" s="1920"/>
      <c r="AA133" s="1920"/>
      <c r="AB133" s="1920"/>
      <c r="AC133" s="1321"/>
      <c r="AD133" s="1322"/>
      <c r="AE133" s="1920"/>
      <c r="AF133" s="1920"/>
      <c r="AG133" s="1920"/>
      <c r="AH133" s="1920"/>
      <c r="AI133" s="1920"/>
      <c r="AJ133" s="1920"/>
      <c r="AK133" s="1920"/>
      <c r="AL133" s="1920"/>
      <c r="AM133" s="1920"/>
      <c r="AN133" s="1920"/>
      <c r="AO133" s="1920"/>
      <c r="AP133" s="1920"/>
      <c r="AQ133" s="1920"/>
      <c r="AR133" s="1920"/>
      <c r="AS133" s="1920"/>
      <c r="AT133" s="1920"/>
      <c r="AU133" s="1920"/>
      <c r="AV133" s="1920"/>
      <c r="AW133" s="1920"/>
      <c r="AX133" s="1920"/>
      <c r="AY133" s="1920"/>
      <c r="AZ133" s="1920"/>
      <c r="BA133" s="1920"/>
      <c r="BB133" s="1920"/>
      <c r="BC133" s="1920"/>
      <c r="BD133" s="1920"/>
      <c r="BE133" s="1920"/>
      <c r="BF133" s="1920"/>
      <c r="BG133" s="1920"/>
      <c r="BH133" s="1920"/>
      <c r="BI133" s="1920"/>
      <c r="BJ133" s="1920"/>
      <c r="BK133" s="1920"/>
      <c r="BL133" s="1920"/>
      <c r="BM133" s="1920"/>
      <c r="BN133" s="1920"/>
      <c r="BO133" s="1920"/>
      <c r="BP133" s="1920"/>
      <c r="BQ133" s="1920"/>
      <c r="BR133" s="1920"/>
      <c r="BS133" s="1920"/>
      <c r="BT133" s="1920"/>
      <c r="BU133" s="1920"/>
      <c r="BV133" s="1920"/>
      <c r="BW133" s="1920"/>
      <c r="BX133" s="1920"/>
      <c r="BY133" s="1920"/>
      <c r="BZ133" s="1920"/>
      <c r="CA133" s="1920"/>
      <c r="CB133" s="1920"/>
      <c r="CC133" s="1920"/>
      <c r="CD133" s="1920"/>
      <c r="CE133" s="1920"/>
    </row>
    <row s="14520" customFormat="1" customHeight="1" ht="5.25" hidden="1">
      <c r="A134" s="2077"/>
      <c r="B134" s="1920"/>
      <c r="C134" s="1920"/>
      <c r="D134" s="2863"/>
      <c r="E134" s="919"/>
      <c r="F134" s="919"/>
      <c r="G134" s="919"/>
      <c r="H134" s="919"/>
      <c r="I134" s="919"/>
      <c r="J134" s="919"/>
      <c r="K134" s="919"/>
      <c r="L134" s="919"/>
      <c r="M134" s="919"/>
      <c r="N134" s="919"/>
      <c r="O134" s="919"/>
      <c r="P134" s="919"/>
      <c r="Q134" s="919"/>
      <c r="R134" s="919"/>
      <c r="S134" s="920"/>
      <c r="T134" s="1002"/>
      <c r="U134" s="2658"/>
      <c r="V134" s="2658"/>
      <c r="W134" s="1920"/>
      <c r="X134" s="1920"/>
      <c r="Y134" s="1920"/>
      <c r="Z134" s="1920"/>
      <c r="AA134" s="1920"/>
      <c r="AB134" s="1920"/>
      <c r="AC134" s="1321"/>
      <c r="AD134" s="1322"/>
      <c r="AE134" s="1920"/>
      <c r="AF134" s="1920"/>
      <c r="AG134" s="1920"/>
      <c r="AH134" s="1920"/>
      <c r="AI134" s="1920"/>
      <c r="AJ134" s="1920"/>
      <c r="AK134" s="1920"/>
      <c r="AL134" s="1920"/>
      <c r="AM134" s="1920"/>
      <c r="AN134" s="1920"/>
      <c r="AO134" s="1920"/>
      <c r="AP134" s="1920"/>
      <c r="AQ134" s="1920"/>
      <c r="AR134" s="1920"/>
      <c r="AS134" s="1920"/>
      <c r="AT134" s="1920"/>
      <c r="AU134" s="1920"/>
      <c r="AV134" s="1920"/>
      <c r="AW134" s="1920"/>
      <c r="AX134" s="1920"/>
      <c r="AY134" s="1920"/>
      <c r="AZ134" s="1920"/>
      <c r="BA134" s="1920"/>
      <c r="BB134" s="1920"/>
      <c r="BC134" s="1920"/>
      <c r="BD134" s="1920"/>
      <c r="BE134" s="1920"/>
      <c r="BF134" s="1920"/>
      <c r="BG134" s="1920"/>
      <c r="BH134" s="1920"/>
      <c r="BI134" s="1920"/>
      <c r="BJ134" s="1920"/>
      <c r="BK134" s="1920"/>
      <c r="BL134" s="1920"/>
      <c r="BM134" s="1920"/>
      <c r="BN134" s="1920"/>
      <c r="BO134" s="1920"/>
      <c r="BP134" s="1920"/>
      <c r="BQ134" s="1920"/>
      <c r="BR134" s="1920"/>
      <c r="BS134" s="1920"/>
      <c r="BT134" s="1920"/>
      <c r="BU134" s="1920"/>
      <c r="BV134" s="1920"/>
      <c r="BW134" s="1920"/>
      <c r="BX134" s="1920"/>
      <c r="BY134" s="1920"/>
      <c r="BZ134" s="1920"/>
      <c r="CA134" s="1920"/>
      <c r="CB134" s="1920"/>
      <c r="CC134" s="1920"/>
      <c r="CD134" s="1920"/>
      <c r="CE134" s="1920"/>
    </row>
    <row s="14520" customFormat="1" customHeight="1" ht="5.25" hidden="1">
      <c r="A135" s="2077"/>
      <c r="B135" s="1920"/>
      <c r="C135" s="1920"/>
      <c r="D135" s="2864"/>
      <c r="E135" s="1327"/>
      <c r="F135" s="1328"/>
      <c r="G135" s="1328"/>
      <c r="H135" s="1329"/>
      <c r="I135" s="1329"/>
      <c r="J135" s="1329"/>
      <c r="K135" s="1329"/>
      <c r="L135" s="1329"/>
      <c r="M135" s="1329"/>
      <c r="N135" s="1329"/>
      <c r="O135" s="1329"/>
      <c r="P135" s="1329"/>
      <c r="Q135" s="1329"/>
      <c r="R135" s="1230"/>
      <c r="S135" s="1330"/>
      <c r="T135" s="1002"/>
      <c r="U135" s="2658"/>
      <c r="V135" s="2658"/>
      <c r="W135" s="1920"/>
      <c r="X135" s="1920"/>
      <c r="Y135" s="1920"/>
      <c r="Z135" s="1920"/>
      <c r="AA135" s="1920"/>
      <c r="AB135" s="1920"/>
      <c r="AC135" s="1321"/>
      <c r="AD135" s="1322"/>
      <c r="AE135" s="1920"/>
      <c r="AF135" s="1920"/>
      <c r="AG135" s="1920"/>
      <c r="AH135" s="1920"/>
      <c r="AI135" s="1920"/>
      <c r="AJ135" s="1920"/>
      <c r="AK135" s="1920"/>
      <c r="AL135" s="1920"/>
      <c r="AM135" s="1920"/>
      <c r="AN135" s="1920"/>
      <c r="AO135" s="1920"/>
      <c r="AP135" s="1920"/>
      <c r="AQ135" s="1920"/>
      <c r="AR135" s="1920"/>
      <c r="AS135" s="1920"/>
      <c r="AT135" s="1920"/>
      <c r="AU135" s="1920"/>
      <c r="AV135" s="1920"/>
      <c r="AW135" s="1920"/>
      <c r="AX135" s="1920"/>
      <c r="AY135" s="1920"/>
      <c r="AZ135" s="1920"/>
      <c r="BA135" s="1920"/>
      <c r="BB135" s="1920"/>
      <c r="BC135" s="1920"/>
      <c r="BD135" s="1920"/>
      <c r="BE135" s="1920"/>
      <c r="BF135" s="1920"/>
      <c r="BG135" s="1920"/>
      <c r="BH135" s="1920"/>
      <c r="BI135" s="1920"/>
      <c r="BJ135" s="1920"/>
      <c r="BK135" s="1920"/>
      <c r="BL135" s="1920"/>
      <c r="BM135" s="1920"/>
      <c r="BN135" s="1920"/>
      <c r="BO135" s="1920"/>
      <c r="BP135" s="1920"/>
      <c r="BQ135" s="1920"/>
      <c r="BR135" s="1920"/>
      <c r="BS135" s="1920"/>
      <c r="BT135" s="1920"/>
      <c r="BU135" s="1920"/>
      <c r="BV135" s="1920"/>
      <c r="BW135" s="1920"/>
      <c r="BX135" s="1920"/>
      <c r="BY135" s="1920"/>
      <c r="BZ135" s="1920"/>
      <c r="CA135" s="1920"/>
      <c r="CB135" s="1920"/>
      <c r="CC135" s="1920"/>
      <c r="CD135" s="1920"/>
      <c r="CE135" s="1920"/>
    </row>
    <row customHeight="1" ht="17.25">
      <c r="D136" s="2120"/>
    </row>
    <row s="16332" customFormat="1" customHeight="1" ht="11.25">
      <c r="A137" s="2099" t="s">
        <v>1944</v>
      </c>
    </row>
    <row r="139" s="14218" customFormat="1" customHeight="1" ht="45">
      <c r="A139" s="2090"/>
      <c r="B139" s="1444"/>
      <c r="C139" s="696"/>
      <c r="D139" s="373"/>
      <c r="E139" s="2856"/>
      <c r="F139" s="2392" t="s">
        <v>110</v>
      </c>
      <c r="G139" s="2859" t="s">
        <v>28</v>
      </c>
      <c r="H139" s="573"/>
      <c r="I139" s="921" t="s">
        <v>110</v>
      </c>
      <c r="J139" s="2091" t="s">
        <v>1945</v>
      </c>
      <c r="K139" s="922" t="s">
        <v>554</v>
      </c>
      <c r="L139" s="2508" t="s">
        <v>554</v>
      </c>
      <c r="M139" s="2861"/>
      <c r="N139" s="922" t="s">
        <v>554</v>
      </c>
      <c r="O139" s="922" t="s">
        <v>554</v>
      </c>
      <c r="P139" s="922" t="s">
        <v>554</v>
      </c>
      <c r="Q139" s="923">
        <f>SUM(Q140:Q142)</f>
        <v>0</v>
      </c>
      <c r="R139" s="923">
        <f>IF(R136=0,0,(Q136/R136)*100)</f>
        <v>0</v>
      </c>
      <c r="S139" s="2463"/>
      <c r="T139" s="1001" t="s">
        <v>620</v>
      </c>
      <c r="U139" s="373"/>
      <c r="V139" s="373"/>
      <c r="AC139" s="373"/>
    </row>
    <row s="14218" customFormat="1" customHeight="1" ht="11.25">
      <c r="A140" s="2090"/>
      <c r="B140" s="1444"/>
      <c r="C140" s="696"/>
      <c r="D140" s="373"/>
      <c r="E140" s="2857"/>
      <c r="F140" s="2392"/>
      <c r="G140" s="2859"/>
      <c r="H140" s="2411"/>
      <c r="I140" s="2799" t="s">
        <v>1029</v>
      </c>
      <c r="J140" s="2853"/>
      <c r="K140" s="2854"/>
      <c r="L140" s="924"/>
      <c r="M140" s="925" t="s">
        <v>110</v>
      </c>
      <c r="N140" s="2079"/>
      <c r="O140" s="926"/>
      <c r="P140" s="927"/>
      <c r="Q140" s="926"/>
      <c r="R140" s="928">
        <v>0</v>
      </c>
      <c r="S140" s="2463"/>
      <c r="T140" s="1001"/>
      <c r="U140" s="373"/>
      <c r="V140" s="373"/>
      <c r="AC140" s="373"/>
    </row>
    <row s="14218" customFormat="1" customHeight="1" ht="11.25">
      <c r="A141" s="2090"/>
      <c r="B141" s="1444"/>
      <c r="C141" s="696"/>
      <c r="D141" s="373"/>
      <c r="E141" s="2857"/>
      <c r="F141" s="2392"/>
      <c r="G141" s="2859"/>
      <c r="H141" s="2411"/>
      <c r="I141" s="2799"/>
      <c r="J141" s="2853"/>
      <c r="K141" s="2855"/>
      <c r="L141" s="929"/>
      <c r="M141" s="930"/>
      <c r="N141" s="931" t="s">
        <v>1946</v>
      </c>
      <c r="O141" s="931"/>
      <c r="P141" s="931"/>
      <c r="Q141" s="931"/>
      <c r="R141" s="932"/>
      <c r="S141" s="2463"/>
      <c r="T141" s="1001"/>
      <c r="U141" s="373"/>
      <c r="V141" s="373"/>
      <c r="AC141" s="373"/>
    </row>
    <row s="14218" customFormat="1" customHeight="1" ht="11.25">
      <c r="A142" s="2090"/>
      <c r="B142" s="1444"/>
      <c r="C142" s="696"/>
      <c r="D142" s="373"/>
      <c r="E142" s="2858"/>
      <c r="F142" s="2392"/>
      <c r="G142" s="2860"/>
      <c r="H142" s="929" t="s">
        <v>28</v>
      </c>
      <c r="I142" s="930"/>
      <c r="J142" s="931" t="s">
        <v>1947</v>
      </c>
      <c r="K142" s="931"/>
      <c r="L142" s="931"/>
      <c r="M142" s="931"/>
      <c r="N142" s="931"/>
      <c r="O142" s="931"/>
      <c r="P142" s="931"/>
      <c r="Q142" s="931"/>
      <c r="R142" s="932"/>
      <c r="S142" s="2463"/>
      <c r="T142" s="1001"/>
      <c r="U142" s="373"/>
      <c r="V142" s="373"/>
      <c r="AC142" s="373"/>
    </row>
    <row r="147" s="14218" customFormat="1" customHeight="1" ht="11.25">
      <c r="A147" s="2090"/>
      <c r="B147" s="1444"/>
      <c r="C147" s="696"/>
      <c r="D147" s="373"/>
      <c r="E147" s="2114"/>
      <c r="F147" s="2114"/>
      <c r="G147" s="2114"/>
      <c r="H147" s="2411"/>
      <c r="I147" s="2799" t="s">
        <v>1029</v>
      </c>
      <c r="J147" s="2853"/>
      <c r="K147" s="2854"/>
      <c r="L147" s="924"/>
      <c r="M147" s="925" t="s">
        <v>110</v>
      </c>
      <c r="N147" s="2079"/>
      <c r="O147" s="926"/>
      <c r="P147" s="927"/>
      <c r="Q147" s="926"/>
      <c r="R147" s="928">
        <v>0</v>
      </c>
      <c r="S147" s="373"/>
      <c r="T147" s="1001"/>
      <c r="U147" s="373"/>
      <c r="V147" s="373"/>
      <c r="AC147" s="373"/>
    </row>
    <row s="14218" customFormat="1" customHeight="1" ht="11.25">
      <c r="A148" s="2090"/>
      <c r="B148" s="1444"/>
      <c r="C148" s="696"/>
      <c r="D148" s="373"/>
      <c r="E148" s="2114"/>
      <c r="F148" s="2114"/>
      <c r="G148" s="2114"/>
      <c r="H148" s="2411"/>
      <c r="I148" s="2799"/>
      <c r="J148" s="2853"/>
      <c r="K148" s="2855"/>
      <c r="L148" s="929"/>
      <c r="M148" s="930"/>
      <c r="N148" s="931" t="s">
        <v>1946</v>
      </c>
      <c r="O148" s="931"/>
      <c r="P148" s="931"/>
      <c r="Q148" s="931"/>
      <c r="R148" s="932"/>
      <c r="S148" s="373"/>
      <c r="T148" s="1001"/>
      <c r="U148" s="373"/>
      <c r="V148" s="373"/>
      <c r="AC148" s="373"/>
    </row>
    <row r="150" s="14218" customFormat="1" customHeight="1" ht="11.25">
      <c r="A150" s="2090"/>
      <c r="B150" s="1444"/>
      <c r="C150" s="696"/>
      <c r="D150" s="373"/>
      <c r="E150" s="2121"/>
      <c r="F150" s="2119"/>
      <c r="G150" s="2119"/>
      <c r="H150" s="2122"/>
      <c r="I150" s="2114"/>
      <c r="J150" s="2115"/>
      <c r="K150" s="2115"/>
      <c r="L150" s="924"/>
      <c r="M150" s="925" t="s">
        <v>110</v>
      </c>
      <c r="N150" s="2079"/>
      <c r="O150" s="926"/>
      <c r="P150" s="927"/>
      <c r="Q150" s="926"/>
      <c r="R150" s="928">
        <v>0</v>
      </c>
      <c r="S150" s="373"/>
      <c r="T150" s="1001"/>
      <c r="U150" s="373"/>
      <c r="V150" s="373"/>
      <c r="AC150" s="373"/>
    </row>
    <row r="152" s="16332" customFormat="1" customHeight="1" ht="17.25">
      <c r="A152" s="2099" t="s">
        <v>1948</v>
      </c>
    </row>
    <row customHeight="1" ht="17.25">
      <c r="G153" s="2123"/>
      <c r="H153" s="2123"/>
      <c r="I153" s="2123"/>
      <c r="M153" s="2119"/>
    </row>
    <row s="14284" customFormat="1" customHeight="1" ht="17.25">
      <c r="A154" s="2124"/>
      <c r="C154" s="2126"/>
      <c r="D154" s="2813"/>
      <c r="E154" s="2427"/>
      <c r="F154" s="2429"/>
      <c r="G154" s="2815"/>
      <c r="H154" s="2813"/>
      <c r="I154" s="2813">
        <v>1</v>
      </c>
      <c r="J154" s="2785"/>
      <c r="K154" s="2469" t="s">
        <v>67</v>
      </c>
      <c r="L154" s="2392"/>
      <c r="M154" s="2392" t="s">
        <v>110</v>
      </c>
      <c r="N154" s="2788" t="str">
        <f>IF(Z154="","",INDEX(TERRITORY_MR_LIST,MATCH(Z154,TERRITORY_LIST_ID,0)))</f>
        <v/>
      </c>
      <c r="O154" s="2469" t="s">
        <v>67</v>
      </c>
      <c r="P154" s="2392"/>
      <c r="Q154" s="2392" t="s">
        <v>110</v>
      </c>
      <c r="R154" s="2786" t="s">
        <v>28</v>
      </c>
      <c r="S154" s="2391" t="s">
        <v>67</v>
      </c>
      <c r="T154" s="2095"/>
      <c r="U154" s="2095" t="s">
        <v>110</v>
      </c>
      <c r="V154" s="2127" t="s">
        <v>28</v>
      </c>
      <c r="W154" s="2085"/>
      <c r="Y154" s="1551"/>
      <c r="Z154" s="1551"/>
      <c r="AA154" s="1551"/>
      <c r="AB154" s="1551"/>
      <c r="AC154" s="1551"/>
      <c r="AD154" s="1551"/>
      <c r="AE154" s="1551"/>
      <c r="AF154" s="1551"/>
      <c r="AG154" s="1551"/>
      <c r="AH154" s="1551"/>
      <c r="AI154" s="1551"/>
      <c r="AJ154" s="1551"/>
      <c r="AK154" s="1551"/>
      <c r="AL154" s="2128"/>
      <c r="AM154" s="2128"/>
      <c r="AN154" s="1551"/>
      <c r="AO154" s="1551"/>
      <c r="AP154" s="1551"/>
      <c r="AQ154" s="1551"/>
    </row>
    <row s="14284" customFormat="1" customHeight="1" ht="17.25">
      <c r="A155" s="2124"/>
      <c r="C155" s="2129"/>
      <c r="D155" s="2813"/>
      <c r="E155" s="2427"/>
      <c r="F155" s="2430"/>
      <c r="G155" s="2815"/>
      <c r="H155" s="2813"/>
      <c r="I155" s="2813"/>
      <c r="J155" s="2785"/>
      <c r="K155" s="2470"/>
      <c r="L155" s="2392"/>
      <c r="M155" s="2392"/>
      <c r="N155" s="2788"/>
      <c r="O155" s="2470"/>
      <c r="P155" s="2392"/>
      <c r="Q155" s="2392"/>
      <c r="R155" s="2786"/>
      <c r="S155" s="2391"/>
      <c r="T155" s="601"/>
      <c r="U155" s="602"/>
      <c r="V155" s="602" t="s">
        <v>169</v>
      </c>
      <c r="W155" s="603"/>
      <c r="Y155" s="1543"/>
      <c r="Z155" s="1543"/>
      <c r="AA155" s="1543"/>
      <c r="AB155" s="1543"/>
      <c r="AC155" s="1543"/>
      <c r="AD155" s="1543"/>
      <c r="AE155" s="1543"/>
      <c r="AF155" s="1543"/>
      <c r="AG155" s="1543"/>
      <c r="AH155" s="1543"/>
      <c r="AI155" s="1543"/>
      <c r="AJ155" s="1543"/>
      <c r="AK155" s="1543"/>
    </row>
    <row s="14284" customFormat="1" customHeight="1" ht="17.25">
      <c r="A156" s="2124"/>
      <c r="C156" s="2129"/>
      <c r="D156" s="2787"/>
      <c r="E156" s="2814"/>
      <c r="F156" s="2430"/>
      <c r="G156" s="2816"/>
      <c r="H156" s="2787"/>
      <c r="I156" s="2787"/>
      <c r="J156" s="2817"/>
      <c r="K156" s="2470"/>
      <c r="L156" s="2787"/>
      <c r="M156" s="2787"/>
      <c r="N156" s="2789"/>
      <c r="O156" s="2396"/>
      <c r="P156" s="601"/>
      <c r="Q156" s="602"/>
      <c r="R156" s="602" t="s">
        <v>170</v>
      </c>
      <c r="S156" s="2130"/>
      <c r="T156" s="2130"/>
      <c r="U156" s="2130"/>
      <c r="V156" s="2130"/>
      <c r="W156" s="603"/>
      <c r="Y156" s="1543"/>
      <c r="Z156" s="1543"/>
      <c r="AA156" s="1543"/>
      <c r="AB156" s="1543"/>
      <c r="AC156" s="1543"/>
      <c r="AD156" s="1543"/>
      <c r="AE156" s="1543"/>
      <c r="AF156" s="1543"/>
      <c r="AG156" s="1543"/>
      <c r="AH156" s="1543"/>
      <c r="AI156" s="1543"/>
      <c r="AJ156" s="1543"/>
      <c r="AK156" s="1543"/>
    </row>
    <row s="14284" customFormat="1" customHeight="1" ht="17.25">
      <c r="A157" s="2124"/>
      <c r="C157" s="2129"/>
      <c r="D157" s="2787"/>
      <c r="E157" s="2814"/>
      <c r="F157" s="2430"/>
      <c r="G157" s="2816"/>
      <c r="H157" s="2787"/>
      <c r="I157" s="2787"/>
      <c r="J157" s="2817"/>
      <c r="K157" s="2396"/>
      <c r="L157" s="601"/>
      <c r="M157" s="602"/>
      <c r="N157" s="602" t="s">
        <v>171</v>
      </c>
      <c r="O157" s="602"/>
      <c r="P157" s="602"/>
      <c r="Q157" s="602"/>
      <c r="R157" s="602"/>
      <c r="S157" s="2130"/>
      <c r="T157" s="2130"/>
      <c r="U157" s="2130"/>
      <c r="V157" s="2130"/>
      <c r="W157" s="603"/>
      <c r="Y157" s="1543"/>
      <c r="Z157" s="1543"/>
      <c r="AA157" s="1543"/>
      <c r="AB157" s="1543"/>
      <c r="AC157" s="1543"/>
      <c r="AD157" s="1543"/>
      <c r="AE157" s="1543"/>
      <c r="AF157" s="1543"/>
      <c r="AG157" s="1543"/>
      <c r="AH157" s="1543"/>
      <c r="AI157" s="1543"/>
      <c r="AJ157" s="1543"/>
      <c r="AK157" s="1543"/>
    </row>
    <row s="14284" customFormat="1" customHeight="1" ht="17.25">
      <c r="A158" s="2124"/>
      <c r="C158" s="2129"/>
      <c r="D158" s="2787"/>
      <c r="E158" s="2814"/>
      <c r="F158" s="2431"/>
      <c r="G158" s="2816"/>
      <c r="H158" s="601"/>
      <c r="I158" s="602"/>
      <c r="J158" s="602" t="s">
        <v>172</v>
      </c>
      <c r="K158" s="602"/>
      <c r="L158" s="602"/>
      <c r="M158" s="602"/>
      <c r="N158" s="602"/>
      <c r="O158" s="602"/>
      <c r="P158" s="602"/>
      <c r="Q158" s="602"/>
      <c r="R158" s="602"/>
      <c r="S158" s="2130"/>
      <c r="T158" s="2130"/>
      <c r="U158" s="2130"/>
      <c r="V158" s="2130"/>
      <c r="W158" s="603"/>
      <c r="Y158" s="1543"/>
      <c r="Z158" s="1543"/>
      <c r="AA158" s="1543"/>
      <c r="AB158" s="1543"/>
      <c r="AC158" s="1543"/>
      <c r="AD158" s="1543"/>
      <c r="AE158" s="1543"/>
      <c r="AF158" s="1543"/>
      <c r="AG158" s="1543"/>
      <c r="AH158" s="1543"/>
      <c r="AI158" s="1543"/>
      <c r="AJ158" s="1543"/>
      <c r="AK158" s="1543"/>
    </row>
    <row customHeight="1" ht="17.25">
      <c r="G159" s="2123"/>
      <c r="H159" s="2123"/>
      <c r="I159" s="2123"/>
      <c r="M159" s="2119"/>
    </row>
    <row s="14284" customFormat="1" customHeight="1" ht="17.25">
      <c r="A160" s="2124"/>
      <c r="C160" s="2126"/>
      <c r="D160" s="2114"/>
      <c r="E160" s="2131"/>
      <c r="F160" s="2068"/>
      <c r="G160" s="2132"/>
      <c r="H160" s="2813"/>
      <c r="I160" s="2813">
        <v>1</v>
      </c>
      <c r="J160" s="2785"/>
      <c r="K160" s="2469" t="s">
        <v>67</v>
      </c>
      <c r="L160" s="2392"/>
      <c r="M160" s="2392" t="s">
        <v>110</v>
      </c>
      <c r="N160" s="2788" t="str">
        <f>IF(Z160="","",INDEX(TERRITORY_MR_LIST,MATCH(Z160,TERRITORY_LIST_ID,0)))</f>
        <v/>
      </c>
      <c r="O160" s="2469" t="s">
        <v>67</v>
      </c>
      <c r="P160" s="2392"/>
      <c r="Q160" s="2392" t="s">
        <v>110</v>
      </c>
      <c r="R160" s="2786" t="s">
        <v>28</v>
      </c>
      <c r="S160" s="2391" t="s">
        <v>67</v>
      </c>
      <c r="T160" s="2095"/>
      <c r="U160" s="2095" t="s">
        <v>110</v>
      </c>
      <c r="V160" s="2127" t="s">
        <v>28</v>
      </c>
      <c r="W160" s="2085"/>
      <c r="Y160" s="1551"/>
      <c r="Z160" s="1551"/>
      <c r="AA160" s="1551"/>
      <c r="AB160" s="1551"/>
      <c r="AC160" s="1551"/>
      <c r="AD160" s="1551"/>
      <c r="AE160" s="1551"/>
      <c r="AF160" s="1551"/>
      <c r="AG160" s="1551"/>
      <c r="AH160" s="1551"/>
      <c r="AI160" s="1551"/>
      <c r="AJ160" s="1551"/>
      <c r="AK160" s="1551"/>
      <c r="AL160" s="2128"/>
      <c r="AM160" s="2128"/>
      <c r="AN160" s="1551"/>
      <c r="AO160" s="1551"/>
      <c r="AP160" s="1551"/>
      <c r="AQ160" s="1551"/>
    </row>
    <row s="14284" customFormat="1" customHeight="1" ht="17.25">
      <c r="A161" s="2124"/>
      <c r="C161" s="2129"/>
      <c r="D161" s="2114"/>
      <c r="E161" s="2131"/>
      <c r="F161" s="2068"/>
      <c r="G161" s="2132"/>
      <c r="H161" s="2813"/>
      <c r="I161" s="2813"/>
      <c r="J161" s="2785"/>
      <c r="K161" s="2470"/>
      <c r="L161" s="2392"/>
      <c r="M161" s="2392"/>
      <c r="N161" s="2788"/>
      <c r="O161" s="2470"/>
      <c r="P161" s="2392"/>
      <c r="Q161" s="2392"/>
      <c r="R161" s="2786"/>
      <c r="S161" s="2391"/>
      <c r="T161" s="601"/>
      <c r="U161" s="602"/>
      <c r="V161" s="602" t="s">
        <v>169</v>
      </c>
      <c r="W161" s="603"/>
      <c r="Y161" s="1543"/>
      <c r="Z161" s="1543"/>
      <c r="AA161" s="1543"/>
      <c r="AB161" s="1543"/>
      <c r="AC161" s="1543"/>
      <c r="AD161" s="1543"/>
      <c r="AE161" s="1543"/>
      <c r="AF161" s="1543"/>
      <c r="AG161" s="1543"/>
      <c r="AH161" s="1543"/>
      <c r="AI161" s="1543"/>
      <c r="AJ161" s="1543"/>
      <c r="AK161" s="1543"/>
    </row>
    <row s="14284" customFormat="1" customHeight="1" ht="17.25">
      <c r="A162" s="2124"/>
      <c r="C162" s="2129"/>
      <c r="D162" s="2114"/>
      <c r="E162" s="2131"/>
      <c r="F162" s="2068"/>
      <c r="G162" s="2132"/>
      <c r="H162" s="2787"/>
      <c r="I162" s="2787"/>
      <c r="J162" s="2817"/>
      <c r="K162" s="2470"/>
      <c r="L162" s="2787"/>
      <c r="M162" s="2787"/>
      <c r="N162" s="2789"/>
      <c r="O162" s="2396"/>
      <c r="P162" s="601"/>
      <c r="Q162" s="602"/>
      <c r="R162" s="602" t="s">
        <v>170</v>
      </c>
      <c r="S162" s="2130"/>
      <c r="T162" s="2130"/>
      <c r="U162" s="2130"/>
      <c r="V162" s="2130"/>
      <c r="W162" s="603"/>
      <c r="Y162" s="1543"/>
      <c r="Z162" s="1543"/>
      <c r="AA162" s="1543"/>
      <c r="AB162" s="1543"/>
      <c r="AC162" s="1543"/>
      <c r="AD162" s="1543"/>
      <c r="AE162" s="1543"/>
      <c r="AF162" s="1543"/>
      <c r="AG162" s="1543"/>
      <c r="AH162" s="1543"/>
      <c r="AI162" s="1543"/>
      <c r="AJ162" s="1543"/>
      <c r="AK162" s="1543"/>
    </row>
    <row s="14284" customFormat="1" customHeight="1" ht="17.25">
      <c r="A163" s="2124"/>
      <c r="C163" s="2129"/>
      <c r="D163" s="2114"/>
      <c r="E163" s="2131"/>
      <c r="F163" s="2068"/>
      <c r="G163" s="2132"/>
      <c r="H163" s="2787"/>
      <c r="I163" s="2787"/>
      <c r="J163" s="2817"/>
      <c r="K163" s="2396"/>
      <c r="L163" s="601"/>
      <c r="M163" s="602"/>
      <c r="N163" s="602" t="s">
        <v>171</v>
      </c>
      <c r="O163" s="602"/>
      <c r="P163" s="602"/>
      <c r="Q163" s="602"/>
      <c r="R163" s="602"/>
      <c r="S163" s="2130"/>
      <c r="T163" s="2130"/>
      <c r="U163" s="2130"/>
      <c r="V163" s="2130"/>
      <c r="W163" s="603"/>
      <c r="Y163" s="1543"/>
      <c r="Z163" s="1543"/>
      <c r="AA163" s="1543"/>
      <c r="AB163" s="1543"/>
      <c r="AC163" s="1543"/>
      <c r="AD163" s="1543"/>
      <c r="AE163" s="1543"/>
      <c r="AF163" s="1543"/>
      <c r="AG163" s="1543"/>
      <c r="AH163" s="1543"/>
      <c r="AI163" s="1543"/>
      <c r="AJ163" s="1543"/>
      <c r="AK163" s="1543"/>
    </row>
    <row customHeight="1" ht="17.25">
      <c r="G164" s="2123"/>
      <c r="H164" s="2123"/>
      <c r="I164" s="2123"/>
      <c r="M164" s="2119"/>
    </row>
    <row s="14284" customFormat="1" customHeight="1" ht="17.25">
      <c r="A165" s="2124"/>
      <c r="C165" s="2126"/>
      <c r="D165" s="2114"/>
      <c r="E165" s="2131"/>
      <c r="F165" s="2068"/>
      <c r="G165" s="2132"/>
      <c r="H165" s="2114"/>
      <c r="I165" s="2114"/>
      <c r="J165" s="2133"/>
      <c r="K165" s="2044"/>
      <c r="L165" s="2392"/>
      <c r="M165" s="2392" t="s">
        <v>110</v>
      </c>
      <c r="N165" s="2788" t="str">
        <f>IF(Z165="","",INDEX(TERRITORY_MR_LIST,MATCH(Z165,TERRITORY_LIST_ID,0)))</f>
        <v/>
      </c>
      <c r="O165" s="2469" t="s">
        <v>67</v>
      </c>
      <c r="P165" s="2392"/>
      <c r="Q165" s="2392" t="s">
        <v>110</v>
      </c>
      <c r="R165" s="2786" t="s">
        <v>28</v>
      </c>
      <c r="S165" s="2391" t="s">
        <v>67</v>
      </c>
      <c r="T165" s="2095"/>
      <c r="U165" s="2095" t="s">
        <v>110</v>
      </c>
      <c r="V165" s="2127" t="s">
        <v>28</v>
      </c>
      <c r="W165" s="2085"/>
      <c r="Y165" s="1551"/>
      <c r="Z165" s="1551"/>
      <c r="AA165" s="1551"/>
      <c r="AB165" s="1551"/>
      <c r="AC165" s="1551"/>
      <c r="AD165" s="1551"/>
      <c r="AE165" s="1551"/>
      <c r="AF165" s="1551"/>
      <c r="AG165" s="1551"/>
      <c r="AH165" s="1551"/>
      <c r="AI165" s="1551"/>
      <c r="AJ165" s="1551"/>
      <c r="AK165" s="1551"/>
      <c r="AL165" s="2128"/>
      <c r="AM165" s="2128"/>
      <c r="AN165" s="1551"/>
      <c r="AO165" s="1551"/>
      <c r="AP165" s="1551"/>
      <c r="AQ165" s="1551"/>
    </row>
    <row s="14284" customFormat="1" customHeight="1" ht="17.25">
      <c r="A166" s="2124"/>
      <c r="C166" s="2129"/>
      <c r="D166" s="2114"/>
      <c r="E166" s="2131"/>
      <c r="F166" s="2068"/>
      <c r="G166" s="2132"/>
      <c r="H166" s="2114"/>
      <c r="I166" s="2114"/>
      <c r="J166" s="2133"/>
      <c r="K166" s="2044"/>
      <c r="L166" s="2392"/>
      <c r="M166" s="2392"/>
      <c r="N166" s="2788"/>
      <c r="O166" s="2470"/>
      <c r="P166" s="2392"/>
      <c r="Q166" s="2392"/>
      <c r="R166" s="2786"/>
      <c r="S166" s="2391"/>
      <c r="T166" s="601"/>
      <c r="U166" s="602"/>
      <c r="V166" s="602" t="s">
        <v>169</v>
      </c>
      <c r="W166" s="603"/>
      <c r="Y166" s="1543"/>
      <c r="Z166" s="1543"/>
      <c r="AA166" s="1543"/>
      <c r="AB166" s="1543"/>
      <c r="AC166" s="1543"/>
      <c r="AD166" s="1543"/>
      <c r="AE166" s="1543"/>
      <c r="AF166" s="1543"/>
      <c r="AG166" s="1543"/>
      <c r="AH166" s="1543"/>
      <c r="AI166" s="1543"/>
      <c r="AJ166" s="1543"/>
      <c r="AK166" s="1543"/>
    </row>
    <row s="14284" customFormat="1" customHeight="1" ht="17.25">
      <c r="A167" s="2124"/>
      <c r="C167" s="2129"/>
      <c r="D167" s="2114"/>
      <c r="E167" s="2131"/>
      <c r="F167" s="2068"/>
      <c r="G167" s="2132"/>
      <c r="H167" s="2114"/>
      <c r="I167" s="2114"/>
      <c r="J167" s="2133"/>
      <c r="K167" s="2044"/>
      <c r="L167" s="2787"/>
      <c r="M167" s="2787"/>
      <c r="N167" s="2789"/>
      <c r="O167" s="2396"/>
      <c r="P167" s="601"/>
      <c r="Q167" s="602"/>
      <c r="R167" s="602" t="s">
        <v>170</v>
      </c>
      <c r="S167" s="2130"/>
      <c r="T167" s="2130"/>
      <c r="U167" s="2130"/>
      <c r="V167" s="2130"/>
      <c r="W167" s="603"/>
      <c r="Y167" s="1543"/>
      <c r="Z167" s="1543"/>
      <c r="AA167" s="1543"/>
      <c r="AB167" s="1543"/>
      <c r="AC167" s="1543"/>
      <c r="AD167" s="1543"/>
      <c r="AE167" s="1543"/>
      <c r="AF167" s="1543"/>
      <c r="AG167" s="1543"/>
      <c r="AH167" s="1543"/>
      <c r="AI167" s="1543"/>
      <c r="AJ167" s="1543"/>
      <c r="AK167" s="1543"/>
    </row>
    <row customHeight="1" ht="17.25">
      <c r="G168" s="2123"/>
      <c r="H168" s="2123"/>
      <c r="I168" s="2123"/>
      <c r="M168" s="2119"/>
    </row>
    <row s="14284" customFormat="1" customHeight="1" ht="17.25">
      <c r="A169" s="2124"/>
      <c r="C169" s="2126"/>
      <c r="D169" s="2114"/>
      <c r="E169" s="2131"/>
      <c r="F169" s="2068"/>
      <c r="G169" s="2132"/>
      <c r="H169" s="2114"/>
      <c r="I169" s="2114"/>
      <c r="J169" s="2133"/>
      <c r="K169" s="2044"/>
      <c r="L169" s="2040"/>
      <c r="M169" s="2040"/>
      <c r="N169" s="2332"/>
      <c r="O169" s="2071"/>
      <c r="P169" s="2392"/>
      <c r="Q169" s="2392" t="s">
        <v>110</v>
      </c>
      <c r="R169" s="2786" t="s">
        <v>28</v>
      </c>
      <c r="S169" s="2391" t="s">
        <v>67</v>
      </c>
      <c r="T169" s="2095"/>
      <c r="U169" s="2095" t="s">
        <v>110</v>
      </c>
      <c r="V169" s="2127" t="s">
        <v>28</v>
      </c>
      <c r="W169" s="2085"/>
      <c r="Y169" s="1551"/>
      <c r="Z169" s="1551"/>
      <c r="AA169" s="1551"/>
      <c r="AB169" s="1551"/>
      <c r="AC169" s="1551"/>
      <c r="AD169" s="1551"/>
      <c r="AE169" s="1551"/>
      <c r="AF169" s="1551"/>
      <c r="AG169" s="1551"/>
      <c r="AH169" s="1551"/>
      <c r="AI169" s="1551"/>
      <c r="AJ169" s="1551"/>
      <c r="AK169" s="1551"/>
      <c r="AL169" s="2128"/>
      <c r="AM169" s="2128"/>
      <c r="AN169" s="1551"/>
      <c r="AO169" s="1551"/>
      <c r="AP169" s="1551"/>
      <c r="AQ169" s="1551"/>
    </row>
    <row s="14284" customFormat="1" customHeight="1" ht="17.25">
      <c r="A170" s="2124"/>
      <c r="C170" s="2129"/>
      <c r="D170" s="2114"/>
      <c r="E170" s="2131"/>
      <c r="F170" s="2068"/>
      <c r="G170" s="2132"/>
      <c r="H170" s="2114"/>
      <c r="I170" s="2114"/>
      <c r="J170" s="2133"/>
      <c r="K170" s="2044"/>
      <c r="L170" s="2040"/>
      <c r="M170" s="2040"/>
      <c r="N170" s="2332"/>
      <c r="O170" s="2071"/>
      <c r="P170" s="2392"/>
      <c r="Q170" s="2392"/>
      <c r="R170" s="2786"/>
      <c r="S170" s="2391"/>
      <c r="T170" s="601"/>
      <c r="U170" s="602"/>
      <c r="V170" s="602" t="s">
        <v>169</v>
      </c>
      <c r="W170" s="603"/>
      <c r="Y170" s="1543"/>
      <c r="Z170" s="1543"/>
      <c r="AA170" s="1543"/>
      <c r="AB170" s="1543"/>
      <c r="AC170" s="1543"/>
      <c r="AD170" s="1543"/>
      <c r="AE170" s="1543"/>
      <c r="AF170" s="1543"/>
      <c r="AG170" s="1543"/>
      <c r="AH170" s="1543"/>
      <c r="AI170" s="1543"/>
      <c r="AJ170" s="1543"/>
      <c r="AK170" s="1543"/>
    </row>
    <row customHeight="1" ht="17.25">
      <c r="G171" s="2123"/>
      <c r="H171" s="2123"/>
      <c r="I171" s="2123"/>
      <c r="M171" s="2119"/>
    </row>
    <row s="14284" customFormat="1" customHeight="1" ht="17.25">
      <c r="A172" s="2124"/>
      <c r="C172" s="2126"/>
      <c r="D172" s="2114"/>
      <c r="E172" s="2131"/>
      <c r="F172" s="2068"/>
      <c r="G172" s="2132"/>
      <c r="H172" s="2040"/>
      <c r="I172" s="2040"/>
      <c r="J172" s="2041"/>
      <c r="K172" s="2132"/>
      <c r="L172" s="2040"/>
      <c r="M172" s="2040"/>
      <c r="N172" s="2132"/>
      <c r="O172" s="2132"/>
      <c r="P172" s="2040"/>
      <c r="Q172" s="2040"/>
      <c r="R172" s="2042"/>
      <c r="S172" s="2132"/>
      <c r="T172" s="2095"/>
      <c r="U172" s="2095" t="s">
        <v>110</v>
      </c>
      <c r="V172" s="2127" t="s">
        <v>28</v>
      </c>
      <c r="W172" s="2085"/>
      <c r="Y172" s="1551"/>
      <c r="Z172" s="1551"/>
      <c r="AA172" s="1551"/>
      <c r="AB172" s="1551"/>
      <c r="AC172" s="1551"/>
      <c r="AD172" s="1551"/>
      <c r="AE172" s="1551"/>
      <c r="AF172" s="1551"/>
      <c r="AG172" s="1551"/>
      <c r="AH172" s="1551"/>
      <c r="AI172" s="1551"/>
      <c r="AJ172" s="1551"/>
      <c r="AK172" s="1551"/>
      <c r="AL172" s="2128"/>
      <c r="AM172" s="2128"/>
      <c r="AN172" s="1551"/>
      <c r="AO172" s="1551"/>
      <c r="AP172" s="1551"/>
      <c r="AQ172" s="1551"/>
    </row>
    <row r="174" s="16332" customFormat="1" customHeight="1" ht="17.25">
      <c r="A174" s="2099" t="s">
        <v>1949</v>
      </c>
    </row>
    <row customHeight="1" ht="17.25">
      <c r="G175" s="2123"/>
      <c r="H175" s="2123"/>
      <c r="I175" s="2123"/>
      <c r="M175" s="2119"/>
    </row>
    <row s="14284" customFormat="1" customHeight="1" ht="17.25">
      <c r="A176" s="2124"/>
      <c r="C176" s="2126"/>
      <c r="D176" s="2813"/>
      <c r="E176" s="2427"/>
      <c r="F176" s="2429"/>
      <c r="G176" s="2815"/>
      <c r="H176" s="2813"/>
      <c r="I176" s="2813">
        <v>1</v>
      </c>
      <c r="J176" s="2785"/>
      <c r="K176" s="2469" t="s">
        <v>67</v>
      </c>
      <c r="L176" s="2392"/>
      <c r="M176" s="2392" t="s">
        <v>110</v>
      </c>
      <c r="N176" s="2788" t="str">
        <f>IF(Z176="","",INDEX(TERRITORY_MR_LIST,MATCH(Z176,TERRITORY_LIST_ID,0)))</f>
        <v/>
      </c>
      <c r="O176" s="2469" t="s">
        <v>67</v>
      </c>
      <c r="P176" s="2392"/>
      <c r="Q176" s="2392" t="s">
        <v>110</v>
      </c>
      <c r="R176" s="2786" t="s">
        <v>28</v>
      </c>
      <c r="S176" s="2690" t="s">
        <v>19</v>
      </c>
      <c r="T176" s="2086"/>
      <c r="U176" s="2086" t="s">
        <v>110</v>
      </c>
      <c r="V176" s="1718"/>
      <c r="W176" s="2785"/>
      <c r="Y176" s="1551"/>
      <c r="Z176" s="1551"/>
      <c r="AA176" s="1551"/>
      <c r="AB176" s="1551"/>
      <c r="AC176" s="1551"/>
      <c r="AD176" s="1551"/>
      <c r="AE176" s="1551"/>
      <c r="AF176" s="1551"/>
      <c r="AG176" s="1551"/>
      <c r="AH176" s="1551"/>
      <c r="AI176" s="1551"/>
      <c r="AJ176" s="1551"/>
      <c r="AK176" s="1551"/>
      <c r="AL176" s="2128"/>
      <c r="AM176" s="2128"/>
      <c r="AN176" s="1551"/>
      <c r="AO176" s="1551"/>
      <c r="AP176" s="1551"/>
      <c r="AQ176" s="1551"/>
    </row>
    <row s="14284" customFormat="1" customHeight="1" ht="17.25">
      <c r="A177" s="2124"/>
      <c r="C177" s="2129"/>
      <c r="D177" s="2813"/>
      <c r="E177" s="2427"/>
      <c r="F177" s="2430"/>
      <c r="G177" s="2815"/>
      <c r="H177" s="2813"/>
      <c r="I177" s="2813"/>
      <c r="J177" s="2785"/>
      <c r="K177" s="2470"/>
      <c r="L177" s="2392"/>
      <c r="M177" s="2392"/>
      <c r="N177" s="2788"/>
      <c r="O177" s="2470"/>
      <c r="P177" s="2392"/>
      <c r="Q177" s="2392"/>
      <c r="R177" s="2786"/>
      <c r="S177" s="2690"/>
      <c r="T177" s="1719"/>
      <c r="U177" s="1720"/>
      <c r="V177" s="1720"/>
      <c r="W177" s="2785"/>
      <c r="Y177" s="1543"/>
      <c r="Z177" s="1543"/>
      <c r="AA177" s="1543"/>
      <c r="AB177" s="1543"/>
      <c r="AC177" s="1543"/>
      <c r="AD177" s="1543"/>
      <c r="AE177" s="1543"/>
      <c r="AF177" s="1543"/>
      <c r="AG177" s="1543"/>
      <c r="AH177" s="1543"/>
      <c r="AI177" s="1543"/>
      <c r="AJ177" s="1543"/>
      <c r="AK177" s="1543"/>
    </row>
    <row s="14284" customFormat="1" customHeight="1" ht="17.25">
      <c r="A178" s="2124"/>
      <c r="C178" s="2129"/>
      <c r="D178" s="2787"/>
      <c r="E178" s="2814"/>
      <c r="F178" s="2430"/>
      <c r="G178" s="2816"/>
      <c r="H178" s="2787"/>
      <c r="I178" s="2787"/>
      <c r="J178" s="2817"/>
      <c r="K178" s="2470"/>
      <c r="L178" s="2787"/>
      <c r="M178" s="2787"/>
      <c r="N178" s="2789"/>
      <c r="O178" s="2396"/>
      <c r="P178" s="601"/>
      <c r="Q178" s="602"/>
      <c r="R178" s="602" t="s">
        <v>170</v>
      </c>
      <c r="S178" s="2130"/>
      <c r="T178" s="2130"/>
      <c r="U178" s="2130"/>
      <c r="V178" s="2130"/>
      <c r="W178" s="1717"/>
      <c r="Y178" s="1543"/>
      <c r="Z178" s="1543"/>
      <c r="AA178" s="1543"/>
      <c r="AB178" s="1543"/>
      <c r="AC178" s="1543"/>
      <c r="AD178" s="1543"/>
      <c r="AE178" s="1543"/>
      <c r="AF178" s="1543"/>
      <c r="AG178" s="1543"/>
      <c r="AH178" s="1543"/>
      <c r="AI178" s="1543"/>
      <c r="AJ178" s="1543"/>
      <c r="AK178" s="1543"/>
    </row>
    <row s="14284" customFormat="1" customHeight="1" ht="17.25">
      <c r="A179" s="2124"/>
      <c r="C179" s="2129"/>
      <c r="D179" s="2787"/>
      <c r="E179" s="2814"/>
      <c r="F179" s="2430"/>
      <c r="G179" s="2816"/>
      <c r="H179" s="2787"/>
      <c r="I179" s="2787"/>
      <c r="J179" s="2817"/>
      <c r="K179" s="2396"/>
      <c r="L179" s="601"/>
      <c r="M179" s="602"/>
      <c r="N179" s="602" t="s">
        <v>171</v>
      </c>
      <c r="O179" s="602"/>
      <c r="P179" s="602"/>
      <c r="Q179" s="602"/>
      <c r="R179" s="602"/>
      <c r="S179" s="2130"/>
      <c r="T179" s="2130"/>
      <c r="U179" s="2130"/>
      <c r="V179" s="2130"/>
      <c r="W179" s="603"/>
      <c r="Y179" s="1543"/>
      <c r="Z179" s="1543"/>
      <c r="AA179" s="1543"/>
      <c r="AB179" s="1543"/>
      <c r="AC179" s="1543"/>
      <c r="AD179" s="1543"/>
      <c r="AE179" s="1543"/>
      <c r="AF179" s="1543"/>
      <c r="AG179" s="1543"/>
      <c r="AH179" s="1543"/>
      <c r="AI179" s="1543"/>
      <c r="AJ179" s="1543"/>
      <c r="AK179" s="1543"/>
    </row>
    <row s="14284" customFormat="1" customHeight="1" ht="17.25">
      <c r="A180" s="2124"/>
      <c r="C180" s="2129"/>
      <c r="D180" s="2787"/>
      <c r="E180" s="2814"/>
      <c r="F180" s="2431"/>
      <c r="G180" s="2816"/>
      <c r="H180" s="601"/>
      <c r="I180" s="602"/>
      <c r="J180" s="602" t="s">
        <v>172</v>
      </c>
      <c r="K180" s="602"/>
      <c r="L180" s="602"/>
      <c r="M180" s="602"/>
      <c r="N180" s="602"/>
      <c r="O180" s="602"/>
      <c r="P180" s="602"/>
      <c r="Q180" s="602"/>
      <c r="R180" s="602"/>
      <c r="S180" s="2130"/>
      <c r="T180" s="2130"/>
      <c r="U180" s="2130"/>
      <c r="V180" s="2130"/>
      <c r="W180" s="603"/>
      <c r="Y180" s="1543"/>
      <c r="Z180" s="1543"/>
      <c r="AA180" s="1543"/>
      <c r="AB180" s="1543"/>
      <c r="AC180" s="1543"/>
      <c r="AD180" s="1543"/>
      <c r="AE180" s="1543"/>
      <c r="AF180" s="1543"/>
      <c r="AG180" s="1543"/>
      <c r="AH180" s="1543"/>
      <c r="AI180" s="1543"/>
      <c r="AJ180" s="1543"/>
      <c r="AK180" s="1543"/>
    </row>
    <row customHeight="1" ht="17.25">
      <c r="A181" s="2134"/>
    </row>
    <row s="14284" customFormat="1" customHeight="1" ht="17.25">
      <c r="A182" s="2124"/>
      <c r="C182" s="2126"/>
      <c r="D182" s="2114"/>
      <c r="E182" s="2131"/>
      <c r="F182" s="2068"/>
      <c r="G182" s="2132"/>
      <c r="H182" s="2813"/>
      <c r="I182" s="2813">
        <v>1</v>
      </c>
      <c r="J182" s="2785"/>
      <c r="K182" s="2469" t="s">
        <v>67</v>
      </c>
      <c r="L182" s="2392"/>
      <c r="M182" s="2392" t="s">
        <v>110</v>
      </c>
      <c r="N182" s="2788" t="str">
        <f>IF(Z182="","",INDEX(TERRITORY_MR_LIST,MATCH(Z182,TERRITORY_LIST_ID,0)))</f>
        <v/>
      </c>
      <c r="O182" s="2469" t="s">
        <v>67</v>
      </c>
      <c r="P182" s="2392"/>
      <c r="Q182" s="2392" t="s">
        <v>110</v>
      </c>
      <c r="R182" s="2786" t="s">
        <v>28</v>
      </c>
      <c r="S182" s="2690" t="s">
        <v>19</v>
      </c>
      <c r="T182" s="2086"/>
      <c r="U182" s="2086" t="s">
        <v>110</v>
      </c>
      <c r="V182" s="1718"/>
      <c r="W182" s="2785"/>
      <c r="Y182" s="1551"/>
      <c r="Z182" s="1551"/>
      <c r="AA182" s="1551"/>
      <c r="AB182" s="1551"/>
      <c r="AC182" s="1551"/>
      <c r="AD182" s="1551"/>
      <c r="AE182" s="1551"/>
      <c r="AF182" s="1551"/>
      <c r="AG182" s="1551"/>
      <c r="AH182" s="1551"/>
      <c r="AI182" s="1551"/>
      <c r="AJ182" s="1551"/>
      <c r="AK182" s="1551"/>
      <c r="AL182" s="2128"/>
      <c r="AM182" s="2128"/>
      <c r="AN182" s="1551"/>
      <c r="AO182" s="1551"/>
      <c r="AP182" s="1551"/>
      <c r="AQ182" s="1551"/>
    </row>
    <row s="14284" customFormat="1" customHeight="1" ht="17.25">
      <c r="A183" s="2124"/>
      <c r="C183" s="2129"/>
      <c r="D183" s="2114"/>
      <c r="E183" s="2131"/>
      <c r="F183" s="2068"/>
      <c r="G183" s="2132"/>
      <c r="H183" s="2813"/>
      <c r="I183" s="2813"/>
      <c r="J183" s="2785"/>
      <c r="K183" s="2470"/>
      <c r="L183" s="2392"/>
      <c r="M183" s="2392"/>
      <c r="N183" s="2788"/>
      <c r="O183" s="2470"/>
      <c r="P183" s="2392"/>
      <c r="Q183" s="2392"/>
      <c r="R183" s="2786"/>
      <c r="S183" s="2690"/>
      <c r="T183" s="1719"/>
      <c r="U183" s="1720"/>
      <c r="V183" s="1720"/>
      <c r="W183" s="2785"/>
      <c r="Y183" s="1543"/>
      <c r="Z183" s="1543"/>
      <c r="AA183" s="1543"/>
      <c r="AB183" s="1543"/>
      <c r="AC183" s="1543"/>
      <c r="AD183" s="1543"/>
      <c r="AE183" s="1543"/>
      <c r="AF183" s="1543"/>
      <c r="AG183" s="1543"/>
      <c r="AH183" s="1543"/>
      <c r="AI183" s="1543"/>
      <c r="AJ183" s="1543"/>
      <c r="AK183" s="1543"/>
    </row>
    <row s="14284" customFormat="1" customHeight="1" ht="17.25">
      <c r="A184" s="2124"/>
      <c r="C184" s="2129"/>
      <c r="D184" s="2114"/>
      <c r="E184" s="2131"/>
      <c r="F184" s="2068"/>
      <c r="G184" s="2132"/>
      <c r="H184" s="2787"/>
      <c r="I184" s="2787"/>
      <c r="J184" s="2817"/>
      <c r="K184" s="2470"/>
      <c r="L184" s="2787"/>
      <c r="M184" s="2787"/>
      <c r="N184" s="2789"/>
      <c r="O184" s="2396"/>
      <c r="P184" s="601"/>
      <c r="Q184" s="602"/>
      <c r="R184" s="602" t="s">
        <v>170</v>
      </c>
      <c r="S184" s="2130"/>
      <c r="T184" s="2130"/>
      <c r="U184" s="2130"/>
      <c r="V184" s="2130"/>
      <c r="W184" s="1717"/>
      <c r="Y184" s="1543"/>
      <c r="Z184" s="1543"/>
      <c r="AA184" s="1543"/>
      <c r="AB184" s="1543"/>
      <c r="AC184" s="1543"/>
      <c r="AD184" s="1543"/>
      <c r="AE184" s="1543"/>
      <c r="AF184" s="1543"/>
      <c r="AG184" s="1543"/>
      <c r="AH184" s="1543"/>
      <c r="AI184" s="1543"/>
      <c r="AJ184" s="1543"/>
      <c r="AK184" s="1543"/>
    </row>
    <row s="14284" customFormat="1" customHeight="1" ht="17.25">
      <c r="A185" s="2124"/>
      <c r="C185" s="2129"/>
      <c r="D185" s="2114"/>
      <c r="E185" s="2131"/>
      <c r="F185" s="2068"/>
      <c r="G185" s="2132"/>
      <c r="H185" s="2787"/>
      <c r="I185" s="2787"/>
      <c r="J185" s="2817"/>
      <c r="K185" s="2396"/>
      <c r="L185" s="601"/>
      <c r="M185" s="602"/>
      <c r="N185" s="602" t="s">
        <v>171</v>
      </c>
      <c r="O185" s="602"/>
      <c r="P185" s="602"/>
      <c r="Q185" s="602"/>
      <c r="R185" s="602"/>
      <c r="S185" s="2130"/>
      <c r="T185" s="2130"/>
      <c r="U185" s="2130"/>
      <c r="V185" s="2130"/>
      <c r="W185" s="603"/>
      <c r="Y185" s="1543"/>
      <c r="Z185" s="1543"/>
      <c r="AA185" s="1543"/>
      <c r="AB185" s="1543"/>
      <c r="AC185" s="1543"/>
      <c r="AD185" s="1543"/>
      <c r="AE185" s="1543"/>
      <c r="AF185" s="1543"/>
      <c r="AG185" s="1543"/>
      <c r="AH185" s="1543"/>
      <c r="AI185" s="1543"/>
      <c r="AJ185" s="1543"/>
      <c r="AK185" s="1543"/>
    </row>
    <row customHeight="1" ht="17.25">
      <c r="A186" s="2134"/>
    </row>
    <row s="14284" customFormat="1" customHeight="1" ht="17.25">
      <c r="A187" s="2124"/>
      <c r="C187" s="2126"/>
      <c r="D187" s="2114"/>
      <c r="E187" s="2131"/>
      <c r="F187" s="2068"/>
      <c r="G187" s="2132"/>
      <c r="H187" s="2114"/>
      <c r="I187" s="2114"/>
      <c r="J187" s="2135"/>
      <c r="K187" s="2132"/>
      <c r="L187" s="2392"/>
      <c r="M187" s="2392" t="s">
        <v>110</v>
      </c>
      <c r="N187" s="2788" t="str">
        <f>IF(Z187="","",INDEX(TERRITORY_MR_LIST,MATCH(Z187,TERRITORY_LIST_ID,0)))</f>
        <v/>
      </c>
      <c r="O187" s="2469" t="s">
        <v>67</v>
      </c>
      <c r="P187" s="2392"/>
      <c r="Q187" s="2392" t="s">
        <v>110</v>
      </c>
      <c r="R187" s="2786" t="s">
        <v>28</v>
      </c>
      <c r="S187" s="2690" t="s">
        <v>19</v>
      </c>
      <c r="T187" s="2086"/>
      <c r="U187" s="2086" t="s">
        <v>110</v>
      </c>
      <c r="V187" s="1718"/>
      <c r="W187" s="2785"/>
      <c r="Y187" s="1551"/>
      <c r="Z187" s="1551"/>
      <c r="AA187" s="1551"/>
      <c r="AB187" s="1551"/>
      <c r="AC187" s="1551"/>
      <c r="AD187" s="1551"/>
      <c r="AE187" s="1551"/>
      <c r="AF187" s="1551"/>
      <c r="AG187" s="1551"/>
      <c r="AH187" s="1551"/>
      <c r="AI187" s="1551"/>
      <c r="AJ187" s="1551"/>
      <c r="AK187" s="1551"/>
      <c r="AL187" s="2128"/>
      <c r="AM187" s="2128"/>
      <c r="AN187" s="1551"/>
      <c r="AO187" s="1551"/>
      <c r="AP187" s="1551"/>
      <c r="AQ187" s="1551"/>
    </row>
    <row s="14284" customFormat="1" customHeight="1" ht="17.25">
      <c r="A188" s="2124"/>
      <c r="C188" s="2129"/>
      <c r="D188" s="2114"/>
      <c r="E188" s="2131"/>
      <c r="F188" s="2068"/>
      <c r="G188" s="2132"/>
      <c r="H188" s="2114"/>
      <c r="I188" s="2114"/>
      <c r="J188" s="2135"/>
      <c r="K188" s="2132"/>
      <c r="L188" s="2392"/>
      <c r="M188" s="2392"/>
      <c r="N188" s="2788"/>
      <c r="O188" s="2470"/>
      <c r="P188" s="2392"/>
      <c r="Q188" s="2392"/>
      <c r="R188" s="2786"/>
      <c r="S188" s="2690"/>
      <c r="T188" s="1719"/>
      <c r="U188" s="1720"/>
      <c r="V188" s="1720"/>
      <c r="W188" s="2785"/>
      <c r="Y188" s="1543"/>
      <c r="Z188" s="1543"/>
      <c r="AA188" s="1543"/>
      <c r="AB188" s="1543"/>
      <c r="AC188" s="1543"/>
      <c r="AD188" s="1543"/>
      <c r="AE188" s="1543"/>
      <c r="AF188" s="1543"/>
      <c r="AG188" s="1543"/>
      <c r="AH188" s="1543"/>
      <c r="AI188" s="1543"/>
      <c r="AJ188" s="1543"/>
      <c r="AK188" s="1543"/>
    </row>
    <row s="14284" customFormat="1" customHeight="1" ht="17.25">
      <c r="A189" s="2124"/>
      <c r="C189" s="2129"/>
      <c r="D189" s="2114"/>
      <c r="E189" s="2131"/>
      <c r="F189" s="2068"/>
      <c r="G189" s="2132"/>
      <c r="H189" s="2114"/>
      <c r="I189" s="2114"/>
      <c r="J189" s="2135"/>
      <c r="K189" s="2132"/>
      <c r="L189" s="2787"/>
      <c r="M189" s="2787"/>
      <c r="N189" s="2789"/>
      <c r="O189" s="2396"/>
      <c r="P189" s="601"/>
      <c r="Q189" s="602"/>
      <c r="R189" s="602" t="s">
        <v>170</v>
      </c>
      <c r="S189" s="2130"/>
      <c r="T189" s="2130"/>
      <c r="U189" s="2130"/>
      <c r="V189" s="2130"/>
      <c r="W189" s="1717"/>
      <c r="Y189" s="1543"/>
      <c r="Z189" s="1543"/>
      <c r="AA189" s="1543"/>
      <c r="AB189" s="1543"/>
      <c r="AC189" s="1543"/>
      <c r="AD189" s="1543"/>
      <c r="AE189" s="1543"/>
      <c r="AF189" s="1543"/>
      <c r="AG189" s="1543"/>
      <c r="AH189" s="1543"/>
      <c r="AI189" s="1543"/>
      <c r="AJ189" s="1543"/>
      <c r="AK189" s="1543"/>
    </row>
    <row customHeight="1" ht="17.25">
      <c r="A190" s="2134"/>
    </row>
    <row s="14284" customFormat="1" customHeight="1" ht="17.25">
      <c r="A191" s="2124"/>
      <c r="C191" s="2126"/>
      <c r="D191" s="2114"/>
      <c r="E191" s="2131"/>
      <c r="F191" s="2068"/>
      <c r="G191" s="2132"/>
      <c r="H191" s="2114"/>
      <c r="I191" s="2114"/>
      <c r="J191" s="2135"/>
      <c r="K191" s="2132"/>
      <c r="L191" s="2114"/>
      <c r="M191" s="2114"/>
      <c r="N191" s="2332"/>
      <c r="O191" s="2071"/>
      <c r="P191" s="2392"/>
      <c r="Q191" s="2392" t="s">
        <v>110</v>
      </c>
      <c r="R191" s="2786" t="s">
        <v>28</v>
      </c>
      <c r="S191" s="2690" t="s">
        <v>19</v>
      </c>
      <c r="T191" s="2086"/>
      <c r="U191" s="2086" t="s">
        <v>110</v>
      </c>
      <c r="V191" s="1718"/>
      <c r="W191" s="2785"/>
      <c r="Y191" s="1551"/>
      <c r="Z191" s="1551"/>
      <c r="AA191" s="1551"/>
      <c r="AB191" s="1551"/>
      <c r="AC191" s="1551"/>
      <c r="AD191" s="1551"/>
      <c r="AE191" s="1551"/>
      <c r="AF191" s="1551"/>
      <c r="AG191" s="1551"/>
      <c r="AH191" s="1551"/>
      <c r="AI191" s="1551"/>
      <c r="AJ191" s="1551"/>
      <c r="AK191" s="1551"/>
      <c r="AL191" s="2128"/>
      <c r="AM191" s="2128"/>
      <c r="AN191" s="1551"/>
      <c r="AO191" s="1551"/>
      <c r="AP191" s="1551"/>
      <c r="AQ191" s="1551"/>
    </row>
    <row s="14284" customFormat="1" customHeight="1" ht="17.25">
      <c r="A192" s="2124"/>
      <c r="C192" s="2129"/>
      <c r="D192" s="2114"/>
      <c r="E192" s="2131"/>
      <c r="F192" s="2068"/>
      <c r="G192" s="2132"/>
      <c r="H192" s="2114"/>
      <c r="I192" s="2114"/>
      <c r="J192" s="2135"/>
      <c r="K192" s="2132"/>
      <c r="L192" s="2114"/>
      <c r="M192" s="2114"/>
      <c r="N192" s="2332"/>
      <c r="O192" s="2071"/>
      <c r="P192" s="2392"/>
      <c r="Q192" s="2392"/>
      <c r="R192" s="2786"/>
      <c r="S192" s="2690"/>
      <c r="T192" s="1719"/>
      <c r="U192" s="1720"/>
      <c r="V192" s="1720"/>
      <c r="W192" s="2785"/>
      <c r="Y192" s="1543"/>
      <c r="Z192" s="1543"/>
      <c r="AA192" s="1543"/>
      <c r="AB192" s="1543"/>
      <c r="AC192" s="1543"/>
      <c r="AD192" s="1543"/>
      <c r="AE192" s="1543"/>
      <c r="AF192" s="1543"/>
      <c r="AG192" s="1543"/>
      <c r="AH192" s="1543"/>
      <c r="AI192" s="1543"/>
      <c r="AJ192" s="1543"/>
      <c r="AK192" s="1543"/>
    </row>
    <row customHeight="1" ht="17.25">
      <c r="A193" s="2134"/>
    </row>
    <row customHeight="1" ht="16.5">
      <c r="A194" s="2124"/>
      <c r="B194" s="2125"/>
      <c r="C194" s="2129"/>
      <c r="D194" s="2837"/>
      <c r="E194" s="2463"/>
      <c r="F194" s="2463"/>
      <c r="G194" s="2411"/>
      <c r="H194" s="2838"/>
      <c r="I194" s="2851"/>
      <c r="J194" s="2436"/>
      <c r="K194" s="2421"/>
      <c r="L194" s="2421"/>
      <c r="M194" s="2421"/>
      <c r="N194" s="2849"/>
      <c r="O194" s="2421"/>
      <c r="P194" s="2421"/>
      <c r="Q194" s="2421"/>
      <c r="R194" s="2847"/>
      <c r="S194" s="2421"/>
      <c r="T194" s="2067"/>
      <c r="U194" s="2067"/>
      <c r="V194" s="2136"/>
      <c r="W194" s="1580"/>
    </row>
    <row customHeight="1" ht="16.5">
      <c r="A195" s="2124"/>
      <c r="B195" s="2125"/>
      <c r="C195" s="2129"/>
      <c r="D195" s="2837"/>
      <c r="E195" s="2463"/>
      <c r="F195" s="2463"/>
      <c r="G195" s="2411"/>
      <c r="H195" s="2839"/>
      <c r="I195" s="2852"/>
      <c r="J195" s="2437"/>
      <c r="K195" s="2422"/>
      <c r="L195" s="2422"/>
      <c r="M195" s="2422"/>
      <c r="N195" s="2850"/>
      <c r="O195" s="2422"/>
      <c r="P195" s="2422"/>
      <c r="Q195" s="2422"/>
      <c r="R195" s="2848"/>
      <c r="S195" s="2422"/>
      <c r="T195" s="1581"/>
      <c r="U195" s="1581"/>
      <c r="V195" s="1581"/>
      <c r="W195" s="1582"/>
    </row>
    <row customHeight="1" ht="17.25">
      <c r="A196" s="2124"/>
      <c r="B196" s="2125"/>
      <c r="C196" s="2129"/>
      <c r="D196" s="2837"/>
      <c r="E196" s="2463"/>
      <c r="F196" s="2463"/>
      <c r="G196" s="2411"/>
      <c r="H196" s="2839"/>
      <c r="I196" s="2852"/>
      <c r="J196" s="2840"/>
      <c r="K196" s="2422"/>
      <c r="L196" s="2422"/>
      <c r="M196" s="2422"/>
      <c r="N196" s="2848"/>
      <c r="O196" s="2422"/>
      <c r="P196" s="2070"/>
      <c r="Q196" s="1581"/>
      <c r="R196" s="1581"/>
      <c r="S196" s="2137"/>
      <c r="T196" s="2137"/>
      <c r="U196" s="2137"/>
      <c r="V196" s="2137"/>
      <c r="W196" s="1582"/>
    </row>
    <row customHeight="1" ht="17.25">
      <c r="A197" s="2124"/>
      <c r="B197" s="2125"/>
      <c r="C197" s="2129"/>
      <c r="D197" s="2837"/>
      <c r="E197" s="2463"/>
      <c r="F197" s="2463"/>
      <c r="G197" s="2411"/>
      <c r="H197" s="2839"/>
      <c r="I197" s="2852"/>
      <c r="J197" s="2840"/>
      <c r="K197" s="2422"/>
      <c r="L197" s="1581"/>
      <c r="M197" s="1581"/>
      <c r="N197" s="1581"/>
      <c r="O197" s="1581"/>
      <c r="P197" s="1581"/>
      <c r="Q197" s="1581"/>
      <c r="R197" s="1581"/>
      <c r="S197" s="2137"/>
      <c r="T197" s="2137"/>
      <c r="U197" s="2137"/>
      <c r="V197" s="2137"/>
      <c r="W197" s="1582"/>
    </row>
    <row customHeight="1" ht="17.25">
      <c r="A198" s="2124"/>
      <c r="B198" s="2125"/>
      <c r="C198" s="2129"/>
      <c r="D198" s="2837"/>
      <c r="E198" s="2463"/>
      <c r="F198" s="2463"/>
      <c r="G198" s="2411"/>
      <c r="H198" s="1583"/>
      <c r="I198" s="1584"/>
      <c r="J198" s="1584"/>
      <c r="K198" s="1584"/>
      <c r="L198" s="1584"/>
      <c r="M198" s="1584"/>
      <c r="N198" s="1584"/>
      <c r="O198" s="1584"/>
      <c r="P198" s="1584"/>
      <c r="Q198" s="1584"/>
      <c r="R198" s="1584"/>
      <c r="S198" s="2138"/>
      <c r="T198" s="2138"/>
      <c r="U198" s="2138"/>
      <c r="V198" s="2138"/>
      <c r="W198" s="1586"/>
    </row>
    <row r="200" s="16332" customFormat="1" customHeight="1" ht="17.25">
      <c r="A200" s="2099" t="s">
        <v>1950</v>
      </c>
    </row>
    <row customHeight="1" ht="17.25">
      <c r="G201" s="2123"/>
      <c r="H201" s="2123"/>
      <c r="I201" s="2123"/>
      <c r="M201" s="2119"/>
    </row>
    <row s="14218" customFormat="1" customHeight="1" ht="15">
      <c r="D202" s="2807"/>
      <c r="E202" s="2483"/>
      <c r="F202" s="2483"/>
      <c r="G202" s="2469"/>
      <c r="H202" s="1848"/>
      <c r="I202" s="2811">
        <v>1</v>
      </c>
      <c r="J202" s="2785"/>
      <c r="K202" s="1863"/>
      <c r="L202" s="2469" t="s">
        <v>67</v>
      </c>
      <c r="M202" s="2469" t="s">
        <v>67</v>
      </c>
      <c r="N202" s="1848"/>
      <c r="O202" s="2392" t="s">
        <v>110</v>
      </c>
      <c r="P202" s="2801"/>
      <c r="Q202" s="1864"/>
      <c r="R202" s="2469" t="s">
        <v>67</v>
      </c>
      <c r="S202" s="2469" t="s">
        <v>67</v>
      </c>
      <c r="T202" s="2139"/>
      <c r="U202" s="2392" t="s">
        <v>110</v>
      </c>
      <c r="V202" s="2808" t="str">
        <f>IF(AK202="","",INDEX(TERRITORY_MR_LIST,MATCH(AK202,TERRITORY_LIST_ID,0)))</f>
        <v/>
      </c>
      <c r="W202" s="1865"/>
      <c r="X202" s="2469" t="s">
        <v>67</v>
      </c>
      <c r="Y202" s="2469" t="s">
        <v>19</v>
      </c>
      <c r="Z202" s="1848"/>
      <c r="AA202" s="2392" t="s">
        <v>110</v>
      </c>
      <c r="AB202" s="2810"/>
      <c r="AC202" s="1866"/>
      <c r="AD202" s="2469" t="s">
        <v>67</v>
      </c>
      <c r="AE202" s="2469" t="s">
        <v>19</v>
      </c>
      <c r="AF202" s="1846"/>
      <c r="AG202" s="2095" t="s">
        <v>110</v>
      </c>
      <c r="AH202" s="1856"/>
      <c r="AI202" s="2085"/>
    </row>
    <row s="14218" customFormat="1" customHeight="1" ht="15">
      <c r="D203" s="2807"/>
      <c r="E203" s="2483"/>
      <c r="F203" s="2483"/>
      <c r="G203" s="2470"/>
      <c r="H203" s="1848"/>
      <c r="I203" s="2811"/>
      <c r="J203" s="2785"/>
      <c r="K203" s="1847"/>
      <c r="L203" s="2470"/>
      <c r="M203" s="2470"/>
      <c r="N203" s="1848"/>
      <c r="O203" s="2392"/>
      <c r="P203" s="2801"/>
      <c r="Q203" s="1844"/>
      <c r="R203" s="2470"/>
      <c r="S203" s="2470"/>
      <c r="T203" s="2139"/>
      <c r="U203" s="2392"/>
      <c r="V203" s="2809"/>
      <c r="W203" s="1845"/>
      <c r="X203" s="2470"/>
      <c r="Y203" s="2470"/>
      <c r="Z203" s="1848"/>
      <c r="AA203" s="2392"/>
      <c r="AB203" s="2779"/>
      <c r="AC203" s="1849"/>
      <c r="AD203" s="2396"/>
      <c r="AE203" s="2396"/>
      <c r="AF203" s="1850"/>
      <c r="AG203" s="1851"/>
      <c r="AH203" s="2802" t="s">
        <v>1951</v>
      </c>
      <c r="AI203" s="2803"/>
    </row>
    <row s="14218" customFormat="1" customHeight="1" ht="15">
      <c r="D204" s="2807"/>
      <c r="E204" s="2483"/>
      <c r="F204" s="2483"/>
      <c r="G204" s="2470"/>
      <c r="H204" s="1848"/>
      <c r="I204" s="2811"/>
      <c r="J204" s="2785"/>
      <c r="K204" s="1847"/>
      <c r="L204" s="2470"/>
      <c r="M204" s="2470"/>
      <c r="N204" s="1848"/>
      <c r="O204" s="2392"/>
      <c r="P204" s="2801"/>
      <c r="Q204" s="1844"/>
      <c r="R204" s="2470"/>
      <c r="S204" s="2470"/>
      <c r="T204" s="2139"/>
      <c r="U204" s="2392"/>
      <c r="V204" s="2809"/>
      <c r="W204" s="1845"/>
      <c r="X204" s="2470"/>
      <c r="Y204" s="2470"/>
      <c r="Z204" s="1887"/>
      <c r="AA204" s="1853"/>
      <c r="AB204" s="2804" t="s">
        <v>1952</v>
      </c>
      <c r="AC204" s="2804"/>
      <c r="AD204" s="2804"/>
      <c r="AE204" s="2804"/>
      <c r="AF204" s="2804"/>
      <c r="AG204" s="2804"/>
      <c r="AH204" s="2804"/>
      <c r="AI204" s="2805"/>
    </row>
    <row s="14218" customFormat="1" customHeight="1" ht="15">
      <c r="D205" s="2807"/>
      <c r="E205" s="2483"/>
      <c r="F205" s="2483"/>
      <c r="G205" s="2470"/>
      <c r="H205" s="1848"/>
      <c r="I205" s="2811"/>
      <c r="J205" s="2785"/>
      <c r="K205" s="1847"/>
      <c r="L205" s="2470"/>
      <c r="M205" s="2470"/>
      <c r="N205" s="1848"/>
      <c r="O205" s="2392"/>
      <c r="P205" s="2806"/>
      <c r="Q205" s="1844"/>
      <c r="R205" s="2470"/>
      <c r="S205" s="2470"/>
      <c r="T205" s="2140"/>
      <c r="U205" s="1888"/>
      <c r="V205" s="2802" t="s">
        <v>104</v>
      </c>
      <c r="W205" s="2802"/>
      <c r="X205" s="2802"/>
      <c r="Y205" s="2802"/>
      <c r="Z205" s="2802"/>
      <c r="AA205" s="2802"/>
      <c r="AB205" s="2802"/>
      <c r="AC205" s="2802"/>
      <c r="AD205" s="2802"/>
      <c r="AE205" s="2802"/>
      <c r="AF205" s="2802"/>
      <c r="AG205" s="2802"/>
      <c r="AH205" s="2802"/>
      <c r="AI205" s="2803"/>
    </row>
    <row s="14218" customFormat="1" customHeight="1" ht="11.25">
      <c r="D206" s="2807"/>
      <c r="E206" s="2483"/>
      <c r="F206" s="2483"/>
      <c r="G206" s="2470"/>
      <c r="H206" s="1852"/>
      <c r="I206" s="2811"/>
      <c r="J206" s="2812"/>
      <c r="K206" s="1847"/>
      <c r="L206" s="2470"/>
      <c r="M206" s="2470"/>
      <c r="N206" s="1852"/>
      <c r="O206" s="1853"/>
      <c r="P206" s="2802" t="s">
        <v>1953</v>
      </c>
      <c r="Q206" s="2802"/>
      <c r="R206" s="2802"/>
      <c r="S206" s="2802"/>
      <c r="T206" s="2802"/>
      <c r="U206" s="2802"/>
      <c r="V206" s="2802"/>
      <c r="W206" s="2802"/>
      <c r="X206" s="2802"/>
      <c r="Y206" s="2802"/>
      <c r="Z206" s="2802"/>
      <c r="AA206" s="2802"/>
      <c r="AB206" s="2802"/>
      <c r="AC206" s="2802"/>
      <c r="AD206" s="2802"/>
      <c r="AE206" s="2802"/>
      <c r="AF206" s="2802"/>
      <c r="AG206" s="2802"/>
      <c r="AH206" s="2802"/>
      <c r="AI206" s="2803"/>
    </row>
    <row s="14524" customFormat="1" customHeight="1" ht="11.25">
      <c r="D207" s="2807"/>
      <c r="E207" s="2483"/>
      <c r="F207" s="2483"/>
      <c r="G207" s="2396"/>
      <c r="H207" s="1854"/>
      <c r="I207" s="1855"/>
      <c r="J207" s="2802" t="s">
        <v>172</v>
      </c>
      <c r="K207" s="2802"/>
      <c r="L207" s="2802"/>
      <c r="M207" s="2802"/>
      <c r="N207" s="2802"/>
      <c r="O207" s="2802"/>
      <c r="P207" s="2802"/>
      <c r="Q207" s="2802"/>
      <c r="R207" s="2802"/>
      <c r="S207" s="2802"/>
      <c r="T207" s="2802"/>
      <c r="U207" s="2802"/>
      <c r="V207" s="2802"/>
      <c r="W207" s="2802"/>
      <c r="X207" s="2802"/>
      <c r="Y207" s="2802"/>
      <c r="Z207" s="2802"/>
      <c r="AA207" s="2802"/>
      <c r="AB207" s="2802"/>
      <c r="AC207" s="2802"/>
      <c r="AD207" s="2802"/>
      <c r="AE207" s="2802"/>
      <c r="AF207" s="2802"/>
      <c r="AG207" s="2802"/>
      <c r="AH207" s="2802"/>
      <c r="AI207" s="2803"/>
      <c r="BK207" s="1858"/>
    </row>
    <row customHeight="1" ht="17.25">
      <c r="G208" s="2123"/>
      <c r="I208" s="2123"/>
      <c r="J208" s="2123"/>
      <c r="N208" s="2119"/>
    </row>
    <row s="14218" customFormat="1" customHeight="1" ht="15">
      <c r="D209" s="2807"/>
      <c r="E209" s="2483"/>
      <c r="F209" s="2483"/>
      <c r="G209" s="2463"/>
      <c r="H209" s="1883"/>
      <c r="I209" s="2465"/>
      <c r="J209" s="2436"/>
      <c r="K209" s="2069"/>
      <c r="L209" s="2421"/>
      <c r="M209" s="2421"/>
      <c r="N209" s="1868"/>
      <c r="O209" s="2421"/>
      <c r="P209" s="2436"/>
      <c r="Q209" s="2073"/>
      <c r="R209" s="2421"/>
      <c r="S209" s="2421"/>
      <c r="T209" s="2141"/>
      <c r="U209" s="2421"/>
      <c r="V209" s="2436"/>
      <c r="W209" s="1871"/>
      <c r="X209" s="2421"/>
      <c r="Y209" s="2421"/>
      <c r="Z209" s="1868"/>
      <c r="AA209" s="2421"/>
      <c r="AB209" s="2436"/>
      <c r="AC209" s="1872"/>
      <c r="AD209" s="2421"/>
      <c r="AE209" s="2421"/>
      <c r="AF209" s="2067"/>
      <c r="AG209" s="2067"/>
      <c r="AH209" s="1873"/>
      <c r="AI209" s="1580"/>
    </row>
    <row s="14218" customFormat="1" customHeight="1" ht="15">
      <c r="D210" s="2807"/>
      <c r="E210" s="2483"/>
      <c r="F210" s="2483"/>
      <c r="G210" s="2463"/>
      <c r="H210" s="1884"/>
      <c r="I210" s="2466"/>
      <c r="J210" s="2437"/>
      <c r="K210" s="1894"/>
      <c r="L210" s="2422"/>
      <c r="M210" s="2422"/>
      <c r="N210" s="1874"/>
      <c r="O210" s="2422"/>
      <c r="P210" s="2437"/>
      <c r="Q210" s="2074"/>
      <c r="R210" s="2422"/>
      <c r="S210" s="2422"/>
      <c r="T210" s="2142"/>
      <c r="U210" s="2422"/>
      <c r="V210" s="2437"/>
      <c r="W210" s="1877"/>
      <c r="X210" s="2422"/>
      <c r="Y210" s="2422"/>
      <c r="Z210" s="1874"/>
      <c r="AA210" s="2422"/>
      <c r="AB210" s="2437"/>
      <c r="AC210" s="1878"/>
      <c r="AD210" s="2422"/>
      <c r="AE210" s="2422"/>
      <c r="AF210" s="2072"/>
      <c r="AG210" s="2072"/>
      <c r="AH210" s="2461"/>
      <c r="AI210" s="2462"/>
    </row>
    <row s="14218" customFormat="1" customHeight="1" ht="15">
      <c r="D211" s="2807"/>
      <c r="E211" s="2483"/>
      <c r="F211" s="2483"/>
      <c r="G211" s="2463"/>
      <c r="H211" s="1884"/>
      <c r="I211" s="2466"/>
      <c r="J211" s="2437"/>
      <c r="K211" s="1894"/>
      <c r="L211" s="2422"/>
      <c r="M211" s="2422"/>
      <c r="N211" s="1874"/>
      <c r="O211" s="2422"/>
      <c r="P211" s="2437"/>
      <c r="Q211" s="2074"/>
      <c r="R211" s="2422"/>
      <c r="S211" s="2422"/>
      <c r="T211" s="2142"/>
      <c r="U211" s="2422"/>
      <c r="V211" s="2437"/>
      <c r="W211" s="1877"/>
      <c r="X211" s="2422"/>
      <c r="Y211" s="2422"/>
      <c r="Z211" s="2070"/>
      <c r="AA211" s="2072"/>
      <c r="AB211" s="2461"/>
      <c r="AC211" s="2461"/>
      <c r="AD211" s="2461"/>
      <c r="AE211" s="2461"/>
      <c r="AF211" s="2461"/>
      <c r="AG211" s="2461"/>
      <c r="AH211" s="2461"/>
      <c r="AI211" s="2462"/>
    </row>
    <row s="14218" customFormat="1" customHeight="1" ht="15">
      <c r="D212" s="2807"/>
      <c r="E212" s="2483"/>
      <c r="F212" s="2483"/>
      <c r="G212" s="2463"/>
      <c r="H212" s="1884"/>
      <c r="I212" s="2466"/>
      <c r="J212" s="2437"/>
      <c r="K212" s="1894"/>
      <c r="L212" s="2422"/>
      <c r="M212" s="2422"/>
      <c r="N212" s="1874"/>
      <c r="O212" s="2422"/>
      <c r="P212" s="2437"/>
      <c r="Q212" s="2074"/>
      <c r="R212" s="2422"/>
      <c r="S212" s="2422"/>
      <c r="T212" s="2143"/>
      <c r="U212" s="1881"/>
      <c r="V212" s="2461"/>
      <c r="W212" s="2461"/>
      <c r="X212" s="2461"/>
      <c r="Y212" s="2461"/>
      <c r="Z212" s="2461"/>
      <c r="AA212" s="2461"/>
      <c r="AB212" s="2461"/>
      <c r="AC212" s="2461"/>
      <c r="AD212" s="2461"/>
      <c r="AE212" s="2461"/>
      <c r="AF212" s="2461"/>
      <c r="AG212" s="2461"/>
      <c r="AH212" s="2461"/>
      <c r="AI212" s="2462"/>
    </row>
    <row s="14218" customFormat="1" customHeight="1" ht="11.25">
      <c r="D213" s="2807"/>
      <c r="E213" s="2483"/>
      <c r="F213" s="2483"/>
      <c r="G213" s="2463"/>
      <c r="H213" s="1885"/>
      <c r="I213" s="2466"/>
      <c r="J213" s="2437"/>
      <c r="K213" s="1894"/>
      <c r="L213" s="2422"/>
      <c r="M213" s="2422"/>
      <c r="N213" s="2072"/>
      <c r="O213" s="2072"/>
      <c r="P213" s="2461"/>
      <c r="Q213" s="2461"/>
      <c r="R213" s="2461"/>
      <c r="S213" s="2461"/>
      <c r="T213" s="2461"/>
      <c r="U213" s="2461"/>
      <c r="V213" s="2461"/>
      <c r="W213" s="2461"/>
      <c r="X213" s="2461"/>
      <c r="Y213" s="2461"/>
      <c r="Z213" s="2461"/>
      <c r="AA213" s="2461"/>
      <c r="AB213" s="2461"/>
      <c r="AC213" s="2461"/>
      <c r="AD213" s="2461"/>
      <c r="AE213" s="2461"/>
      <c r="AF213" s="2461"/>
      <c r="AG213" s="2461"/>
      <c r="AH213" s="2461"/>
      <c r="AI213" s="2462"/>
    </row>
    <row s="14524" customFormat="1" customHeight="1" ht="11.25">
      <c r="D214" s="2807"/>
      <c r="E214" s="2483"/>
      <c r="F214" s="2483"/>
      <c r="G214" s="2468"/>
      <c r="H214" s="1882"/>
      <c r="I214" s="1886"/>
      <c r="J214" s="2471"/>
      <c r="K214" s="2471"/>
      <c r="L214" s="2471"/>
      <c r="M214" s="2471"/>
      <c r="N214" s="2471"/>
      <c r="O214" s="2471"/>
      <c r="P214" s="2471"/>
      <c r="Q214" s="2471"/>
      <c r="R214" s="2471"/>
      <c r="S214" s="2471"/>
      <c r="T214" s="2471"/>
      <c r="U214" s="2471"/>
      <c r="V214" s="2471"/>
      <c r="W214" s="2471"/>
      <c r="X214" s="2471"/>
      <c r="Y214" s="2471"/>
      <c r="Z214" s="2471"/>
      <c r="AA214" s="2471"/>
      <c r="AB214" s="2471"/>
      <c r="AC214" s="2471"/>
      <c r="AD214" s="2471"/>
      <c r="AE214" s="2471"/>
      <c r="AF214" s="2471"/>
      <c r="AG214" s="2471"/>
      <c r="AH214" s="2471"/>
      <c r="AI214" s="2472"/>
      <c r="BK214" s="1858"/>
    </row>
    <row customHeight="1" ht="17.25">
      <c r="A215" s="2134"/>
    </row>
  </sheetData>
  <sheetProtection formatColumns="0" formatRows="0" sort="0" autoFilter="0" insertRows="0" insertColumns="1" deleteRows="0" deleteColumns="0"/>
  <mergeCells count="287">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A13:A15"/>
    <mergeCell ref="D23:D25"/>
    <mergeCell ref="E23:E25"/>
    <mergeCell ref="F23:F25"/>
    <mergeCell ref="G23:G24"/>
    <mergeCell ref="H23:H24"/>
    <mergeCell ref="I23:I24"/>
    <mergeCell ref="J23:J24"/>
    <mergeCell ref="G29:G30"/>
    <mergeCell ref="H29:H30"/>
    <mergeCell ref="I29:I30"/>
    <mergeCell ref="J29:J30"/>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Y72:Y73"/>
    <mergeCell ref="S72:S73"/>
    <mergeCell ref="T72:T73"/>
    <mergeCell ref="M72:M73"/>
    <mergeCell ref="N72:N73"/>
    <mergeCell ref="O72:O73"/>
    <mergeCell ref="Q72:Q73"/>
    <mergeCell ref="R72:R73"/>
    <mergeCell ref="W72:W73"/>
    <mergeCell ref="X72:X73"/>
    <mergeCell ref="P72:P73"/>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D176:D180"/>
    <mergeCell ref="E176:E180"/>
    <mergeCell ref="F176:F180"/>
    <mergeCell ref="G176:G180"/>
    <mergeCell ref="H176:H179"/>
    <mergeCell ref="I176:I179"/>
    <mergeCell ref="J176:J179"/>
    <mergeCell ref="K176:K179"/>
    <mergeCell ref="L176:L178"/>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209:D214"/>
    <mergeCell ref="E209:E214"/>
    <mergeCell ref="F209:F214"/>
    <mergeCell ref="G209:G214"/>
    <mergeCell ref="I209:I213"/>
    <mergeCell ref="J209:J213"/>
    <mergeCell ref="L209:L213"/>
    <mergeCell ref="M209:M213"/>
    <mergeCell ref="O209:O212"/>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V91:V93"/>
    <mergeCell ref="W91:W93"/>
    <mergeCell ref="X91:X93"/>
    <mergeCell ref="Y91:Y93"/>
    <mergeCell ref="H101:H105"/>
    <mergeCell ref="I101:I105"/>
    <mergeCell ref="J101:J105"/>
    <mergeCell ref="K101:K105"/>
    <mergeCell ref="L101:L105"/>
    <mergeCell ref="M101:M105"/>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s>
  <dataValidations count="2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formula1>900</formula1>
    </dataValidation>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formula1>0</formula1>
      <formula2>9.99999999999999E+23</formula2>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formula1>DESCRIPTION_TERRITORY</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formula1>"a"</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InputMessage="1" showErrorMessage="1" sqref="I34">
      <formula1>DESCRIPTION_TERRITORY</formula1>
    </dataValidation>
    <dataValidation allowBlank="1" showInputMessage="1" showErrorMessage="1" prompt="Изменение значения по двойному щелчоку левой кнопки мыши" sqref="J56"/>
    <dataValidation type="list" allowBlank="1" showInputMessage="1" showErrorMessage="1" errorTitle="Ошибка" error="Выберите значение из списка" prompt="Выберите значение из списка" sqref="L60">
      <formula1>kind_of_power_te_unit</formula1>
    </dataValidation>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dataValidation allowBlank="1" showInputMessage="1" showErrorMessage="1" promptTitle="Ввод" prompt="Для выбора ИП необходимо два раза нажать левую кнопку мыши!" sqref="G72 G77"/>
    <dataValidation type="list" allowBlank="1" showInputMessage="1" showErrorMessage="1" errorTitle="Ошибка" error="Выберите значение из списка" prompt="Выберите значение из списка" sqref="J140:J141 J147:J148 J150">
      <formula1>kind_of_purchase_method</formula1>
    </dataValidation>
    <dataValidation type="list" allowBlank="1" showInputMessage="1" showErrorMessage="1" errorTitle="Ошибка" error="Выберите значение из списка" prompt="Выберите значение из списка" sqref="H110">
      <formula1>QRE_METHOD_LIST</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formula1>list_typeTKO</formula1>
    </dataValidation>
    <dataValidation type="decimal" allowBlank="1" showErrorMessage="1" errorTitle="Ошибка" error="Допускается ввод только действительных чисел!" sqref="CY110:DJ110 BT110:CK110 O110:AB110">
      <formula1>-9.99999999999999E+23</formula1>
      <formula2>9.99999999999999E+23</formula2>
    </dataValidation>
  </dataValidations>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3221518-8018-6D78-62F8-B3C5F6DFDB8D}" mc:Ignorable="x14ac xr xr2 xr3">
  <sheetPr>
    <tabColor rgb="FFFFCC99"/>
  </sheetPr>
  <dimension ref="A1:H34"/>
  <sheetViews>
    <sheetView topLeftCell="A1" showGridLines="0" workbookViewId="0">
      <selection activeCell="A1" sqref="A1"/>
    </sheetView>
  </sheetViews>
  <sheetFormatPr defaultColWidth="43.140625" customHeight="1" defaultRowHeight="9"/>
  <cols>
    <col min="1" max="1" style="16652" width="43.140625"/>
    <col min="2" max="2" style="16652" width="43.140625" hidden="1"/>
    <col min="3" max="3" style="16652" width="43.140625"/>
    <col min="4" max="5" style="16652" width="36.421875" customWidth="1"/>
    <col min="6" max="8" style="16653" width="36.421875" customWidth="1"/>
  </cols>
  <sheetData>
    <row customHeight="1" ht="9">
      <c r="A1" s="1130" t="s">
        <v>1954</v>
      </c>
      <c r="B1" s="1130"/>
      <c r="C1" s="1266" t="s">
        <v>1955</v>
      </c>
      <c r="D1" s="1264" t="s">
        <v>815</v>
      </c>
      <c r="E1" s="1264" t="s">
        <v>861</v>
      </c>
      <c r="F1" s="1264" t="s">
        <v>914</v>
      </c>
      <c r="G1" s="1264" t="s">
        <v>901</v>
      </c>
      <c r="H1" s="1264" t="s">
        <v>1629</v>
      </c>
    </row>
    <row customHeight="1" ht="9">
      <c r="A2" s="1267" t="s">
        <v>1956</v>
      </c>
      <c r="B2" s="1267"/>
      <c r="C2" s="1268" t="str">
        <f>INDEX(TEMPLATE_NUMBER_FORM_LIST,MATCH(TEMPLATE_SPHERE,TEMPLATE_SPHERE_LIST,0))</f>
        <v>16</v>
      </c>
      <c r="D2" s="1267" t="s">
        <v>1479</v>
      </c>
      <c r="E2" s="1267" t="s">
        <v>150</v>
      </c>
      <c r="F2" s="1269" t="s">
        <v>150</v>
      </c>
      <c r="G2" s="1267" t="s">
        <v>150</v>
      </c>
      <c r="H2" s="1270"/>
    </row>
    <row customHeight="1" ht="63">
      <c r="A3" s="1130"/>
      <c r="B3" s="1130" t="s">
        <v>110</v>
      </c>
      <c r="C3" s="1268" t="str">
        <f>IF(TEMPLATE_SPHERE="HEAT",D3,IF(TEMPLATE_SPHERE="TKO",H3,E3))</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D3" s="1268" t="s">
        <v>1957</v>
      </c>
      <c r="E3" s="1268"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теплоснабжения,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теплоснабжения</v>
      </c>
      <c r="F3" s="1269"/>
      <c r="G3" s="1270"/>
      <c r="H3" s="1130"/>
    </row>
    <row customHeight="1" ht="243">
      <c r="A4" s="1130" t="s">
        <v>1958</v>
      </c>
      <c r="B4" s="1130" t="s">
        <v>111</v>
      </c>
      <c r="C4" s="1268" t="str">
        <f>IF(TEMPLATE_SPHERE="HEAT",D4,IF(TEMPLATE_SPHERE="TKO",H4,E4))</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D4" s="1267" t="s">
        <v>1959</v>
      </c>
      <c r="E4" s="1268"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4" s="1267"/>
      <c r="G4" s="1267"/>
      <c r="H4" s="1130" t="s">
        <v>1960</v>
      </c>
    </row>
    <row customHeight="1" ht="117">
      <c r="A5" s="1130" t="s">
        <v>1961</v>
      </c>
      <c r="B5" s="1130" t="s">
        <v>91</v>
      </c>
      <c r="C5" s="1268" t="str">
        <f>IF(TEMPLATE_SPHERE="HEAT",D5,IF(TEMPLATE_SPHERE="TKO",H5,E5))</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D5" s="1130" t="s">
        <v>1962</v>
      </c>
      <c r="E5" s="1133"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теплоснабжения</v>
      </c>
      <c r="F5" s="1270"/>
      <c r="G5" s="1270"/>
      <c r="H5" s="1130" t="s">
        <v>1963</v>
      </c>
    </row>
    <row customHeight="1" ht="90">
      <c r="A6" s="1130" t="s">
        <v>1964</v>
      </c>
      <c r="B6" s="1130" t="s">
        <v>92</v>
      </c>
      <c r="C6" s="1268" t="str">
        <f>IF(TEMPLATE_SPHERE="HEAT",D6,E6)</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D6" s="1133"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E6" s="1133"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теплоснабжения, включая структуру основных производственных затрат (в части регулируемых видов деятельности в сфере теплоснабжения)</v>
      </c>
      <c r="F6" s="1130"/>
      <c r="G6" s="1130"/>
      <c r="H6" s="1270"/>
    </row>
    <row customHeight="1" ht="45">
      <c r="A7" s="1130" t="s">
        <v>1965</v>
      </c>
      <c r="B7" s="1130" t="s">
        <v>112</v>
      </c>
      <c r="C7" s="1268" t="str">
        <f>IF(TEMPLATE_SPHERE="HEAT",D7,E7)</f>
        <v>Форма 11. Информация о расходах на капитальный и текущий ремонт основных средств</v>
      </c>
      <c r="D7" s="1130" t="s">
        <v>1966</v>
      </c>
      <c r="E7" s="1130" t="s">
        <v>1967</v>
      </c>
      <c r="F7" s="1270"/>
      <c r="G7" s="1270"/>
      <c r="H7" s="1270"/>
    </row>
    <row customHeight="1" ht="108">
      <c r="A8" s="1130" t="s">
        <v>1968</v>
      </c>
      <c r="B8" s="1130" t="s">
        <v>93</v>
      </c>
      <c r="C8" s="1268" t="str">
        <f>IF(TEMPLATE_SPHERE="HEAT",D8,E8)</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D8" s="1130" t="s">
        <v>1172</v>
      </c>
      <c r="E8" s="1130" t="s">
        <v>1969</v>
      </c>
      <c r="F8" s="1270"/>
      <c r="G8" s="1270"/>
      <c r="H8" s="1270"/>
    </row>
    <row customHeight="1" ht="99">
      <c r="A9" s="1130" t="s">
        <v>1970</v>
      </c>
      <c r="B9" s="1130"/>
      <c r="C9" s="1130" t="s">
        <v>1971</v>
      </c>
      <c r="D9" s="1130"/>
      <c r="E9" s="1130"/>
      <c r="F9" s="1270"/>
      <c r="G9" s="1270"/>
      <c r="H9" s="1270"/>
    </row>
    <row customHeight="1" ht="126">
      <c r="A10" s="1130" t="s">
        <v>1972</v>
      </c>
      <c r="B10" s="1130"/>
      <c r="C10" s="1130" t="s">
        <v>1973</v>
      </c>
      <c r="D10" s="1130"/>
      <c r="E10" s="1130"/>
      <c r="F10" s="1270"/>
      <c r="G10" s="1270"/>
      <c r="H10" s="1270"/>
    </row>
    <row customHeight="1" ht="108">
      <c r="A11" s="1130" t="s">
        <v>1974</v>
      </c>
      <c r="B11" s="1130"/>
      <c r="C11" s="1130" t="s">
        <v>1975</v>
      </c>
      <c r="D11" s="1130"/>
      <c r="E11" s="1130"/>
      <c r="F11" s="1270"/>
      <c r="G11" s="1270"/>
      <c r="H11" s="1270"/>
    </row>
    <row customHeight="1" ht="54">
      <c r="A12" s="1130" t="s">
        <v>1976</v>
      </c>
      <c r="B12" s="1130"/>
      <c r="C12" s="1130" t="s">
        <v>1977</v>
      </c>
      <c r="D12" s="1130"/>
      <c r="E12" s="1130"/>
      <c r="F12" s="1270"/>
      <c r="G12" s="1270"/>
      <c r="H12" s="1270"/>
    </row>
    <row customHeight="1" ht="45">
      <c r="A13" s="1130" t="s">
        <v>1978</v>
      </c>
      <c r="B13" s="1130"/>
      <c r="C13" s="1130" t="s">
        <v>1979</v>
      </c>
      <c r="D13" s="1130"/>
      <c r="E13" s="1130"/>
      <c r="F13" s="1270"/>
      <c r="G13" s="1270"/>
      <c r="H13" s="1270"/>
    </row>
    <row customHeight="1" ht="117">
      <c r="A14" s="1130" t="s">
        <v>1980</v>
      </c>
      <c r="B14" s="1130"/>
      <c r="C14" s="1130" t="s">
        <v>1981</v>
      </c>
      <c r="D14" s="1130"/>
      <c r="E14" s="1130"/>
      <c r="F14" s="1270"/>
      <c r="G14" s="1270"/>
      <c r="H14" s="1270"/>
    </row>
    <row customHeight="1" ht="117">
      <c r="A15" s="1130" t="s">
        <v>1982</v>
      </c>
      <c r="B15" s="1130"/>
      <c r="C15" s="1130" t="s">
        <v>1983</v>
      </c>
      <c r="D15" s="1130"/>
      <c r="E15" s="1130"/>
      <c r="F15" s="1270"/>
      <c r="G15" s="1270"/>
      <c r="H15" s="1270"/>
    </row>
    <row customHeight="1" ht="63">
      <c r="A16" s="1130" t="s">
        <v>1984</v>
      </c>
      <c r="B16" s="1130"/>
      <c r="C16" s="1130" t="s">
        <v>1985</v>
      </c>
      <c r="D16" s="1130"/>
      <c r="E16" s="1130"/>
      <c r="F16" s="1270"/>
      <c r="G16" s="1270"/>
      <c r="H16" s="1270"/>
    </row>
    <row customHeight="1" ht="54">
      <c r="A17" s="1130" t="s">
        <v>1986</v>
      </c>
      <c r="B17" s="1130"/>
      <c r="C17" s="1268" t="s">
        <v>1987</v>
      </c>
      <c r="D17" s="1130"/>
      <c r="E17" s="1130"/>
      <c r="F17" s="1270"/>
      <c r="G17" s="1270"/>
      <c r="H17" s="1270"/>
    </row>
    <row customHeight="1" ht="27">
      <c r="A18" s="1130" t="s">
        <v>1988</v>
      </c>
      <c r="B18" s="1130"/>
      <c r="C18" s="1268" t="s">
        <v>1989</v>
      </c>
      <c r="D18" s="1130"/>
      <c r="E18" s="1130"/>
      <c r="F18" s="1270"/>
      <c r="G18" s="1270"/>
      <c r="H18" s="1270"/>
    </row>
    <row customHeight="1" ht="54">
      <c r="A19" s="1130" t="s">
        <v>1990</v>
      </c>
      <c r="B19" s="1130"/>
      <c r="C19" s="1268" t="s">
        <v>1991</v>
      </c>
      <c r="D19" s="1130"/>
      <c r="E19" s="1130"/>
      <c r="F19" s="1270"/>
      <c r="G19" s="1270"/>
      <c r="H19" s="1270"/>
    </row>
    <row customHeight="1" ht="36">
      <c r="A20" s="1130" t="s">
        <v>1992</v>
      </c>
      <c r="B20" s="1130"/>
      <c r="C20" s="1268" t="s">
        <v>1993</v>
      </c>
      <c r="D20" s="1130"/>
      <c r="E20" s="1130"/>
      <c r="F20" s="1270"/>
      <c r="G20" s="1270"/>
      <c r="H20" s="1270"/>
    </row>
    <row customHeight="1" ht="36">
      <c r="A21" s="1130" t="s">
        <v>1994</v>
      </c>
      <c r="B21" s="1130"/>
      <c r="C21" s="1268" t="s">
        <v>1995</v>
      </c>
      <c r="D21" s="1130"/>
      <c r="E21" s="1130"/>
      <c r="F21" s="1270"/>
      <c r="G21" s="1270"/>
      <c r="H21" s="1270"/>
    </row>
    <row customHeight="1" ht="27">
      <c r="A22" s="1130" t="s">
        <v>1996</v>
      </c>
      <c r="B22" s="1130"/>
      <c r="C22" s="1268" t="s">
        <v>1997</v>
      </c>
      <c r="D22" s="1130"/>
      <c r="E22" s="1130"/>
      <c r="F22" s="1270"/>
      <c r="G22" s="1270"/>
      <c r="H22" s="1270"/>
    </row>
    <row customHeight="1" ht="36">
      <c r="A23" s="1130" t="s">
        <v>1998</v>
      </c>
      <c r="B23" s="1130"/>
      <c r="C23" s="1268" t="s">
        <v>1999</v>
      </c>
      <c r="D23" s="1130"/>
      <c r="E23" s="1130"/>
      <c r="F23" s="1270"/>
      <c r="G23" s="1270"/>
      <c r="H23" s="1270"/>
    </row>
    <row customHeight="1" ht="28.5">
      <c r="A24" s="1130" t="s">
        <v>2000</v>
      </c>
      <c r="B24" s="1130"/>
      <c r="C24" s="1268" t="s">
        <v>2001</v>
      </c>
      <c r="D24" s="1130"/>
      <c r="E24" s="1130"/>
      <c r="F24" s="1270"/>
      <c r="G24" s="1270"/>
      <c r="H24" s="1270"/>
    </row>
    <row customHeight="1" ht="36">
      <c r="A25" s="1130" t="s">
        <v>2002</v>
      </c>
      <c r="B25" s="1130"/>
      <c r="C25" s="1268" t="s">
        <v>2003</v>
      </c>
      <c r="D25" s="1130"/>
      <c r="E25" s="1130"/>
      <c r="F25" s="1270"/>
      <c r="G25" s="1270"/>
      <c r="H25" s="1270"/>
    </row>
    <row customHeight="1" ht="27">
      <c r="A26" s="1130" t="s">
        <v>2004</v>
      </c>
      <c r="B26" s="1130"/>
      <c r="C26" s="1268" t="s">
        <v>2005</v>
      </c>
      <c r="D26" s="1130"/>
      <c r="E26" s="1130"/>
      <c r="F26" s="1270"/>
      <c r="G26" s="1270"/>
      <c r="H26" s="1270"/>
    </row>
    <row customHeight="1" ht="36">
      <c r="A27" s="1130" t="s">
        <v>2006</v>
      </c>
      <c r="B27" s="1130"/>
      <c r="C27" s="1268" t="s">
        <v>2007</v>
      </c>
      <c r="D27" s="1130"/>
      <c r="E27" s="1130"/>
      <c r="F27" s="1270"/>
      <c r="G27" s="1270"/>
      <c r="H27" s="1270"/>
    </row>
    <row customHeight="1" ht="28.5">
      <c r="A28" s="1130" t="s">
        <v>2008</v>
      </c>
      <c r="B28" s="1130"/>
      <c r="C28" s="1268" t="s">
        <v>2009</v>
      </c>
      <c r="D28" s="1130"/>
      <c r="E28" s="1130"/>
      <c r="F28" s="1270"/>
      <c r="G28" s="1270"/>
      <c r="H28" s="1270"/>
    </row>
    <row customHeight="1" ht="126">
      <c r="A29" s="1130" t="s">
        <v>2010</v>
      </c>
      <c r="B29" s="1130" t="s">
        <v>1581</v>
      </c>
      <c r="C29" s="1268" t="str">
        <f>IF(TEMPLATE_SPHERE="HEAT",D29,IF(TEMPLATE_SPHERE="TKO",H29,E29))</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D29" s="1130" t="s">
        <v>2011</v>
      </c>
      <c r="E29" s="1133"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теплоснабжения для производства товаров (оказания услуг) в сфере теплоснабжения, тарифы на которые подлежат регулированию</v>
      </c>
      <c r="F29" s="1270"/>
      <c r="G29" s="1270"/>
      <c r="H29" s="1130" t="s">
        <v>2012</v>
      </c>
    </row>
    <row customHeight="1" ht="36">
      <c r="A30" s="1130" t="s">
        <v>2013</v>
      </c>
      <c r="B30" s="1130"/>
      <c r="C30" s="1268" t="str">
        <f>IF(TEMPLATE_SPHERE="HEAT",D30,IF(TEMPLATE_SPHERE="TKO",H30,E30))</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D30" s="1130" t="s">
        <v>2014</v>
      </c>
      <c r="E30" s="1133"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теплоснабжения</v>
      </c>
      <c r="F30" s="1270"/>
      <c r="G30" s="1270"/>
      <c r="H30" s="1270"/>
    </row>
    <row customHeight="1" ht="54">
      <c r="A31" s="1130" t="s">
        <v>2015</v>
      </c>
      <c r="B31" s="1130"/>
      <c r="C31" s="1268" t="str">
        <f>IF(TEMPLATE_SPHERE="HEAT",D31,IF(TEMPLATE_SPHERE="TKO",H31,E31))</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D31" s="1130" t="s">
        <v>2016</v>
      </c>
      <c r="E31" s="1133"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31" s="1270"/>
      <c r="G31" s="1270"/>
      <c r="H31" s="1270"/>
    </row>
    <row customHeight="1" ht="198">
      <c r="A32" s="1130" t="s">
        <v>2017</v>
      </c>
      <c r="B32" s="1130"/>
      <c r="C32" s="1268" t="str">
        <f>IF(TEMPLATE_SPHERE="HEAT",D32,IF(TEMPLATE_SPHERE="TKO",H32,E32))</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D32" s="1130" t="s">
        <v>2018</v>
      </c>
      <c r="E32" s="1133"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теплоснабжения и отчетах об их исполнении</v>
      </c>
      <c r="F32" s="1270"/>
      <c r="G32" s="1270"/>
      <c r="H32" s="1130" t="s">
        <v>2019</v>
      </c>
    </row>
    <row customHeight="1" ht="9">
      <c r="A33" s="1130"/>
      <c r="B33" s="1130"/>
      <c r="C33" s="1268"/>
      <c r="D33" s="1130"/>
      <c r="E33" s="1130"/>
      <c r="F33" s="1270"/>
      <c r="G33" s="1270"/>
      <c r="H33" s="1270"/>
    </row>
    <row customHeight="1" ht="9">
      <c r="A34" s="1130"/>
      <c r="B34" s="1130" t="s">
        <v>1517</v>
      </c>
      <c r="C34" s="1268">
        <f>INDEX(TEMPLATE_NAME_FORM_LIST,B34,MATCH(TEMPLATE_SPHERE,TEMPLATE_SPHERE_LIST,0))</f>
        <v>0</v>
      </c>
      <c r="D34" s="1130"/>
      <c r="E34" s="1130"/>
      <c r="F34" s="1270"/>
      <c r="G34" s="1270"/>
      <c r="H34" s="1270"/>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77C0A6B1-1A14-40CD-F148-6CCD91026BEB}" mc:Ignorable="x14ac xr xr2 xr3">
  <sheetPr>
    <tabColor rgb="FFFFCC99"/>
  </sheetPr>
  <dimension ref="A1:AY154"/>
  <sheetViews>
    <sheetView topLeftCell="A1" showGridLines="0" workbookViewId="0">
      <selection activeCell="A1" sqref="A1"/>
    </sheetView>
  </sheetViews>
  <sheetFormatPr defaultColWidth="9.140625" customHeight="1" defaultRowHeight="9"/>
  <cols>
    <col min="1" max="2" style="16652" width="9.140625"/>
    <col min="3" max="7" style="16696" width="8.00390625" customWidth="1"/>
    <col min="8" max="12" style="16696" width="8.57421875" customWidth="1"/>
    <col min="13" max="14" style="16696" width="27.7109375" customWidth="1"/>
    <col min="15" max="19" style="16696" width="5.140625" customWidth="1"/>
    <col min="20" max="24" style="16696" width="27.7109375" customWidth="1"/>
    <col min="25" max="25" style="16697" width="1.8515625" customWidth="1"/>
    <col min="26" max="26" style="16652" width="27.7109375" customWidth="1"/>
    <col min="27" max="27" style="16698" width="27.7109375" customWidth="1"/>
    <col min="28" max="29" style="16652" width="27.7109375" customWidth="1"/>
    <col min="30" max="30" style="16652" width="3.8515625" customWidth="1"/>
    <col min="31" max="34" style="16652" width="9.140625"/>
  </cols>
  <sheetData>
    <row s="16654" customFormat="1" customHeight="1" ht="18">
      <c r="A1" s="1182"/>
      <c r="B1" s="1182"/>
      <c r="C1" s="1182" t="s">
        <v>2020</v>
      </c>
      <c r="D1" s="1182"/>
      <c r="E1" s="1182"/>
      <c r="F1" s="1182"/>
      <c r="G1" s="1182"/>
      <c r="H1" s="1182" t="s">
        <v>2021</v>
      </c>
      <c r="I1" s="1182"/>
      <c r="J1" s="1182"/>
      <c r="K1" s="1182"/>
      <c r="L1" s="1182"/>
      <c r="M1" s="1182" t="s">
        <v>2022</v>
      </c>
      <c r="N1" s="1182" t="s">
        <v>2023</v>
      </c>
      <c r="O1" s="2876" t="s">
        <v>2024</v>
      </c>
      <c r="P1" s="2876"/>
      <c r="Q1" s="2876"/>
      <c r="R1" s="2876"/>
      <c r="S1" s="2876"/>
      <c r="T1" s="2876" t="s">
        <v>2022</v>
      </c>
      <c r="U1" s="2876"/>
      <c r="V1" s="2876"/>
      <c r="W1" s="2876"/>
      <c r="X1" s="2876"/>
      <c r="Y1" s="1283"/>
      <c r="Z1" s="2876" t="s">
        <v>2025</v>
      </c>
      <c r="AA1" s="2876"/>
      <c r="AB1" s="2876"/>
      <c r="AC1" s="2876"/>
      <c r="AD1" s="2876"/>
    </row>
    <row customHeight="1" ht="18">
      <c r="A2" s="1130"/>
      <c r="B2" s="1130"/>
      <c r="C2" s="1125" t="s">
        <v>815</v>
      </c>
      <c r="D2" s="1125" t="s">
        <v>861</v>
      </c>
      <c r="E2" s="1125" t="s">
        <v>914</v>
      </c>
      <c r="F2" s="1125" t="s">
        <v>901</v>
      </c>
      <c r="G2" s="1125" t="s">
        <v>1629</v>
      </c>
      <c r="H2" s="1127"/>
      <c r="I2" s="1127"/>
      <c r="J2" s="1127"/>
      <c r="K2" s="1127"/>
      <c r="L2" s="1127"/>
      <c r="M2" s="1127"/>
      <c r="N2" s="1127"/>
      <c r="O2" s="1125" t="s">
        <v>815</v>
      </c>
      <c r="P2" s="1125" t="s">
        <v>861</v>
      </c>
      <c r="Q2" s="1125" t="s">
        <v>901</v>
      </c>
      <c r="R2" s="1125" t="s">
        <v>914</v>
      </c>
      <c r="S2" s="1125" t="s">
        <v>1629</v>
      </c>
      <c r="T2" s="1125" t="s">
        <v>815</v>
      </c>
      <c r="U2" s="1125" t="s">
        <v>861</v>
      </c>
      <c r="V2" s="1125" t="s">
        <v>901</v>
      </c>
      <c r="W2" s="1125" t="s">
        <v>914</v>
      </c>
      <c r="X2" s="1125" t="s">
        <v>1629</v>
      </c>
      <c r="Y2" s="1125"/>
      <c r="Z2" s="1125" t="s">
        <v>815</v>
      </c>
      <c r="AA2" s="1134" t="s">
        <v>861</v>
      </c>
      <c r="AB2" s="1125" t="s">
        <v>901</v>
      </c>
      <c r="AC2" s="1125" t="s">
        <v>914</v>
      </c>
      <c r="AD2" s="1125" t="s">
        <v>1629</v>
      </c>
    </row>
    <row customHeight="1" ht="162">
      <c r="A3" s="1129" t="s">
        <v>26</v>
      </c>
      <c r="B3" s="1129"/>
      <c r="C3" s="2880" t="s">
        <v>2026</v>
      </c>
      <c r="D3" s="2881"/>
      <c r="E3" s="2881"/>
      <c r="F3" s="2882"/>
      <c r="G3" s="1127"/>
      <c r="H3" s="1127"/>
      <c r="I3" s="1127"/>
      <c r="J3" s="1127"/>
      <c r="K3" s="1127"/>
      <c r="L3" s="1127"/>
      <c r="M3" s="1127"/>
      <c r="N3" s="1128" t="str">
        <f>INDEX(TEMPLATE_ORG_DATA_POINT,1,MATCH(TEMPLATE_SPHERE,TEMPLATE_SPHERE_LIST_FOR_NOTE,0))</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O3" s="1127"/>
      <c r="P3" s="1127"/>
      <c r="Q3" s="1127"/>
      <c r="R3" s="1127"/>
      <c r="S3" s="1127"/>
      <c r="T3" s="1127"/>
      <c r="U3" s="1127"/>
      <c r="V3" s="1127"/>
      <c r="W3" s="1127"/>
      <c r="X3" s="1127"/>
      <c r="Y3" s="1284"/>
      <c r="Z3" s="1130" t="s">
        <v>2027</v>
      </c>
      <c r="AA3" s="1127" t="s">
        <v>2028</v>
      </c>
      <c r="AB3" s="1130" t="s">
        <v>2029</v>
      </c>
      <c r="AC3" s="1130" t="s">
        <v>2030</v>
      </c>
      <c r="AD3" s="1130"/>
      <c r="AG3" s="1130"/>
      <c r="AH3" s="1130"/>
    </row>
    <row customHeight="1" ht="9">
      <c r="A4" s="1129"/>
      <c r="B4" s="1129"/>
      <c r="C4" s="1127"/>
      <c r="D4" s="1127"/>
      <c r="E4" s="1127"/>
      <c r="F4" s="1127"/>
      <c r="G4" s="1127"/>
      <c r="H4" s="1127"/>
      <c r="I4" s="1127"/>
      <c r="J4" s="1127"/>
      <c r="K4" s="1127"/>
      <c r="L4" s="1127"/>
      <c r="M4" s="1127"/>
      <c r="N4" s="1127"/>
      <c r="O4" s="1127"/>
      <c r="P4" s="1127"/>
      <c r="Q4" s="1127"/>
      <c r="R4" s="1127"/>
      <c r="S4" s="1127"/>
      <c r="T4" s="1127"/>
      <c r="U4" s="1127"/>
      <c r="V4" s="1127"/>
      <c r="W4" s="1127"/>
      <c r="X4" s="1127"/>
      <c r="Y4" s="1284"/>
      <c r="Z4" s="1130"/>
      <c r="AA4" s="1133"/>
      <c r="AB4" s="1130"/>
      <c r="AC4" s="1130"/>
      <c r="AD4" s="1130"/>
    </row>
    <row customHeight="1" ht="9">
      <c r="A5" s="1129"/>
      <c r="B5" s="1129"/>
      <c r="C5" s="1127"/>
      <c r="D5" s="1127"/>
      <c r="E5" s="1127"/>
      <c r="F5" s="1127"/>
      <c r="G5" s="1127"/>
      <c r="H5" s="1127"/>
      <c r="I5" s="1127"/>
      <c r="J5" s="1127"/>
      <c r="K5" s="1127"/>
      <c r="L5" s="1127"/>
      <c r="M5" s="1127"/>
      <c r="N5" s="1127"/>
      <c r="O5" s="1127"/>
      <c r="P5" s="1127"/>
      <c r="Q5" s="1127"/>
      <c r="R5" s="1127"/>
      <c r="S5" s="1127"/>
      <c r="T5" s="1127"/>
      <c r="U5" s="1127"/>
      <c r="V5" s="1127"/>
      <c r="W5" s="1127"/>
      <c r="X5" s="1127"/>
      <c r="Y5" s="1284"/>
      <c r="Z5" s="1130"/>
      <c r="AA5" s="1133"/>
      <c r="AB5" s="1130"/>
      <c r="AC5" s="1130"/>
      <c r="AD5" s="1130"/>
    </row>
    <row customHeight="1" ht="9">
      <c r="A6" s="1129"/>
      <c r="B6" s="1129"/>
      <c r="C6" s="1127"/>
      <c r="D6" s="1127"/>
      <c r="E6" s="1127"/>
      <c r="F6" s="1127"/>
      <c r="G6" s="1127"/>
      <c r="H6" s="1127"/>
      <c r="I6" s="1127"/>
      <c r="J6" s="1127"/>
      <c r="K6" s="1127"/>
      <c r="L6" s="1127"/>
      <c r="M6" s="1127"/>
      <c r="N6" s="1127"/>
      <c r="O6" s="1127"/>
      <c r="P6" s="1127"/>
      <c r="Q6" s="1127"/>
      <c r="R6" s="1127"/>
      <c r="S6" s="1127"/>
      <c r="T6" s="1127"/>
      <c r="U6" s="1127"/>
      <c r="V6" s="1127"/>
      <c r="W6" s="1127"/>
      <c r="X6" s="1127"/>
      <c r="Y6" s="1284"/>
      <c r="Z6" s="1130"/>
      <c r="AA6" s="1133"/>
      <c r="AB6" s="1130"/>
      <c r="AC6" s="1130"/>
      <c r="AD6" s="1130"/>
    </row>
    <row customHeight="1" ht="9">
      <c r="A7" s="1129"/>
      <c r="B7" s="1129"/>
      <c r="C7" s="1127"/>
      <c r="D7" s="1127"/>
      <c r="E7" s="1127"/>
      <c r="F7" s="1127"/>
      <c r="G7" s="1127"/>
      <c r="H7" s="1127"/>
      <c r="I7" s="1127"/>
      <c r="J7" s="1127"/>
      <c r="K7" s="1127"/>
      <c r="L7" s="1127"/>
      <c r="M7" s="1127"/>
      <c r="N7" s="1127"/>
      <c r="O7" s="1127"/>
      <c r="P7" s="1127"/>
      <c r="Q7" s="1127"/>
      <c r="R7" s="1127"/>
      <c r="S7" s="1127"/>
      <c r="T7" s="1127"/>
      <c r="U7" s="1127"/>
      <c r="V7" s="1127"/>
      <c r="W7" s="1127"/>
      <c r="X7" s="1127"/>
      <c r="Y7" s="1284"/>
      <c r="Z7" s="1130"/>
      <c r="AA7" s="1133"/>
      <c r="AB7" s="1130"/>
      <c r="AC7" s="1130"/>
      <c r="AD7" s="1130"/>
    </row>
    <row customHeight="1" ht="9">
      <c r="A8" s="1129"/>
      <c r="B8" s="1129"/>
      <c r="C8" s="1127"/>
      <c r="D8" s="1127"/>
      <c r="E8" s="1127"/>
      <c r="F8" s="1127"/>
      <c r="G8" s="1127"/>
      <c r="H8" s="1127"/>
      <c r="I8" s="1127"/>
      <c r="J8" s="1127"/>
      <c r="K8" s="1127"/>
      <c r="L8" s="1127"/>
      <c r="M8" s="1127"/>
      <c r="N8" s="1127"/>
      <c r="O8" s="1127"/>
      <c r="P8" s="1127"/>
      <c r="Q8" s="1127"/>
      <c r="R8" s="1127"/>
      <c r="S8" s="1127"/>
      <c r="T8" s="1127"/>
      <c r="U8" s="1127"/>
      <c r="V8" s="1127"/>
      <c r="W8" s="1127"/>
      <c r="X8" s="1127"/>
      <c r="Y8" s="1284"/>
      <c r="Z8" s="1130"/>
      <c r="AA8" s="1133"/>
      <c r="AB8" s="1130"/>
      <c r="AC8" s="1130"/>
      <c r="AD8" s="1130"/>
    </row>
    <row customHeight="1" ht="9">
      <c r="A9" s="1129"/>
      <c r="B9" s="1129"/>
      <c r="C9" s="1127"/>
      <c r="D9" s="1127"/>
      <c r="E9" s="1127"/>
      <c r="F9" s="1127"/>
      <c r="G9" s="1127"/>
      <c r="H9" s="1127"/>
      <c r="I9" s="1127"/>
      <c r="J9" s="1127"/>
      <c r="K9" s="1127"/>
      <c r="L9" s="1127"/>
      <c r="M9" s="1127"/>
      <c r="N9" s="1127"/>
      <c r="O9" s="1127"/>
      <c r="P9" s="1127"/>
      <c r="Q9" s="1127"/>
      <c r="R9" s="1127"/>
      <c r="S9" s="1127"/>
      <c r="T9" s="1127"/>
      <c r="U9" s="1127"/>
      <c r="V9" s="1127"/>
      <c r="W9" s="1127"/>
      <c r="X9" s="1127"/>
      <c r="Y9" s="1284"/>
      <c r="Z9" s="1130"/>
      <c r="AA9" s="1133"/>
      <c r="AB9" s="1130"/>
      <c r="AC9" s="1130"/>
      <c r="AD9" s="1130"/>
    </row>
    <row customHeight="1" ht="9">
      <c r="A10" s="1183"/>
      <c r="B10" s="1183"/>
      <c r="C10" s="1183"/>
      <c r="D10" s="1183"/>
      <c r="E10" s="1183"/>
      <c r="F10" s="1183"/>
      <c r="G10" s="1183"/>
      <c r="H10" s="1183"/>
      <c r="I10" s="1183"/>
      <c r="J10" s="1183"/>
      <c r="K10" s="1183"/>
      <c r="L10" s="1183"/>
      <c r="M10" s="1183"/>
      <c r="N10" s="1183"/>
      <c r="O10" s="1183"/>
      <c r="P10" s="1183"/>
      <c r="Q10" s="1183"/>
      <c r="R10" s="1183"/>
      <c r="S10" s="1183"/>
      <c r="T10" s="1183"/>
      <c r="U10" s="1183"/>
      <c r="V10" s="1183"/>
      <c r="W10" s="1183"/>
      <c r="X10" s="1183"/>
      <c r="Y10" s="1183"/>
      <c r="Z10" s="1183"/>
      <c r="AA10" s="1183"/>
      <c r="AB10" s="1183"/>
      <c r="AC10" s="1183"/>
      <c r="AD10" s="1183"/>
    </row>
    <row customHeight="1" ht="45">
      <c r="A11" s="2877" t="s">
        <v>33</v>
      </c>
      <c r="B11" s="1183">
        <v>1</v>
      </c>
      <c r="C11" s="2883" t="s">
        <v>1568</v>
      </c>
      <c r="D11" s="2883" t="s">
        <v>1564</v>
      </c>
      <c r="E11" s="2883" t="s">
        <v>1662</v>
      </c>
      <c r="F11" s="2883" t="s">
        <v>2031</v>
      </c>
      <c r="G11" s="2883"/>
      <c r="H11" s="1182" t="s">
        <v>2032</v>
      </c>
      <c r="I11" s="1182"/>
      <c r="J11" s="1182"/>
      <c r="K11" s="1182"/>
      <c r="L11" s="1182"/>
      <c r="M11" s="1128" t="str">
        <f>IF(TEMPLATE_SPHERE="HEAT",T11,U11)</f>
        <v>Количество поданных заявок</v>
      </c>
      <c r="N11" s="1128" t="str">
        <f>IF(TEMPLATE_SPHERE="HEAT",Z11,AA11)</f>
        <v>Указывается количество поданных заявок на подключение (технологическое присоединение) к системе теплоснабжения в течение отчетного квартала.</v>
      </c>
      <c r="O11" s="1127"/>
      <c r="P11" s="1127"/>
      <c r="Q11" s="1127"/>
      <c r="R11" s="1127"/>
      <c r="S11" s="1127"/>
      <c r="T11" s="1127" t="s">
        <v>2033</v>
      </c>
      <c r="U11" s="1127" t="s">
        <v>2034</v>
      </c>
      <c r="V11" s="1127"/>
      <c r="W11" s="1127"/>
      <c r="X11" s="1127"/>
      <c r="Y11" s="1284"/>
      <c r="Z11" s="1130" t="s">
        <v>2035</v>
      </c>
      <c r="AA11" s="1133"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1" s="1130"/>
      <c r="AC11" s="1130"/>
      <c r="AD11" s="1130"/>
    </row>
    <row customHeight="1" ht="45">
      <c r="A12" s="2877"/>
      <c r="B12" s="1183">
        <v>2</v>
      </c>
      <c r="C12" s="2884"/>
      <c r="D12" s="2884"/>
      <c r="E12" s="2884"/>
      <c r="F12" s="2884"/>
      <c r="G12" s="2884"/>
      <c r="H12" s="1182" t="s">
        <v>2036</v>
      </c>
      <c r="I12" s="1182"/>
      <c r="J12" s="1182"/>
      <c r="K12" s="1182"/>
      <c r="L12" s="1182"/>
      <c r="M12" s="1128" t="str">
        <f>IF(TEMPLATE_SPHERE="HEAT",T12,U12)</f>
        <v>Количество рассмотренных заявок</v>
      </c>
      <c r="N12" s="1128" t="str">
        <f>IF(TEMPLATE_SPHERE="HEAT",Z12,AA12)</f>
        <v>Указывается количество исполненных заявок на подключение (технологическое присоединение) к системе теплоснабжения в течение отчетного квартала.</v>
      </c>
      <c r="O12" s="1127"/>
      <c r="P12" s="1127"/>
      <c r="Q12" s="1127"/>
      <c r="R12" s="1127"/>
      <c r="S12" s="1127"/>
      <c r="T12" s="1127" t="s">
        <v>2037</v>
      </c>
      <c r="U12" s="1127" t="s">
        <v>2038</v>
      </c>
      <c r="V12" s="1127"/>
      <c r="W12" s="1127"/>
      <c r="X12" s="1127"/>
      <c r="Y12" s="1284"/>
      <c r="Z12" s="1130" t="s">
        <v>2039</v>
      </c>
      <c r="AA12" s="1133"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2" s="1130"/>
      <c r="AC12" s="1130"/>
      <c r="AD12" s="1130"/>
    </row>
    <row customHeight="1" ht="72">
      <c r="A13" s="2877"/>
      <c r="B13" s="1183">
        <v>3</v>
      </c>
      <c r="C13" s="2884"/>
      <c r="D13" s="2884"/>
      <c r="E13" s="2884"/>
      <c r="F13" s="2884"/>
      <c r="G13" s="2884"/>
      <c r="H13" s="2876" t="s">
        <v>2040</v>
      </c>
      <c r="I13" s="1182"/>
      <c r="J13" s="1182"/>
      <c r="K13" s="1182"/>
      <c r="L13" s="1182"/>
      <c r="M13" s="1128" t="str">
        <f>IF(TEMPLATE_SPHERE="HEAT",T13,U13)</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N13" s="1128" t="str">
        <f>IF(TEMPLATE_SPHERE="HEAT",Z13,AA13)</f>
        <v>Указывается количество заявок с решением об отказе в течение отчетного квартала.</v>
      </c>
      <c r="O13" s="1127"/>
      <c r="P13" s="1128"/>
      <c r="Q13" s="1128"/>
      <c r="R13" s="1128"/>
      <c r="S13" s="1127"/>
      <c r="T13" s="1127" t="s">
        <v>2041</v>
      </c>
      <c r="U13" s="1128" t="s">
        <v>2042</v>
      </c>
      <c r="V13" s="1128"/>
      <c r="W13" s="1128"/>
      <c r="X13" s="1127"/>
      <c r="Y13" s="1284"/>
      <c r="Z13" s="1130" t="s">
        <v>2043</v>
      </c>
      <c r="AA13" s="1133"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теплоснабжения, по которым организацией теплоснабжения отказано в заключении договора о подключении (технологическом присоединении) к централизованной системе теплоснабжения с указанием причин, в течение одного квартала.</v>
      </c>
      <c r="AB13" s="1130"/>
      <c r="AC13" s="1130"/>
      <c r="AD13" s="1130"/>
    </row>
    <row customHeight="1" ht="45">
      <c r="A14" s="2877"/>
      <c r="B14" s="1183">
        <v>4</v>
      </c>
      <c r="C14" s="2884"/>
      <c r="D14" s="2884"/>
      <c r="E14" s="2884"/>
      <c r="F14" s="2884"/>
      <c r="G14" s="2884"/>
      <c r="H14" s="2876"/>
      <c r="I14" s="1185"/>
      <c r="J14" s="1185"/>
      <c r="K14" s="1185"/>
      <c r="L14" s="1185"/>
      <c r="M14" s="1131" t="str">
        <f>IF(TEMPLATE_SPHERE="HEAT",T14,U14)</f>
        <v>Причины отказа в заключении договора о подключении (технологическом присоединении) к системе теплоснабжения</v>
      </c>
      <c r="N14" s="1128" t="str">
        <f>IF(TEMPLATE_SPHERE="HEAT",Z14,AA14)</f>
        <v>Указывается текстовое описание причин принятия решений.
Не заполняется в случае, если решения об отказе в течение отчетного периода не принимались.</v>
      </c>
      <c r="O14" s="1127"/>
      <c r="P14" s="1128"/>
      <c r="Q14" s="1128"/>
      <c r="R14" s="1128"/>
      <c r="S14" s="1127"/>
      <c r="T14" s="1127" t="s">
        <v>2044</v>
      </c>
      <c r="U14" s="1128"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теплоснабжения</v>
      </c>
      <c r="V14" s="1128"/>
      <c r="W14" s="1128"/>
      <c r="X14" s="1127"/>
      <c r="Y14" s="1284"/>
      <c r="Z14" s="1130" t="s">
        <v>2045</v>
      </c>
      <c r="AA14" s="1133" t="s">
        <v>2045</v>
      </c>
      <c r="AB14" s="1130"/>
      <c r="AC14" s="1130"/>
      <c r="AD14" s="1130"/>
    </row>
    <row customHeight="1" ht="108">
      <c r="A15" s="2877"/>
      <c r="B15" s="1183">
        <v>5</v>
      </c>
      <c r="C15" s="2884"/>
      <c r="D15" s="2884"/>
      <c r="E15" s="2884"/>
      <c r="F15" s="2884"/>
      <c r="G15" s="2884"/>
      <c r="H15" s="2878" t="s">
        <v>2046</v>
      </c>
      <c r="I15" s="1184"/>
      <c r="J15" s="1184"/>
      <c r="K15" s="1184"/>
      <c r="L15" s="1184"/>
      <c r="M15" s="1133" t="str">
        <f>IF(TEMPLATE_SPHERE="HEAT",T15,U15)</f>
        <v>Резерв мощности источников тепловой энергии, входящих в систему теплоснабжения, в течение одного квартала, в том числе:</v>
      </c>
      <c r="N15" s="1132" t="str">
        <f>IF(TEMPLATE_SPHERE="HEAT",Z15,AA15)</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5" s="1127"/>
      <c r="P15" s="1128"/>
      <c r="Q15" s="1128"/>
      <c r="R15" s="1128"/>
      <c r="S15" s="1127"/>
      <c r="T15" s="1127" t="s">
        <v>2047</v>
      </c>
      <c r="U15" s="1128"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теплоснабжения в течение одного квартала, в том числе:</v>
      </c>
      <c r="V15" s="1128"/>
      <c r="W15" s="1128"/>
      <c r="X15" s="1127"/>
      <c r="Y15" s="1284"/>
      <c r="Z15" s="1130" t="s">
        <v>2048</v>
      </c>
      <c r="AA15" s="1133"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теплоснабжения (совокупности централизованных систем теплоснабжения) в случае, если для них установлены одинаковые тарифы в сфере теплоснабжения.
В случае если регулируемыми организациями оказываются услуги теплоснабжения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AB15" s="1130"/>
      <c r="AC15" s="1130"/>
      <c r="AD15" s="1130"/>
    </row>
    <row customHeight="1" ht="108">
      <c r="A16" s="1183"/>
      <c r="B16" s="1183">
        <v>6</v>
      </c>
      <c r="C16" s="2885"/>
      <c r="D16" s="2885"/>
      <c r="E16" s="2885"/>
      <c r="F16" s="2885"/>
      <c r="G16" s="2885"/>
      <c r="H16" s="2879"/>
      <c r="I16" s="1246"/>
      <c r="J16" s="1246"/>
      <c r="K16" s="1246"/>
      <c r="L16" s="1246"/>
      <c r="M16" s="1176"/>
      <c r="N16" s="1132" t="str">
        <f>IF(TEMPLATE_SPHERE="HEAT",Z16,AA16)</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6" s="1127"/>
      <c r="P16" s="1128"/>
      <c r="Q16" s="1128"/>
      <c r="R16" s="1128"/>
      <c r="S16" s="1127"/>
      <c r="T16" s="1127"/>
      <c r="U16" s="1128"/>
      <c r="V16" s="1128"/>
      <c r="W16" s="1128"/>
      <c r="X16" s="1127"/>
      <c r="Y16" s="1284"/>
      <c r="Z16" s="1130" t="s">
        <v>2048</v>
      </c>
      <c r="AA16" s="1133"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теплоснабжения, тариф для которой не является отличным от тарифов других централизованных систем теплоснабжения регулируемой организации.
При использовании регулируемой организацией нескольких централизованных систем теплоснабжения информация о наличии свободной мощности (резерве мощности) на соответствующих объектах централизованных систем теплоснабжения публикуется в отношении каждой централизованной системы теплоснабжения в отдельных строках.</v>
      </c>
      <c r="AB16" s="1130"/>
      <c r="AC16" s="1130"/>
      <c r="AD16" s="1130"/>
    </row>
    <row customHeight="1" ht="9">
      <c r="A17" s="1183"/>
      <c r="B17" s="1183"/>
      <c r="C17" s="1183">
        <v>22</v>
      </c>
      <c r="D17" s="1183">
        <v>21</v>
      </c>
      <c r="E17" s="1183">
        <v>42</v>
      </c>
      <c r="F17" s="1183">
        <v>63</v>
      </c>
      <c r="G17" s="1183"/>
      <c r="H17" s="1183"/>
      <c r="I17" s="1183"/>
      <c r="J17" s="1183"/>
      <c r="K17" s="1183"/>
      <c r="L17" s="1183"/>
      <c r="M17" s="1183"/>
      <c r="N17" s="1183"/>
      <c r="O17" s="1183"/>
      <c r="P17" s="1183"/>
      <c r="Q17" s="1183"/>
      <c r="R17" s="1183"/>
      <c r="S17" s="1183"/>
      <c r="T17" s="1183"/>
      <c r="U17" s="1183"/>
      <c r="V17" s="1183"/>
      <c r="W17" s="1183"/>
      <c r="X17" s="1183"/>
      <c r="Y17" s="1183"/>
      <c r="Z17" s="1183"/>
      <c r="AA17" s="1183"/>
      <c r="AB17" s="1183"/>
      <c r="AC17" s="1183"/>
      <c r="AD17" s="1183"/>
    </row>
    <row customHeight="1" ht="27">
      <c r="A18" s="1129" t="s">
        <v>1665</v>
      </c>
      <c r="B18" s="1183">
        <v>1</v>
      </c>
      <c r="C18" s="1127" t="s">
        <v>2032</v>
      </c>
      <c r="D18" s="1251" t="s">
        <v>2032</v>
      </c>
      <c r="E18" s="1127" t="s">
        <v>2032</v>
      </c>
      <c r="F18" s="1127" t="s">
        <v>2032</v>
      </c>
      <c r="G18" s="1127"/>
      <c r="H18" s="1286"/>
      <c r="I18" s="1289">
        <f>INDEX(TEMPLATE_NUMBER_POINT_FHD,B18,MATCH(TEMPLATE_SPHERE,TEMPLATE_SPHERE_LIST_FOR_NOTE,0))</f>
        <v>1</v>
      </c>
      <c r="J18" s="1289" t="str">
        <f>INDEX(TEMPLATE_DATA_POINT_FHD,B18,MATCH(TEMPLATE_SPHERE,TEMPLATE_SPHERE_LIST_FOR_NOTE,0))</f>
        <v>Выручка от регулируемого вида деятельности с распределением по видам деятельности</v>
      </c>
      <c r="K18" s="1289" t="str">
        <f>INDEX(TEMPLATE_NOTE_POINT_FHD,B18,MATCH(TEMPLATE_SPHERE,TEMPLATE_SPHERE_LIST_FOR_NOTE,0))</f>
        <v>Указывается выручка от регулируемого вида деятельности с распределением по видам деятельности.</v>
      </c>
      <c r="L18" s="1128">
        <f>IF(I18=0,"",I18)</f>
        <v>1</v>
      </c>
      <c r="M18" s="1128" t="str">
        <f>IF(J18=0,"",J18)</f>
        <v>Выручка от регулируемого вида деятельности с распределением по видам деятельности</v>
      </c>
      <c r="N18" s="1128" t="str">
        <f>IF(K18=0,"",K18)</f>
        <v>Указывается выручка от регулируемого вида деятельности с распределением по видам деятельности.</v>
      </c>
      <c r="O18" s="1241">
        <v>1</v>
      </c>
      <c r="P18" s="1241">
        <v>1</v>
      </c>
      <c r="Q18" s="1241">
        <v>1</v>
      </c>
      <c r="R18" s="1241">
        <v>1</v>
      </c>
      <c r="S18" s="1241"/>
      <c r="T18" s="1248" t="s">
        <v>2049</v>
      </c>
      <c r="U18" s="1130" t="s">
        <v>2050</v>
      </c>
      <c r="V18" s="1130" t="s">
        <v>2051</v>
      </c>
      <c r="W18" s="1130" t="s">
        <v>2052</v>
      </c>
      <c r="X18" s="1127"/>
      <c r="Y18" s="1284"/>
      <c r="Z18" s="1130" t="s">
        <v>2053</v>
      </c>
      <c r="AA18" s="1133" t="s">
        <v>2054</v>
      </c>
      <c r="AB18" s="1133" t="s">
        <v>2054</v>
      </c>
      <c r="AC18" s="1133" t="s">
        <v>2054</v>
      </c>
      <c r="AD18" s="1130"/>
    </row>
    <row customHeight="1" ht="36">
      <c r="A19" s="1129"/>
      <c r="B19" s="1183">
        <v>2</v>
      </c>
      <c r="C19" s="1127" t="s">
        <v>2036</v>
      </c>
      <c r="D19" s="1251" t="s">
        <v>2036</v>
      </c>
      <c r="E19" s="1127" t="s">
        <v>2036</v>
      </c>
      <c r="F19" s="1127" t="s">
        <v>2036</v>
      </c>
      <c r="G19" s="1127"/>
      <c r="H19" s="1286"/>
      <c r="I19" s="1289">
        <f>INDEX(TEMPLATE_NUMBER_POINT_FHD,B19,MATCH(TEMPLATE_SPHERE,TEMPLATE_SPHERE_LIST_FOR_NOTE,0))</f>
        <v>2</v>
      </c>
      <c r="J19" s="1289" t="str">
        <f>INDEX(TEMPLATE_DATA_POINT_FHD,B19,MATCH(TEMPLATE_SPHERE,TEMPLATE_SPHERE_LIST_FOR_NOTE,0))</f>
        <v>Себестоимость производимых товаров (оказываемых услуг) по регулируемому виду деятельности, включая:</v>
      </c>
      <c r="K19" s="1289" t="str">
        <f>INDEX(TEMPLATE_NOTE_POINT_FHD,B19,MATCH(TEMPLATE_SPHERE,TEMPLATE_SPHERE_LIST_FOR_NOTE,0))</f>
        <v>Указывается суммарная себестоимость производимых товаров.</v>
      </c>
      <c r="L19" s="1128">
        <f>IF(I19=0,"",I19)</f>
        <v>2</v>
      </c>
      <c r="M19" s="1128" t="str">
        <f>IF(J19=0,"",J19)</f>
        <v>Себестоимость производимых товаров (оказываемых услуг) по регулируемому виду деятельности, включая:</v>
      </c>
      <c r="N19" s="1128" t="str">
        <f>IF(K19=0,"",K19)</f>
        <v>Указывается суммарная себестоимость производимых товаров.</v>
      </c>
      <c r="O19" s="1241">
        <v>2</v>
      </c>
      <c r="P19" s="1241">
        <v>2</v>
      </c>
      <c r="Q19" s="1241">
        <v>2</v>
      </c>
      <c r="R19" s="1241">
        <v>2</v>
      </c>
      <c r="S19" s="1241"/>
      <c r="T19" s="1248" t="s">
        <v>2055</v>
      </c>
      <c r="U19" s="1130" t="s">
        <v>2056</v>
      </c>
      <c r="V19" s="1130" t="s">
        <v>2057</v>
      </c>
      <c r="W19" s="1130" t="s">
        <v>2058</v>
      </c>
      <c r="X19" s="1127"/>
      <c r="Y19" s="1284"/>
      <c r="Z19" s="1130" t="s">
        <v>2059</v>
      </c>
      <c r="AA19" s="1133" t="s">
        <v>2059</v>
      </c>
      <c r="AB19" s="1133" t="s">
        <v>2059</v>
      </c>
      <c r="AC19" s="1133" t="s">
        <v>2059</v>
      </c>
      <c r="AD19" s="1130"/>
    </row>
    <row customHeight="1" ht="27">
      <c r="A20" s="1129"/>
      <c r="B20" s="1183">
        <v>3</v>
      </c>
      <c r="C20" s="1127">
        <v>1</v>
      </c>
      <c r="D20" s="1251"/>
      <c r="E20" s="1127"/>
      <c r="F20" s="1127"/>
      <c r="G20" s="1127"/>
      <c r="H20" s="1286"/>
      <c r="I20" s="1289" t="str">
        <f>INDEX(TEMPLATE_NUMBER_POINT_FHD,B20,MATCH(TEMPLATE_SPHERE,TEMPLATE_SPHERE_LIST_FOR_NOTE,0))</f>
        <v>2.1</v>
      </c>
      <c r="J20" s="1289" t="str">
        <f>INDEX(TEMPLATE_DATA_POINT_FHD,B20,MATCH(TEMPLATE_SPHERE,TEMPLATE_SPHERE_LIST_FOR_NOTE,0))</f>
        <v>Расходы на приобретаемую тепловую энергию (мощность), теплоноситель</v>
      </c>
      <c r="K20" s="1289">
        <f>INDEX(TEMPLATE_NOTE_POINT_FHD,B20,MATCH(TEMPLATE_SPHERE,TEMPLATE_SPHERE_LIST_FOR_NOTE,0))</f>
        <v>0</v>
      </c>
      <c r="L20" s="1128" t="str">
        <f>IF(I20=0,"",I20)</f>
        <v>2.1</v>
      </c>
      <c r="M20" s="1128" t="str">
        <f>IF(J20=0,"",J20)</f>
        <v>Расходы на приобретаемую тепловую энергию (мощность), теплоноситель</v>
      </c>
      <c r="N20" s="1128" t="str">
        <f>IF(K20=0,"",K20)</f>
        <v/>
      </c>
      <c r="O20" s="1241" t="s">
        <v>716</v>
      </c>
      <c r="P20" s="1241" t="s">
        <v>716</v>
      </c>
      <c r="Q20" s="1241" t="s">
        <v>716</v>
      </c>
      <c r="R20" s="1241" t="s">
        <v>716</v>
      </c>
      <c r="S20" s="1241"/>
      <c r="T20" s="1248" t="s">
        <v>2060</v>
      </c>
      <c r="U20" s="1130" t="s">
        <v>2061</v>
      </c>
      <c r="V20" s="1130" t="s">
        <v>2062</v>
      </c>
      <c r="W20" s="1130" t="s">
        <v>2063</v>
      </c>
      <c r="X20" s="1127"/>
      <c r="Y20" s="1284"/>
      <c r="Z20" s="1130"/>
      <c r="AA20" s="1133"/>
      <c r="AB20" s="1130"/>
      <c r="AC20" s="1130"/>
      <c r="AD20" s="1130"/>
    </row>
    <row customHeight="1" ht="36">
      <c r="A21" s="1129"/>
      <c r="B21" s="1183">
        <v>4</v>
      </c>
      <c r="C21" s="1127">
        <v>2</v>
      </c>
      <c r="D21" s="1251"/>
      <c r="E21" s="1127"/>
      <c r="F21" s="1127"/>
      <c r="G21" s="1127"/>
      <c r="H21" s="1286"/>
      <c r="I21" s="1289" t="str">
        <f>INDEX(TEMPLATE_NUMBER_POINT_FHD,B21,MATCH(TEMPLATE_SPHERE,TEMPLATE_SPHERE_LIST_FOR_NOTE,0))</f>
        <v>2.2</v>
      </c>
      <c r="J21" s="1289" t="str">
        <f>INDEX(TEMPLATE_DATA_POINT_FHD,B21,MATCH(TEMPLATE_SPHERE,TEMPLATE_SPHERE_LIST_FOR_NOTE,0))</f>
        <v>Расходы на топливо с указанием по каждому виду топлива стоимости (за единицу объема), объема и способа его приобретения, стоимости его доставки</v>
      </c>
      <c r="K21" s="1289" t="str">
        <f>INDEX(TEMPLATE_NOTE_POINT_FHD,B21,MATCH(TEMPLATE_SPHERE,TEMPLATE_SPHERE_LIST_FOR_NOTE,0))</f>
        <v>Указываются суммарные расходы на приобретение топлива всех видов.</v>
      </c>
      <c r="L21" s="1128" t="str">
        <f>IF(I21=0,"",I21)</f>
        <v>2.2</v>
      </c>
      <c r="M21" s="1128" t="str">
        <f>IF(J21=0,"",J21)</f>
        <v>Расходы на топливо с указанием по каждому виду топлива стоимости (за единицу объема), объема и способа его приобретения, стоимости его доставки</v>
      </c>
      <c r="N21" s="1128" t="str">
        <f>IF(K21=0,"",K21)</f>
        <v>Указываются суммарные расходы на приобретение топлива всех видов.</v>
      </c>
      <c r="O21" s="1241" t="s">
        <v>312</v>
      </c>
      <c r="P21" s="1241"/>
      <c r="Q21" s="1241"/>
      <c r="R21" s="1241"/>
      <c r="S21" s="1241"/>
      <c r="T21" s="1248" t="s">
        <v>2064</v>
      </c>
      <c r="U21" s="1130"/>
      <c r="V21" s="1130"/>
      <c r="W21" s="1130"/>
      <c r="X21" s="1127"/>
      <c r="Y21" s="1284"/>
      <c r="Z21" s="1130" t="s">
        <v>2065</v>
      </c>
      <c r="AA21" s="1133"/>
      <c r="AB21" s="1130"/>
      <c r="AC21" s="1130"/>
      <c r="AD21" s="1130"/>
    </row>
    <row customHeight="1" ht="36">
      <c r="A22" s="1129"/>
      <c r="B22" s="1183">
        <v>5</v>
      </c>
      <c r="C22" s="1127">
        <v>3</v>
      </c>
      <c r="D22" s="1251"/>
      <c r="E22" s="1127"/>
      <c r="F22" s="1127"/>
      <c r="G22" s="1175"/>
      <c r="H22" s="1242"/>
      <c r="I22" s="1289">
        <f>INDEX(TEMPLATE_NUMBER_POINT_FHD,B22,MATCH(TEMPLATE_SPHERE,TEMPLATE_SPHERE_LIST_FOR_NOTE,0))</f>
        <v>0</v>
      </c>
      <c r="J22" s="1289">
        <f>INDEX(TEMPLATE_DATA_POINT_FHD,B22,MATCH(TEMPLATE_SPHERE,TEMPLATE_SPHERE_LIST_FOR_NOTE,0))</f>
        <v>0</v>
      </c>
      <c r="K22" s="1289">
        <f>INDEX(TEMPLATE_NOTE_POINT_FHD,B22,MATCH(TEMPLATE_SPHERE,TEMPLATE_SPHERE_LIST_FOR_NOTE,0))</f>
        <v>0</v>
      </c>
      <c r="L22" s="1128" t="str">
        <f>IF(I22=0,"",I22)</f>
        <v/>
      </c>
      <c r="M22" s="1128" t="str">
        <f>IF(J22=0,"",J22)</f>
        <v/>
      </c>
      <c r="N22" s="1128" t="str">
        <f>IF(K22=0,"",K22)</f>
        <v/>
      </c>
      <c r="O22" s="1241"/>
      <c r="P22" s="1241"/>
      <c r="Q22" s="1241" t="s">
        <v>312</v>
      </c>
      <c r="R22" s="1241"/>
      <c r="S22" s="1241"/>
      <c r="T22" s="1248"/>
      <c r="U22" s="1130"/>
      <c r="V22" s="1130" t="s">
        <v>2066</v>
      </c>
      <c r="W22" s="1130"/>
      <c r="X22" s="1127"/>
      <c r="Y22" s="1284"/>
      <c r="Z22" s="1130"/>
      <c r="AA22" s="1133"/>
      <c r="AB22" s="1130"/>
      <c r="AC22" s="1130"/>
      <c r="AD22" s="1130"/>
    </row>
    <row customHeight="1" ht="27">
      <c r="A23" s="1129"/>
      <c r="B23" s="1183">
        <v>6</v>
      </c>
      <c r="C23" s="1127">
        <v>4</v>
      </c>
      <c r="D23" s="1251"/>
      <c r="E23" s="1127"/>
      <c r="F23" s="1127"/>
      <c r="G23" s="1175"/>
      <c r="H23" s="1242"/>
      <c r="I23" s="1289">
        <f>INDEX(TEMPLATE_NUMBER_POINT_FHD,B23,MATCH(TEMPLATE_SPHERE,TEMPLATE_SPHERE_LIST_FOR_NOTE,0))</f>
        <v>0</v>
      </c>
      <c r="J23" s="1289">
        <f>INDEX(TEMPLATE_DATA_POINT_FHD,B23,MATCH(TEMPLATE_SPHERE,TEMPLATE_SPHERE_LIST_FOR_NOTE,0))</f>
        <v>0</v>
      </c>
      <c r="K23" s="1289">
        <f>INDEX(TEMPLATE_NOTE_POINT_FHD,B23,MATCH(TEMPLATE_SPHERE,TEMPLATE_SPHERE_LIST_FOR_NOTE,0))</f>
        <v>0</v>
      </c>
      <c r="L23" s="1128" t="str">
        <f>IF(I23=0,"",I23)</f>
        <v/>
      </c>
      <c r="M23" s="1128" t="str">
        <f>IF(J23=0,"",J23)</f>
        <v/>
      </c>
      <c r="N23" s="1128" t="str">
        <f>IF(K23=0,"",K23)</f>
        <v/>
      </c>
      <c r="O23" s="1241"/>
      <c r="P23" s="1241"/>
      <c r="Q23" s="1241" t="s">
        <v>315</v>
      </c>
      <c r="R23" s="1241"/>
      <c r="S23" s="1241"/>
      <c r="T23" s="1248"/>
      <c r="U23" s="1130"/>
      <c r="V23" s="1130" t="s">
        <v>2067</v>
      </c>
      <c r="W23" s="1130"/>
      <c r="X23" s="1127"/>
      <c r="Y23" s="1284"/>
      <c r="Z23" s="1130"/>
      <c r="AA23" s="1133"/>
      <c r="AB23" s="1130"/>
      <c r="AC23" s="1130"/>
      <c r="AD23" s="1130"/>
    </row>
    <row customHeight="1" ht="36">
      <c r="A24" s="1129"/>
      <c r="B24" s="1183">
        <v>7</v>
      </c>
      <c r="C24" s="1127">
        <v>5</v>
      </c>
      <c r="D24" s="1251"/>
      <c r="E24" s="1127"/>
      <c r="F24" s="1127"/>
      <c r="G24" s="1175"/>
      <c r="H24" s="1242"/>
      <c r="I24" s="1289">
        <f>INDEX(TEMPLATE_NUMBER_POINT_FHD,B24,MATCH(TEMPLATE_SPHERE,TEMPLATE_SPHERE_LIST_FOR_NOTE,0))</f>
        <v>0</v>
      </c>
      <c r="J24" s="1289">
        <f>INDEX(TEMPLATE_DATA_POINT_FHD,B24,MATCH(TEMPLATE_SPHERE,TEMPLATE_SPHERE_LIST_FOR_NOTE,0))</f>
        <v>0</v>
      </c>
      <c r="K24" s="1289">
        <f>INDEX(TEMPLATE_NOTE_POINT_FHD,B24,MATCH(TEMPLATE_SPHERE,TEMPLATE_SPHERE_LIST_FOR_NOTE,0))</f>
        <v>0</v>
      </c>
      <c r="L24" s="1128" t="str">
        <f>IF(I24=0,"",I24)</f>
        <v/>
      </c>
      <c r="M24" s="1128" t="str">
        <f>IF(J24=0,"",J24)</f>
        <v/>
      </c>
      <c r="N24" s="1128" t="str">
        <f>IF(K24=0,"",K24)</f>
        <v/>
      </c>
      <c r="O24" s="1241"/>
      <c r="P24" s="1241"/>
      <c r="Q24" s="1241" t="s">
        <v>736</v>
      </c>
      <c r="R24" s="1241"/>
      <c r="S24" s="1241"/>
      <c r="T24" s="1248"/>
      <c r="U24" s="1130"/>
      <c r="V24" s="1130" t="s">
        <v>2068</v>
      </c>
      <c r="W24" s="1130"/>
      <c r="X24" s="1127"/>
      <c r="Y24" s="1284"/>
      <c r="Z24" s="1130"/>
      <c r="AA24" s="1133"/>
      <c r="AB24" s="1130"/>
      <c r="AC24" s="1130"/>
      <c r="AD24" s="1130"/>
    </row>
    <row customHeight="1" ht="36">
      <c r="A25" s="1129"/>
      <c r="B25" s="1183">
        <v>8</v>
      </c>
      <c r="C25" s="1127">
        <v>6</v>
      </c>
      <c r="D25" s="1251"/>
      <c r="E25" s="1127"/>
      <c r="F25" s="1127"/>
      <c r="G25" s="1175"/>
      <c r="H25" s="1242"/>
      <c r="I25" s="1289" t="str">
        <f>INDEX(TEMPLATE_NUMBER_POINT_FHD,B25,MATCH(TEMPLATE_SPHERE,TEMPLATE_SPHERE_LIST_FOR_NOTE,0))</f>
        <v>2.3</v>
      </c>
      <c r="J25" s="1289" t="str">
        <f>INDEX(TEMPLATE_DATA_POINT_FHD,B25,MATCH(TEMPLATE_SPHERE,TEMPLATE_SPHERE_LIST_FOR_NOTE,0))</f>
        <v>Расходы на приобретаемую электрическую энергию (мощность), используемую в технологическом процессе</v>
      </c>
      <c r="K25" s="1289">
        <f>INDEX(TEMPLATE_NOTE_POINT_FHD,B25,MATCH(TEMPLATE_SPHERE,TEMPLATE_SPHERE_LIST_FOR_NOTE,0))</f>
        <v>0</v>
      </c>
      <c r="L25" s="1128" t="str">
        <f>IF(I25=0,"",I25)</f>
        <v>2.3</v>
      </c>
      <c r="M25" s="1128" t="str">
        <f>IF(J25=0,"",J25)</f>
        <v>Расходы на приобретаемую электрическую энергию (мощность), используемую в технологическом процессе</v>
      </c>
      <c r="N25" s="1128" t="str">
        <f>IF(K25=0,"",K25)</f>
        <v/>
      </c>
      <c r="O25" s="1241" t="s">
        <v>315</v>
      </c>
      <c r="P25" s="1241" t="s">
        <v>312</v>
      </c>
      <c r="Q25" s="1241" t="s">
        <v>743</v>
      </c>
      <c r="R25" s="1241" t="s">
        <v>312</v>
      </c>
      <c r="S25" s="1241"/>
      <c r="T25" s="1248" t="s">
        <v>2069</v>
      </c>
      <c r="U25" s="1130" t="s">
        <v>2069</v>
      </c>
      <c r="V25" s="1130" t="s">
        <v>2069</v>
      </c>
      <c r="W25" s="1130" t="s">
        <v>2069</v>
      </c>
      <c r="X25" s="1127"/>
      <c r="Y25" s="1284"/>
      <c r="Z25" s="1130"/>
      <c r="AA25" s="1133"/>
      <c r="AB25" s="1130"/>
      <c r="AC25" s="1130"/>
      <c r="AD25" s="1130"/>
    </row>
    <row customHeight="1" ht="18">
      <c r="A26" s="1129"/>
      <c r="B26" s="1183">
        <v>9</v>
      </c>
      <c r="C26" s="1127" t="s">
        <v>660</v>
      </c>
      <c r="D26" s="1251"/>
      <c r="E26" s="1127"/>
      <c r="F26" s="1127"/>
      <c r="G26" s="1175"/>
      <c r="H26" s="1242"/>
      <c r="I26" s="1289" t="str">
        <f>INDEX(TEMPLATE_NUMBER_POINT_FHD,B26,MATCH(TEMPLATE_SPHERE,TEMPLATE_SPHERE_LIST_FOR_NOTE,0))</f>
        <v>2.3.1</v>
      </c>
      <c r="J26" s="1289" t="str">
        <f>INDEX(TEMPLATE_DATA_POINT_FHD,B26,MATCH(TEMPLATE_SPHERE,TEMPLATE_SPHERE_LIST_FOR_NOTE,0))</f>
        <v>Средневзвешенная стоимость 1 кВт.ч (с учетом мощности)</v>
      </c>
      <c r="K26" s="1289">
        <f>INDEX(TEMPLATE_NOTE_POINT_FHD,B26,MATCH(TEMPLATE_SPHERE,TEMPLATE_SPHERE_LIST_FOR_NOTE,0))</f>
        <v>0</v>
      </c>
      <c r="L26" s="1128" t="str">
        <f>IF(I26=0,"",I26)</f>
        <v>2.3.1</v>
      </c>
      <c r="M26" s="1128" t="str">
        <f>IF(J26=0,"",J26)</f>
        <v>Средневзвешенная стоимость 1 кВт.ч (с учетом мощности)</v>
      </c>
      <c r="N26" s="1128" t="str">
        <f>IF(K26=0,"",K26)</f>
        <v/>
      </c>
      <c r="O26" s="1241" t="s">
        <v>732</v>
      </c>
      <c r="P26" s="1241" t="s">
        <v>726</v>
      </c>
      <c r="Q26" s="1241" t="s">
        <v>2070</v>
      </c>
      <c r="R26" s="1241" t="s">
        <v>726</v>
      </c>
      <c r="S26" s="1241"/>
      <c r="T26" s="1248" t="str">
        <f>"Средневзвешенная стоимость 1 кВт.ч"&amp;IF(TITLE_TYPE_ORG="Регулируемая организация"," (с учетом мощности)","")</f>
        <v>Средневзвешенная стоимость 1 кВт.ч (с учетом мощности)</v>
      </c>
      <c r="U26" s="1248" t="s">
        <v>2071</v>
      </c>
      <c r="V26" s="1248" t="s">
        <v>2071</v>
      </c>
      <c r="W26" s="1248" t="s">
        <v>2071</v>
      </c>
      <c r="X26" s="1127"/>
      <c r="Y26" s="1284"/>
      <c r="Z26" s="1130"/>
      <c r="AA26" s="1133"/>
      <c r="AB26" s="1130"/>
      <c r="AC26" s="1130"/>
      <c r="AD26" s="1130"/>
    </row>
    <row customHeight="1" ht="18">
      <c r="A27" s="1129"/>
      <c r="B27" s="1183">
        <v>10</v>
      </c>
      <c r="C27" s="1127" t="s">
        <v>664</v>
      </c>
      <c r="D27" s="1251"/>
      <c r="E27" s="1127"/>
      <c r="F27" s="1127"/>
      <c r="G27" s="1175"/>
      <c r="H27" s="1242"/>
      <c r="I27" s="1289" t="str">
        <f>INDEX(TEMPLATE_NUMBER_POINT_FHD,B27,MATCH(TEMPLATE_SPHERE,TEMPLATE_SPHERE_LIST_FOR_NOTE,0))</f>
        <v>2.3.2</v>
      </c>
      <c r="J27" s="1289" t="str">
        <f>INDEX(TEMPLATE_DATA_POINT_FHD,B27,MATCH(TEMPLATE_SPHERE,TEMPLATE_SPHERE_LIST_FOR_NOTE,0))</f>
        <v>Объём приобретения электрической энергии</v>
      </c>
      <c r="K27" s="1289">
        <f>INDEX(TEMPLATE_NOTE_POINT_FHD,B27,MATCH(TEMPLATE_SPHERE,TEMPLATE_SPHERE_LIST_FOR_NOTE,0))</f>
        <v>0</v>
      </c>
      <c r="L27" s="1128" t="str">
        <f>IF(I27=0,"",I27)</f>
        <v>2.3.2</v>
      </c>
      <c r="M27" s="1128" t="str">
        <f>IF(J27=0,"",J27)</f>
        <v>Объём приобретения электрической энергии</v>
      </c>
      <c r="N27" s="1128" t="str">
        <f>IF(K27=0,"",K27)</f>
        <v/>
      </c>
      <c r="O27" s="1241" t="s">
        <v>734</v>
      </c>
      <c r="P27" s="1241" t="s">
        <v>728</v>
      </c>
      <c r="Q27" s="1241" t="s">
        <v>2072</v>
      </c>
      <c r="R27" s="1241" t="s">
        <v>728</v>
      </c>
      <c r="S27" s="1241"/>
      <c r="T27" s="1248" t="s">
        <v>2073</v>
      </c>
      <c r="U27" s="1248" t="s">
        <v>2073</v>
      </c>
      <c r="V27" s="1248" t="s">
        <v>2073</v>
      </c>
      <c r="W27" s="1248" t="s">
        <v>2073</v>
      </c>
      <c r="X27" s="1127"/>
      <c r="Y27" s="1284"/>
      <c r="Z27" s="1130"/>
      <c r="AA27" s="1133"/>
      <c r="AB27" s="1130"/>
      <c r="AC27" s="1130"/>
      <c r="AD27" s="1130"/>
    </row>
    <row customHeight="1" ht="27">
      <c r="A28" s="1129"/>
      <c r="B28" s="1183">
        <v>11</v>
      </c>
      <c r="C28" s="1127">
        <v>7</v>
      </c>
      <c r="D28" s="1251"/>
      <c r="E28" s="1127"/>
      <c r="F28" s="1127"/>
      <c r="G28" s="1175"/>
      <c r="H28" s="1242"/>
      <c r="I28" s="1289" t="str">
        <f>INDEX(TEMPLATE_NUMBER_POINT_FHD,B28,MATCH(TEMPLATE_SPHERE,TEMPLATE_SPHERE_LIST_FOR_NOTE,0))</f>
        <v>2.4</v>
      </c>
      <c r="J28" s="1289" t="str">
        <f>INDEX(TEMPLATE_DATA_POINT_FHD,B28,MATCH(TEMPLATE_SPHERE,TEMPLATE_SPHERE_LIST_FOR_NOTE,0))</f>
        <v>Расходы на приобретение холодной воды, используемой в технологическом процессе</v>
      </c>
      <c r="K28" s="1289">
        <f>INDEX(TEMPLATE_NOTE_POINT_FHD,B28,MATCH(TEMPLATE_SPHERE,TEMPLATE_SPHERE_LIST_FOR_NOTE,0))</f>
        <v>0</v>
      </c>
      <c r="L28" s="1128" t="str">
        <f>IF(I28=0,"",I28)</f>
        <v>2.4</v>
      </c>
      <c r="M28" s="1128" t="str">
        <f>IF(J28=0,"",J28)</f>
        <v>Расходы на приобретение холодной воды, используемой в технологическом процессе</v>
      </c>
      <c r="N28" s="1128" t="str">
        <f>IF(K28=0,"",K28)</f>
        <v/>
      </c>
      <c r="O28" s="1241" t="s">
        <v>736</v>
      </c>
      <c r="P28" s="1241"/>
      <c r="Q28" s="1241"/>
      <c r="R28" s="1241"/>
      <c r="S28" s="1241"/>
      <c r="T28" s="1248" t="s">
        <v>2074</v>
      </c>
      <c r="U28" s="1130"/>
      <c r="V28" s="1130"/>
      <c r="W28" s="1130"/>
      <c r="X28" s="1127"/>
      <c r="Y28" s="1284"/>
      <c r="Z28" s="1130"/>
      <c r="AA28" s="1133"/>
      <c r="AB28" s="1130"/>
      <c r="AC28" s="1130"/>
      <c r="AD28" s="1130"/>
    </row>
    <row customHeight="1" ht="27">
      <c r="A29" s="1129"/>
      <c r="B29" s="1183">
        <v>12</v>
      </c>
      <c r="C29" s="1127">
        <v>8</v>
      </c>
      <c r="D29" s="1251"/>
      <c r="E29" s="1127"/>
      <c r="F29" s="1127"/>
      <c r="G29" s="1175"/>
      <c r="H29" s="1242"/>
      <c r="I29" s="1289" t="str">
        <f>INDEX(TEMPLATE_NUMBER_POINT_FHD,B29,MATCH(TEMPLATE_SPHERE,TEMPLATE_SPHERE_LIST_FOR_NOTE,0))</f>
        <v>2.5</v>
      </c>
      <c r="J29" s="1289" t="str">
        <f>INDEX(TEMPLATE_DATA_POINT_FHD,B29,MATCH(TEMPLATE_SPHERE,TEMPLATE_SPHERE_LIST_FOR_NOTE,0))</f>
        <v>Расходы на  химические реагенты, используемые в технологическом процессе</v>
      </c>
      <c r="K29" s="1289">
        <f>INDEX(TEMPLATE_NOTE_POINT_FHD,B29,MATCH(TEMPLATE_SPHERE,TEMPLATE_SPHERE_LIST_FOR_NOTE,0))</f>
        <v>0</v>
      </c>
      <c r="L29" s="1128" t="str">
        <f>IF(I29=0,"",I29)</f>
        <v>2.5</v>
      </c>
      <c r="M29" s="1128" t="str">
        <f>IF(J29=0,"",J29)</f>
        <v>Расходы на  химические реагенты, используемые в технологическом процессе</v>
      </c>
      <c r="N29" s="1128" t="str">
        <f>IF(K29=0,"",K29)</f>
        <v/>
      </c>
      <c r="O29" s="1241" t="s">
        <v>743</v>
      </c>
      <c r="P29" s="1241" t="s">
        <v>315</v>
      </c>
      <c r="Q29" s="1241"/>
      <c r="R29" s="1241" t="s">
        <v>315</v>
      </c>
      <c r="S29" s="1241"/>
      <c r="T29" s="1248" t="str">
        <f>"Расходы на  хим"&amp;IF(TITLE_TYPE_ORG="Регулируемая организация","ические",".")&amp;" реагенты, используемые в технологическом процессе"</f>
        <v>Расходы на  химические реагенты, используемые в технологическом процессе</v>
      </c>
      <c r="U29" s="1130" t="s">
        <v>2075</v>
      </c>
      <c r="V29" s="1130"/>
      <c r="W29" s="1130" t="s">
        <v>2075</v>
      </c>
      <c r="X29" s="1127"/>
      <c r="Y29" s="1284"/>
      <c r="Z29" s="1130"/>
      <c r="AA29" s="1133"/>
      <c r="AB29" s="1130"/>
      <c r="AC29" s="1130"/>
      <c r="AD29" s="1130"/>
    </row>
    <row customHeight="1" ht="54">
      <c r="A30" s="1129"/>
      <c r="B30" s="1183">
        <v>13</v>
      </c>
      <c r="C30" s="1127">
        <v>9</v>
      </c>
      <c r="D30" s="1251"/>
      <c r="E30" s="1127"/>
      <c r="F30" s="1127"/>
      <c r="G30" s="1175"/>
      <c r="H30" s="1242"/>
      <c r="I30" s="1289" t="str">
        <f>INDEX(TEMPLATE_NUMBER_POINT_FHD,B30,MATCH(TEMPLATE_SPHERE,TEMPLATE_SPHERE_LIST_FOR_NOTE,0))</f>
        <v>2.6</v>
      </c>
      <c r="J30" s="1289" t="str">
        <f>INDEX(TEMPLATE_DATA_POINT_FHD,B30,MATCH(TEMPLATE_SPHERE,TEMPLATE_SPHERE_LIST_FOR_NOTE,0))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1289">
        <f>INDEX(TEMPLATE_NOTE_POINT_FHD,B30,MATCH(TEMPLATE_SPHERE,TEMPLATE_SPHERE_LIST_FOR_NOTE,0))</f>
        <v>0</v>
      </c>
      <c r="L30" s="1128" t="str">
        <f>IF(I30=0,"",I30)</f>
        <v>2.6</v>
      </c>
      <c r="M30" s="1128" t="str">
        <f>IF(J30=0,"",J30)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1128" t="str">
        <f>IF(K30=0,"",K30)</f>
        <v/>
      </c>
      <c r="O30" s="1241" t="s">
        <v>745</v>
      </c>
      <c r="P30" s="1241" t="s">
        <v>736</v>
      </c>
      <c r="Q30" s="1241" t="s">
        <v>745</v>
      </c>
      <c r="R30" s="1241" t="s">
        <v>736</v>
      </c>
      <c r="S30" s="1241"/>
      <c r="T30" s="1248" t="s">
        <v>2076</v>
      </c>
      <c r="U30" s="1130" t="s">
        <v>2076</v>
      </c>
      <c r="V30" s="1130" t="s">
        <v>2076</v>
      </c>
      <c r="W30" s="1130" t="s">
        <v>2076</v>
      </c>
      <c r="X30" s="1127"/>
      <c r="Y30" s="1284"/>
      <c r="Z30" s="1130"/>
      <c r="AA30" s="1133" t="s">
        <v>2077</v>
      </c>
      <c r="AB30" s="1133" t="s">
        <v>2077</v>
      </c>
      <c r="AC30" s="1133" t="s">
        <v>2077</v>
      </c>
      <c r="AD30" s="1130"/>
    </row>
    <row customHeight="1" ht="18">
      <c r="A31" s="1129"/>
      <c r="B31" s="1183">
        <v>14</v>
      </c>
      <c r="C31" s="1127" t="s">
        <v>2078</v>
      </c>
      <c r="D31" s="1251"/>
      <c r="E31" s="1127"/>
      <c r="F31" s="1127"/>
      <c r="G31" s="1175"/>
      <c r="H31" s="1242"/>
      <c r="I31" s="1289" t="str">
        <f>INDEX(TEMPLATE_NUMBER_POINT_FHD,B31,MATCH(TEMPLATE_SPHERE,TEMPLATE_SPHERE_LIST_FOR_NOTE,0))</f>
        <v>2.6.1</v>
      </c>
      <c r="J31" s="1289" t="str">
        <f>INDEX(TEMPLATE_DATA_POINT_FHD,B31,MATCH(TEMPLATE_SPHERE,TEMPLATE_SPHERE_LIST_FOR_NOTE,0))</f>
        <v>Расходы на оплату труда основного производственного персонала</v>
      </c>
      <c r="K31" s="1289">
        <f>INDEX(TEMPLATE_NOTE_POINT_FHD,B31,MATCH(TEMPLATE_SPHERE,TEMPLATE_SPHERE_LIST_FOR_NOTE,0))</f>
        <v>0</v>
      </c>
      <c r="L31" s="1128" t="str">
        <f>IF(I31=0,"",I31)</f>
        <v>2.6.1</v>
      </c>
      <c r="M31" s="1128" t="str">
        <f>IF(J31=0,"",J31)</f>
        <v>Расходы на оплату труда основного производственного персонала</v>
      </c>
      <c r="N31" s="1128" t="str">
        <f>IF(K31=0,"",K31)</f>
        <v/>
      </c>
      <c r="O31" s="1241" t="s">
        <v>2079</v>
      </c>
      <c r="P31" s="1241" t="s">
        <v>739</v>
      </c>
      <c r="Q31" s="1241" t="s">
        <v>2079</v>
      </c>
      <c r="R31" s="1241" t="s">
        <v>739</v>
      </c>
      <c r="S31" s="1241"/>
      <c r="T31" s="1249" t="s">
        <v>2080</v>
      </c>
      <c r="U31" s="1130" t="s">
        <v>2080</v>
      </c>
      <c r="V31" s="1130" t="s">
        <v>2080</v>
      </c>
      <c r="W31" s="1130" t="s">
        <v>2080</v>
      </c>
      <c r="X31" s="1127"/>
      <c r="Y31" s="1284"/>
      <c r="Z31" s="1130"/>
      <c r="AA31" s="1133"/>
      <c r="AB31" s="1133"/>
      <c r="AC31" s="1133"/>
      <c r="AD31" s="1130"/>
    </row>
    <row customHeight="1" ht="36">
      <c r="A32" s="1129"/>
      <c r="B32" s="1183">
        <v>15</v>
      </c>
      <c r="C32" s="1127" t="s">
        <v>2081</v>
      </c>
      <c r="D32" s="1251"/>
      <c r="E32" s="1127"/>
      <c r="F32" s="1127"/>
      <c r="G32" s="1175"/>
      <c r="H32" s="1242"/>
      <c r="I32" s="1289" t="str">
        <f>INDEX(TEMPLATE_NUMBER_POINT_FHD,B32,MATCH(TEMPLATE_SPHERE,TEMPLATE_SPHERE_LIST_FOR_NOTE,0))</f>
        <v>2.6.2</v>
      </c>
      <c r="J32" s="1289" t="str">
        <f>INDEX(TEMPLATE_DATA_POINT_FHD,B32,MATCH(TEMPLATE_SPHERE,TEMPLATE_SPHERE_LIST_FOR_NOTE,0))</f>
        <v>Страховые взносы на обязательное социальное страхование, выплачиваемые из фонда оплаты труда основного производственного персонала</v>
      </c>
      <c r="K32" s="1289">
        <f>INDEX(TEMPLATE_NOTE_POINT_FHD,B32,MATCH(TEMPLATE_SPHERE,TEMPLATE_SPHERE_LIST_FOR_NOTE,0))</f>
        <v>0</v>
      </c>
      <c r="L32" s="1128" t="str">
        <f>IF(I32=0,"",I32)</f>
        <v>2.6.2</v>
      </c>
      <c r="M32" s="1128" t="str">
        <f>IF(J32=0,"",J32)</f>
        <v>Страховые взносы на обязательное социальное страхование, выплачиваемые из фонда оплаты труда основного производственного персонала</v>
      </c>
      <c r="N32" s="1128" t="str">
        <f>IF(K32=0,"",K32)</f>
        <v/>
      </c>
      <c r="O32" s="1241" t="s">
        <v>2082</v>
      </c>
      <c r="P32" s="1241" t="s">
        <v>741</v>
      </c>
      <c r="Q32" s="1241" t="s">
        <v>2082</v>
      </c>
      <c r="R32" s="1241" t="s">
        <v>741</v>
      </c>
      <c r="S32" s="1241"/>
      <c r="T32" s="1250"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Страховые взносы на обязательное социальное страхование, выплачиваемые из фонда оплаты труда основного производственного персонала</v>
      </c>
      <c r="U32" s="1130" t="s">
        <v>2083</v>
      </c>
      <c r="V32" s="1130" t="s">
        <v>2083</v>
      </c>
      <c r="W32" s="1130" t="s">
        <v>2083</v>
      </c>
      <c r="X32" s="1127"/>
      <c r="Y32" s="1284"/>
      <c r="Z32" s="1130"/>
      <c r="AA32" s="1133"/>
      <c r="AB32" s="1133"/>
      <c r="AC32" s="1133"/>
      <c r="AD32" s="1130"/>
    </row>
    <row customHeight="1" ht="45">
      <c r="A33" s="1129"/>
      <c r="B33" s="1183">
        <v>16</v>
      </c>
      <c r="C33" s="1127">
        <v>10</v>
      </c>
      <c r="D33" s="1251"/>
      <c r="E33" s="1127"/>
      <c r="F33" s="1127"/>
      <c r="G33" s="1175"/>
      <c r="H33" s="1242"/>
      <c r="I33" s="1289" t="str">
        <f>INDEX(TEMPLATE_NUMBER_POINT_FHD,B33,MATCH(TEMPLATE_SPHERE,TEMPLATE_SPHERE_LIST_FOR_NOTE,0))</f>
        <v>2.7</v>
      </c>
      <c r="J33" s="1289" t="str">
        <f>INDEX(TEMPLATE_DATA_POINT_FHD,B33,MATCH(TEMPLATE_SPHERE,TEMPLATE_SPHERE_LIST_FOR_NOTE,0))</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1289">
        <f>INDEX(TEMPLATE_NOTE_POINT_FHD,B33,MATCH(TEMPLATE_SPHERE,TEMPLATE_SPHERE_LIST_FOR_NOTE,0))</f>
        <v>0</v>
      </c>
      <c r="L33" s="1128" t="str">
        <f>IF(I33=0,"",I33)</f>
        <v>2.7</v>
      </c>
      <c r="M33" s="1128" t="str">
        <f>IF(J33=0,"",J33)</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1128" t="str">
        <f>IF(K33=0,"",K33)</f>
        <v/>
      </c>
      <c r="O33" s="1241" t="s">
        <v>747</v>
      </c>
      <c r="P33" s="1241" t="s">
        <v>743</v>
      </c>
      <c r="Q33" s="1241" t="s">
        <v>747</v>
      </c>
      <c r="R33" s="1241" t="s">
        <v>743</v>
      </c>
      <c r="S33" s="1241"/>
      <c r="T33" s="1249"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U33" s="1130" t="s">
        <v>2084</v>
      </c>
      <c r="V33" s="1130" t="s">
        <v>2084</v>
      </c>
      <c r="W33" s="1130" t="s">
        <v>2085</v>
      </c>
      <c r="X33" s="1127"/>
      <c r="Y33" s="1284"/>
      <c r="Z33" s="1130"/>
      <c r="AA33" s="1133" t="s">
        <v>2086</v>
      </c>
      <c r="AB33" s="1133" t="s">
        <v>2086</v>
      </c>
      <c r="AC33" s="1133" t="s">
        <v>2086</v>
      </c>
      <c r="AD33" s="1130"/>
    </row>
    <row customHeight="1" ht="27">
      <c r="A34" s="1129"/>
      <c r="B34" s="1183">
        <v>17</v>
      </c>
      <c r="C34" s="1127" t="s">
        <v>2087</v>
      </c>
      <c r="D34" s="1251"/>
      <c r="E34" s="1127"/>
      <c r="F34" s="1127"/>
      <c r="G34" s="1175"/>
      <c r="H34" s="1242"/>
      <c r="I34" s="1289" t="str">
        <f>INDEX(TEMPLATE_NUMBER_POINT_FHD,B34,MATCH(TEMPLATE_SPHERE,TEMPLATE_SPHERE_LIST_FOR_NOTE,0))</f>
        <v>2.7.1</v>
      </c>
      <c r="J34" s="1289" t="str">
        <f>INDEX(TEMPLATE_DATA_POINT_FHD,B34,MATCH(TEMPLATE_SPHERE,TEMPLATE_SPHERE_LIST_FOR_NOTE,0))</f>
        <v>Расходы на оплату труда административно-управленческого персонала</v>
      </c>
      <c r="K34" s="1289">
        <f>INDEX(TEMPLATE_NOTE_POINT_FHD,B34,MATCH(TEMPLATE_SPHERE,TEMPLATE_SPHERE_LIST_FOR_NOTE,0))</f>
        <v>0</v>
      </c>
      <c r="L34" s="1128" t="str">
        <f>IF(I34=0,"",I34)</f>
        <v>2.7.1</v>
      </c>
      <c r="M34" s="1128" t="str">
        <f>IF(J34=0,"",J34)</f>
        <v>Расходы на оплату труда административно-управленческого персонала</v>
      </c>
      <c r="N34" s="1128" t="str">
        <f>IF(K34=0,"",K34)</f>
        <v/>
      </c>
      <c r="O34" s="1241" t="s">
        <v>2088</v>
      </c>
      <c r="P34" s="1241" t="s">
        <v>2070</v>
      </c>
      <c r="Q34" s="1241" t="s">
        <v>2088</v>
      </c>
      <c r="R34" s="1241" t="s">
        <v>2070</v>
      </c>
      <c r="S34" s="1241"/>
      <c r="T34" s="1250" t="s">
        <v>2089</v>
      </c>
      <c r="U34" s="1130" t="s">
        <v>2089</v>
      </c>
      <c r="V34" s="1130" t="s">
        <v>2089</v>
      </c>
      <c r="W34" s="1130" t="s">
        <v>2090</v>
      </c>
      <c r="X34" s="1127"/>
      <c r="Y34" s="1284"/>
      <c r="Z34" s="1130"/>
      <c r="AA34" s="1133"/>
      <c r="AB34" s="1130"/>
      <c r="AC34" s="1130"/>
      <c r="AD34" s="1130"/>
    </row>
    <row customHeight="1" ht="45">
      <c r="A35" s="1129"/>
      <c r="B35" s="1183">
        <v>18</v>
      </c>
      <c r="C35" s="1127" t="s">
        <v>2091</v>
      </c>
      <c r="D35" s="1251"/>
      <c r="E35" s="1127"/>
      <c r="F35" s="1127"/>
      <c r="G35" s="1175"/>
      <c r="H35" s="1242"/>
      <c r="I35" s="1289" t="str">
        <f>INDEX(TEMPLATE_NUMBER_POINT_FHD,B35,MATCH(TEMPLATE_SPHERE,TEMPLATE_SPHERE_LIST_FOR_NOTE,0))</f>
        <v>2.7.2</v>
      </c>
      <c r="J35" s="1289" t="str">
        <f>INDEX(TEMPLATE_DATA_POINT_FHD,B35,MATCH(TEMPLATE_SPHERE,TEMPLATE_SPHERE_LIST_FOR_NOTE,0))</f>
        <v>Страховые взносы на обязательное социальное страхование, выплачиваемые из фонда оплаты труда административно-управленческого персонала</v>
      </c>
      <c r="K35" s="1289">
        <f>INDEX(TEMPLATE_NOTE_POINT_FHD,B35,MATCH(TEMPLATE_SPHERE,TEMPLATE_SPHERE_LIST_FOR_NOTE,0))</f>
        <v>0</v>
      </c>
      <c r="L35" s="1128" t="str">
        <f>IF(I35=0,"",I35)</f>
        <v>2.7.2</v>
      </c>
      <c r="M35" s="1128" t="str">
        <f>IF(J35=0,"",J35)</f>
        <v>Страховые взносы на обязательное социальное страхование, выплачиваемые из фонда оплаты труда административно-управленческого персонала</v>
      </c>
      <c r="N35" s="1128" t="str">
        <f>IF(K35=0,"",K35)</f>
        <v/>
      </c>
      <c r="O35" s="1241" t="s">
        <v>2092</v>
      </c>
      <c r="P35" s="1241" t="s">
        <v>2072</v>
      </c>
      <c r="Q35" s="1241" t="s">
        <v>2092</v>
      </c>
      <c r="R35" s="1241" t="s">
        <v>2072</v>
      </c>
      <c r="S35" s="1241"/>
      <c r="T35" s="1248"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Страховые взносы на обязательное социальное страхование, выплачиваемые из фонда оплаты труда административно-управленческого персонала</v>
      </c>
      <c r="U35" s="1130" t="s">
        <v>2093</v>
      </c>
      <c r="V35" s="1130" t="s">
        <v>2093</v>
      </c>
      <c r="W35" s="1130" t="s">
        <v>2093</v>
      </c>
      <c r="X35" s="1127"/>
      <c r="Y35" s="1284"/>
      <c r="Z35" s="1130"/>
      <c r="AA35" s="1133"/>
      <c r="AB35" s="1130"/>
      <c r="AC35" s="1130"/>
      <c r="AD35" s="1130"/>
    </row>
    <row customHeight="1" ht="18">
      <c r="A36" s="1129"/>
      <c r="B36" s="1183">
        <v>19</v>
      </c>
      <c r="C36" s="1127">
        <v>11</v>
      </c>
      <c r="D36" s="1251"/>
      <c r="E36" s="1127"/>
      <c r="F36" s="1127"/>
      <c r="G36" s="1175"/>
      <c r="H36" s="1242"/>
      <c r="I36" s="1289" t="str">
        <f>INDEX(TEMPLATE_NUMBER_POINT_FHD,B36,MATCH(TEMPLATE_SPHERE,TEMPLATE_SPHERE_LIST_FOR_NOTE,0))</f>
        <v>2.8</v>
      </c>
      <c r="J36" s="1289" t="str">
        <f>INDEX(TEMPLATE_DATA_POINT_FHD,B36,MATCH(TEMPLATE_SPHERE,TEMPLATE_SPHERE_LIST_FOR_NOTE,0))</f>
        <v>Расходы на амортизацию основных средств и нематериальных активов</v>
      </c>
      <c r="K36" s="1289">
        <f>INDEX(TEMPLATE_NOTE_POINT_FHD,B36,MATCH(TEMPLATE_SPHERE,TEMPLATE_SPHERE_LIST_FOR_NOTE,0))</f>
        <v>0</v>
      </c>
      <c r="L36" s="1128" t="str">
        <f>IF(I36=0,"",I36)</f>
        <v>2.8</v>
      </c>
      <c r="M36" s="1128" t="str">
        <f>IF(J36=0,"",J36)</f>
        <v>Расходы на амортизацию основных средств и нематериальных активов</v>
      </c>
      <c r="N36" s="1128" t="str">
        <f>IF(K36=0,"",K36)</f>
        <v/>
      </c>
      <c r="O36" s="1241" t="s">
        <v>749</v>
      </c>
      <c r="P36" s="1241" t="s">
        <v>745</v>
      </c>
      <c r="Q36" s="1241" t="s">
        <v>749</v>
      </c>
      <c r="R36" s="1241" t="s">
        <v>745</v>
      </c>
      <c r="S36" s="1241"/>
      <c r="T36" s="1248" t="s">
        <v>2094</v>
      </c>
      <c r="U36" s="1130" t="s">
        <v>2094</v>
      </c>
      <c r="V36" s="1130" t="s">
        <v>2094</v>
      </c>
      <c r="W36" s="1130" t="s">
        <v>2094</v>
      </c>
      <c r="X36" s="1127"/>
      <c r="Y36" s="1284"/>
      <c r="Z36" s="1130"/>
      <c r="AA36" s="1133"/>
      <c r="AB36" s="1130"/>
      <c r="AC36" s="1130"/>
      <c r="AD36" s="1130"/>
    </row>
    <row customHeight="1" ht="18">
      <c r="A37" s="1129"/>
      <c r="B37" s="1183">
        <v>20</v>
      </c>
      <c r="C37" s="1127" t="s">
        <v>2095</v>
      </c>
      <c r="D37" s="1251"/>
      <c r="E37" s="1127"/>
      <c r="F37" s="1127"/>
      <c r="G37" s="1175"/>
      <c r="H37" s="1242"/>
      <c r="I37" s="1289" t="str">
        <f>INDEX(TEMPLATE_NUMBER_POINT_FHD,B37,MATCH(TEMPLATE_SPHERE,TEMPLATE_SPHERE_LIST_FOR_NOTE,0))</f>
        <v>2.8.1</v>
      </c>
      <c r="J37" s="1289" t="str">
        <f>INDEX(TEMPLATE_DATA_POINT_FHD,B37,MATCH(TEMPLATE_SPHERE,TEMPLATE_SPHERE_LIST_FOR_NOTE,0))</f>
        <v>Расходы на амортизацию основных средств</v>
      </c>
      <c r="K37" s="1289">
        <f>INDEX(TEMPLATE_NOTE_POINT_FHD,B37,MATCH(TEMPLATE_SPHERE,TEMPLATE_SPHERE_LIST_FOR_NOTE,0))</f>
        <v>0</v>
      </c>
      <c r="L37" s="1128" t="str">
        <f>IF(I37=0,"",I37)</f>
        <v>2.8.1</v>
      </c>
      <c r="M37" s="1128" t="str">
        <f>IF(J37=0,"",J37)</f>
        <v>Расходы на амортизацию основных средств</v>
      </c>
      <c r="N37" s="1128" t="str">
        <f>IF(K37=0,"",K37)</f>
        <v/>
      </c>
      <c r="O37" s="1241" t="s">
        <v>2096</v>
      </c>
      <c r="P37" s="1241" t="s">
        <v>2079</v>
      </c>
      <c r="Q37" s="1241" t="s">
        <v>2096</v>
      </c>
      <c r="R37" s="1241" t="s">
        <v>2079</v>
      </c>
      <c r="S37" s="1241"/>
      <c r="T37" s="1248" t="s">
        <v>2097</v>
      </c>
      <c r="U37" s="1130" t="s">
        <v>2097</v>
      </c>
      <c r="V37" s="1130" t="s">
        <v>2097</v>
      </c>
      <c r="W37" s="1130" t="s">
        <v>2097</v>
      </c>
      <c r="X37" s="1127"/>
      <c r="Y37" s="1284"/>
      <c r="Z37" s="1130"/>
      <c r="AA37" s="1133"/>
      <c r="AB37" s="1130"/>
      <c r="AC37" s="1130"/>
      <c r="AD37" s="1130"/>
    </row>
    <row customHeight="1" ht="18">
      <c r="A38" s="1129"/>
      <c r="B38" s="1183">
        <v>21</v>
      </c>
      <c r="C38" s="1127" t="s">
        <v>2098</v>
      </c>
      <c r="D38" s="1251"/>
      <c r="E38" s="1127"/>
      <c r="F38" s="1127"/>
      <c r="G38" s="1175"/>
      <c r="H38" s="1242"/>
      <c r="I38" s="1289" t="str">
        <f>INDEX(TEMPLATE_NUMBER_POINT_FHD,B38,MATCH(TEMPLATE_SPHERE,TEMPLATE_SPHERE_LIST_FOR_NOTE,0))</f>
        <v>2.8.2</v>
      </c>
      <c r="J38" s="1289" t="str">
        <f>INDEX(TEMPLATE_DATA_POINT_FHD,B38,MATCH(TEMPLATE_SPHERE,TEMPLATE_SPHERE_LIST_FOR_NOTE,0))</f>
        <v>Расходы на амортизацию нематериальных активов</v>
      </c>
      <c r="K38" s="1289">
        <f>INDEX(TEMPLATE_NOTE_POINT_FHD,B38,MATCH(TEMPLATE_SPHERE,TEMPLATE_SPHERE_LIST_FOR_NOTE,0))</f>
        <v>0</v>
      </c>
      <c r="L38" s="1128" t="str">
        <f>IF(I38=0,"",I38)</f>
        <v>2.8.2</v>
      </c>
      <c r="M38" s="1128" t="str">
        <f>IF(J38=0,"",J38)</f>
        <v>Расходы на амортизацию нематериальных активов</v>
      </c>
      <c r="N38" s="1128" t="str">
        <f>IF(K38=0,"",K38)</f>
        <v/>
      </c>
      <c r="O38" s="1241" t="s">
        <v>2099</v>
      </c>
      <c r="P38" s="1241" t="s">
        <v>2082</v>
      </c>
      <c r="Q38" s="1241" t="s">
        <v>2099</v>
      </c>
      <c r="R38" s="1241" t="s">
        <v>2082</v>
      </c>
      <c r="S38" s="1241"/>
      <c r="T38" s="1248" t="s">
        <v>2100</v>
      </c>
      <c r="U38" s="1130" t="s">
        <v>2100</v>
      </c>
      <c r="V38" s="1130" t="s">
        <v>2100</v>
      </c>
      <c r="W38" s="1130" t="s">
        <v>2100</v>
      </c>
      <c r="X38" s="1127"/>
      <c r="Y38" s="1284"/>
      <c r="Z38" s="1130"/>
      <c r="AA38" s="1133"/>
      <c r="AB38" s="1130"/>
      <c r="AC38" s="1130"/>
      <c r="AD38" s="1130"/>
    </row>
    <row customHeight="1" ht="36">
      <c r="A39" s="1129"/>
      <c r="B39" s="1183">
        <v>22</v>
      </c>
      <c r="C39" s="1127">
        <v>12</v>
      </c>
      <c r="D39" s="1251"/>
      <c r="E39" s="1127"/>
      <c r="F39" s="1127"/>
      <c r="G39" s="1175"/>
      <c r="H39" s="1242"/>
      <c r="I39" s="1289" t="str">
        <f>INDEX(TEMPLATE_NUMBER_POINT_FHD,B39,MATCH(TEMPLATE_SPHERE,TEMPLATE_SPHERE_LIST_FOR_NOTE,0))</f>
        <v>2.9</v>
      </c>
      <c r="J39" s="1289" t="str">
        <f>INDEX(TEMPLATE_DATA_POINT_FHD,B39,MATCH(TEMPLATE_SPHERE,TEMPLATE_SPHERE_LIST_FOR_NOTE,0))</f>
        <v>Расходы на аренду имущества, используемого для осуществления регулируемого вида деятельности</v>
      </c>
      <c r="K39" s="1289">
        <f>INDEX(TEMPLATE_NOTE_POINT_FHD,B39,MATCH(TEMPLATE_SPHERE,TEMPLATE_SPHERE_LIST_FOR_NOTE,0))</f>
        <v>0</v>
      </c>
      <c r="L39" s="1128" t="str">
        <f>IF(I39=0,"",I39)</f>
        <v>2.9</v>
      </c>
      <c r="M39" s="1128" t="str">
        <f>IF(J39=0,"",J39)</f>
        <v>Расходы на аренду имущества, используемого для осуществления регулируемого вида деятельности</v>
      </c>
      <c r="N39" s="1128" t="str">
        <f>IF(K39=0,"",K39)</f>
        <v/>
      </c>
      <c r="O39" s="1241" t="s">
        <v>753</v>
      </c>
      <c r="P39" s="1241" t="s">
        <v>747</v>
      </c>
      <c r="Q39" s="1241" t="s">
        <v>753</v>
      </c>
      <c r="R39" s="1241" t="s">
        <v>747</v>
      </c>
      <c r="S39" s="1241"/>
      <c r="T39" s="1248" t="s">
        <v>2101</v>
      </c>
      <c r="U39" s="1130" t="s">
        <v>2102</v>
      </c>
      <c r="V39" s="1130" t="s">
        <v>2103</v>
      </c>
      <c r="W39" s="1130" t="s">
        <v>2104</v>
      </c>
      <c r="X39" s="1127"/>
      <c r="Y39" s="1284"/>
      <c r="Z39" s="1130"/>
      <c r="AA39" s="1133"/>
      <c r="AB39" s="1130"/>
      <c r="AC39" s="1130"/>
      <c r="AD39" s="1130"/>
    </row>
    <row customHeight="1" ht="18">
      <c r="A40" s="1129"/>
      <c r="B40" s="1183">
        <v>23</v>
      </c>
      <c r="C40" s="1127">
        <v>13</v>
      </c>
      <c r="D40" s="1251"/>
      <c r="E40" s="1127"/>
      <c r="F40" s="1127"/>
      <c r="G40" s="1127"/>
      <c r="H40" s="1178"/>
      <c r="I40" s="1289" t="str">
        <f>INDEX(TEMPLATE_NUMBER_POINT_FHD,B40,MATCH(TEMPLATE_SPHERE,TEMPLATE_SPHERE_LIST_FOR_NOTE,0))</f>
        <v>2.10</v>
      </c>
      <c r="J40" s="1289" t="str">
        <f>INDEX(TEMPLATE_DATA_POINT_FHD,B40,MATCH(TEMPLATE_SPHERE,TEMPLATE_SPHERE_LIST_FOR_NOTE,0))</f>
        <v>Общепроизводственные расходы, в том числе:</v>
      </c>
      <c r="K40" s="1289" t="str">
        <f>INDEX(TEMPLATE_NOTE_POINT_FHD,B40,MATCH(TEMPLATE_SPHERE,TEMPLATE_SPHERE_LIST_FOR_NOTE,0))</f>
        <v>Указывается общая сумма общепроизводственных расходов.</v>
      </c>
      <c r="L40" s="1128" t="str">
        <f>IF(I40=0,"",I40)</f>
        <v>2.10</v>
      </c>
      <c r="M40" s="1128" t="str">
        <f>IF(J40=0,"",J40)</f>
        <v>Общепроизводственные расходы, в том числе:</v>
      </c>
      <c r="N40" s="1128" t="str">
        <f>IF(K40=0,"",K40)</f>
        <v>Указывается общая сумма общепроизводственных расходов.</v>
      </c>
      <c r="O40" s="1241" t="s">
        <v>2105</v>
      </c>
      <c r="P40" s="1241" t="s">
        <v>749</v>
      </c>
      <c r="Q40" s="1241" t="s">
        <v>2105</v>
      </c>
      <c r="R40" s="1241" t="s">
        <v>749</v>
      </c>
      <c r="S40" s="1241"/>
      <c r="T40" s="1127" t="s">
        <v>2106</v>
      </c>
      <c r="U40" s="1127" t="s">
        <v>2106</v>
      </c>
      <c r="V40" s="1127" t="s">
        <v>2106</v>
      </c>
      <c r="W40" s="1127" t="s">
        <v>2106</v>
      </c>
      <c r="X40" s="1127"/>
      <c r="Y40" s="1284"/>
      <c r="Z40" s="1130" t="s">
        <v>2107</v>
      </c>
      <c r="AA40" s="1133" t="s">
        <v>2107</v>
      </c>
      <c r="AB40" s="1133" t="s">
        <v>2107</v>
      </c>
      <c r="AC40" s="1133" t="s">
        <v>2107</v>
      </c>
      <c r="AD40" s="1130"/>
    </row>
    <row customHeight="1" ht="27">
      <c r="A41" s="1129"/>
      <c r="B41" s="1183">
        <v>24</v>
      </c>
      <c r="C41" s="1127" t="s">
        <v>2108</v>
      </c>
      <c r="D41" s="1251"/>
      <c r="E41" s="1127"/>
      <c r="F41" s="1127"/>
      <c r="G41" s="1127"/>
      <c r="H41" s="1175"/>
      <c r="I41" s="1289" t="str">
        <f>INDEX(TEMPLATE_NUMBER_POINT_FHD,B41,MATCH(TEMPLATE_SPHERE,TEMPLATE_SPHERE_LIST_FOR_NOTE,0))</f>
        <v>2.10.1</v>
      </c>
      <c r="J41" s="1289" t="str">
        <f>INDEX(TEMPLATE_DATA_POINT_FHD,B41,MATCH(TEMPLATE_SPHERE,TEMPLATE_SPHERE_LIST_FOR_NOTE,0))</f>
        <v>Расходы на текущий ремонт</v>
      </c>
      <c r="K41" s="1289" t="str">
        <f>INDEX(TEMPLATE_NOTE_POINT_FHD,B41,MATCH(TEMPLATE_SPHERE,TEMPLATE_SPHERE_LIST_FOR_NOTE,0))</f>
        <v>Указываются расходы на текущий ремонт, отнесенные к общепроизводственным расходам.</v>
      </c>
      <c r="L41" s="1128" t="str">
        <f>IF(I41=0,"",I41)</f>
        <v>2.10.1</v>
      </c>
      <c r="M41" s="1128" t="str">
        <f>IF(J41=0,"",J41)</f>
        <v>Расходы на текущий ремонт</v>
      </c>
      <c r="N41" s="1128" t="str">
        <f>IF(K41=0,"",K41)</f>
        <v>Указываются расходы на текущий ремонт, отнесенные к общепроизводственным расходам.</v>
      </c>
      <c r="O41" s="1241" t="s">
        <v>2109</v>
      </c>
      <c r="P41" s="1241" t="s">
        <v>2096</v>
      </c>
      <c r="Q41" s="1241" t="s">
        <v>2109</v>
      </c>
      <c r="R41" s="1241" t="s">
        <v>2096</v>
      </c>
      <c r="S41" s="1241"/>
      <c r="T41" s="1127" t="s">
        <v>2110</v>
      </c>
      <c r="U41" s="1127" t="s">
        <v>2110</v>
      </c>
      <c r="V41" s="1127" t="s">
        <v>2110</v>
      </c>
      <c r="W41" s="1127" t="s">
        <v>2110</v>
      </c>
      <c r="X41" s="1127"/>
      <c r="Y41" s="1284"/>
      <c r="Z41" s="1130" t="s">
        <v>2111</v>
      </c>
      <c r="AA41" s="1130" t="s">
        <v>2111</v>
      </c>
      <c r="AB41" s="1130" t="s">
        <v>2111</v>
      </c>
      <c r="AC41" s="1130" t="s">
        <v>2111</v>
      </c>
      <c r="AD41" s="1130"/>
    </row>
    <row customHeight="1" ht="27">
      <c r="A42" s="1129"/>
      <c r="B42" s="1183">
        <v>25</v>
      </c>
      <c r="C42" s="1127" t="s">
        <v>2112</v>
      </c>
      <c r="D42" s="1251"/>
      <c r="E42" s="1127"/>
      <c r="F42" s="1127"/>
      <c r="G42" s="1127"/>
      <c r="H42" s="1175"/>
      <c r="I42" s="1289" t="str">
        <f>INDEX(TEMPLATE_NUMBER_POINT_FHD,B42,MATCH(TEMPLATE_SPHERE,TEMPLATE_SPHERE_LIST_FOR_NOTE,0))</f>
        <v>2.10.2</v>
      </c>
      <c r="J42" s="1289" t="str">
        <f>INDEX(TEMPLATE_DATA_POINT_FHD,B42,MATCH(TEMPLATE_SPHERE,TEMPLATE_SPHERE_LIST_FOR_NOTE,0))</f>
        <v>Расходы на капитальный ремонт</v>
      </c>
      <c r="K42" s="1289" t="str">
        <f>INDEX(TEMPLATE_NOTE_POINT_FHD,B42,MATCH(TEMPLATE_SPHERE,TEMPLATE_SPHERE_LIST_FOR_NOTE,0))</f>
        <v>Указываются расходы на капитальный ремонт, отнесенные к общепроизводственным расходам.</v>
      </c>
      <c r="L42" s="1128" t="str">
        <f>IF(I42=0,"",I42)</f>
        <v>2.10.2</v>
      </c>
      <c r="M42" s="1128" t="str">
        <f>IF(J42=0,"",J42)</f>
        <v>Расходы на капитальный ремонт</v>
      </c>
      <c r="N42" s="1128" t="str">
        <f>IF(K42=0,"",K42)</f>
        <v>Указываются расходы на капитальный ремонт, отнесенные к общепроизводственным расходам.</v>
      </c>
      <c r="O42" s="1241" t="s">
        <v>2113</v>
      </c>
      <c r="P42" s="1241" t="s">
        <v>2099</v>
      </c>
      <c r="Q42" s="1241" t="s">
        <v>2113</v>
      </c>
      <c r="R42" s="1241" t="s">
        <v>2099</v>
      </c>
      <c r="S42" s="1241"/>
      <c r="T42" s="1127" t="s">
        <v>2114</v>
      </c>
      <c r="U42" s="1127" t="s">
        <v>2114</v>
      </c>
      <c r="V42" s="1127" t="s">
        <v>2114</v>
      </c>
      <c r="W42" s="1127" t="s">
        <v>2114</v>
      </c>
      <c r="X42" s="1127"/>
      <c r="Y42" s="1284"/>
      <c r="Z42" s="1130" t="s">
        <v>2115</v>
      </c>
      <c r="AA42" s="1130" t="s">
        <v>2115</v>
      </c>
      <c r="AB42" s="1130" t="s">
        <v>2115</v>
      </c>
      <c r="AC42" s="1130" t="s">
        <v>2115</v>
      </c>
      <c r="AD42" s="1130"/>
    </row>
    <row customHeight="1" ht="18">
      <c r="A43" s="1129"/>
      <c r="B43" s="1183">
        <v>26</v>
      </c>
      <c r="C43" s="1127">
        <v>14</v>
      </c>
      <c r="D43" s="1251"/>
      <c r="E43" s="1127"/>
      <c r="F43" s="1127"/>
      <c r="G43" s="1127"/>
      <c r="H43" s="1175"/>
      <c r="I43" s="1289" t="str">
        <f>INDEX(TEMPLATE_NUMBER_POINT_FHD,B43,MATCH(TEMPLATE_SPHERE,TEMPLATE_SPHERE_LIST_FOR_NOTE,0))</f>
        <v>2.11</v>
      </c>
      <c r="J43" s="1289" t="str">
        <f>INDEX(TEMPLATE_DATA_POINT_FHD,B43,MATCH(TEMPLATE_SPHERE,TEMPLATE_SPHERE_LIST_FOR_NOTE,0))</f>
        <v>Общехозяйственные расходы, в том числе:</v>
      </c>
      <c r="K43" s="1289" t="str">
        <f>INDEX(TEMPLATE_NOTE_POINT_FHD,B43,MATCH(TEMPLATE_SPHERE,TEMPLATE_SPHERE_LIST_FOR_NOTE,0))</f>
        <v>Указывается общая сумма общехозяйственных расходов.</v>
      </c>
      <c r="L43" s="1128" t="str">
        <f>IF(I43=0,"",I43)</f>
        <v>2.11</v>
      </c>
      <c r="M43" s="1128" t="str">
        <f>IF(J43=0,"",J43)</f>
        <v>Общехозяйственные расходы, в том числе:</v>
      </c>
      <c r="N43" s="1128" t="str">
        <f>IF(K43=0,"",K43)</f>
        <v>Указывается общая сумма общехозяйственных расходов.</v>
      </c>
      <c r="O43" s="1241" t="s">
        <v>2116</v>
      </c>
      <c r="P43" s="1241" t="s">
        <v>753</v>
      </c>
      <c r="Q43" s="1241" t="s">
        <v>2116</v>
      </c>
      <c r="R43" s="1241" t="s">
        <v>753</v>
      </c>
      <c r="S43" s="1241"/>
      <c r="T43" s="1127" t="s">
        <v>2117</v>
      </c>
      <c r="U43" s="1127" t="s">
        <v>2117</v>
      </c>
      <c r="V43" s="1127" t="s">
        <v>2117</v>
      </c>
      <c r="W43" s="1127" t="s">
        <v>2117</v>
      </c>
      <c r="X43" s="1127"/>
      <c r="Y43" s="1284"/>
      <c r="Z43" s="1130" t="s">
        <v>2118</v>
      </c>
      <c r="AA43" s="1130" t="s">
        <v>2118</v>
      </c>
      <c r="AB43" s="1130" t="s">
        <v>2118</v>
      </c>
      <c r="AC43" s="1130" t="s">
        <v>2118</v>
      </c>
      <c r="AD43" s="1130"/>
    </row>
    <row customHeight="1" ht="27">
      <c r="A44" s="1129"/>
      <c r="B44" s="1183">
        <v>27</v>
      </c>
      <c r="C44" s="1127" t="s">
        <v>2119</v>
      </c>
      <c r="D44" s="1251"/>
      <c r="E44" s="1127"/>
      <c r="F44" s="1127"/>
      <c r="G44" s="1127"/>
      <c r="H44" s="1175"/>
      <c r="I44" s="1289" t="str">
        <f>INDEX(TEMPLATE_NUMBER_POINT_FHD,B44,MATCH(TEMPLATE_SPHERE,TEMPLATE_SPHERE_LIST_FOR_NOTE,0))</f>
        <v>2.11.1</v>
      </c>
      <c r="J44" s="1289" t="str">
        <f>INDEX(TEMPLATE_DATA_POINT_FHD,B44,MATCH(TEMPLATE_SPHERE,TEMPLATE_SPHERE_LIST_FOR_NOTE,0))</f>
        <v>Расходы на текущий ремонт</v>
      </c>
      <c r="K44" s="1289" t="str">
        <f>INDEX(TEMPLATE_NOTE_POINT_FHD,B44,MATCH(TEMPLATE_SPHERE,TEMPLATE_SPHERE_LIST_FOR_NOTE,0))</f>
        <v>Указываются расходы на текущий ремонт, отнесенные к общехозяйственным расходам.</v>
      </c>
      <c r="L44" s="1128" t="str">
        <f>IF(I44=0,"",I44)</f>
        <v>2.11.1</v>
      </c>
      <c r="M44" s="1128" t="str">
        <f>IF(J44=0,"",J44)</f>
        <v>Расходы на текущий ремонт</v>
      </c>
      <c r="N44" s="1128" t="str">
        <f>IF(K44=0,"",K44)</f>
        <v>Указываются расходы на текущий ремонт, отнесенные к общехозяйственным расходам.</v>
      </c>
      <c r="O44" s="1241" t="s">
        <v>2120</v>
      </c>
      <c r="P44" s="1241" t="s">
        <v>2121</v>
      </c>
      <c r="Q44" s="1241" t="s">
        <v>2120</v>
      </c>
      <c r="R44" s="1241" t="s">
        <v>2121</v>
      </c>
      <c r="S44" s="1241"/>
      <c r="T44" s="1127" t="s">
        <v>2110</v>
      </c>
      <c r="U44" s="1127" t="s">
        <v>2110</v>
      </c>
      <c r="V44" s="1127" t="s">
        <v>2110</v>
      </c>
      <c r="W44" s="1127" t="s">
        <v>2110</v>
      </c>
      <c r="X44" s="1127"/>
      <c r="Y44" s="1284"/>
      <c r="Z44" s="1130" t="s">
        <v>2122</v>
      </c>
      <c r="AA44" s="1130" t="s">
        <v>2122</v>
      </c>
      <c r="AB44" s="1130" t="s">
        <v>2122</v>
      </c>
      <c r="AC44" s="1130" t="s">
        <v>2122</v>
      </c>
      <c r="AD44" s="1130"/>
    </row>
    <row customHeight="1" ht="27">
      <c r="A45" s="1129"/>
      <c r="B45" s="1183">
        <v>28</v>
      </c>
      <c r="C45" s="1127" t="s">
        <v>2123</v>
      </c>
      <c r="D45" s="1251"/>
      <c r="E45" s="1127"/>
      <c r="F45" s="1127"/>
      <c r="G45" s="1127"/>
      <c r="H45" s="1175"/>
      <c r="I45" s="1289" t="str">
        <f>INDEX(TEMPLATE_NUMBER_POINT_FHD,B45,MATCH(TEMPLATE_SPHERE,TEMPLATE_SPHERE_LIST_FOR_NOTE,0))</f>
        <v>2.11.2</v>
      </c>
      <c r="J45" s="1289" t="str">
        <f>INDEX(TEMPLATE_DATA_POINT_FHD,B45,MATCH(TEMPLATE_SPHERE,TEMPLATE_SPHERE_LIST_FOR_NOTE,0))</f>
        <v>Расходы на капитальный ремонт</v>
      </c>
      <c r="K45" s="1289" t="str">
        <f>INDEX(TEMPLATE_NOTE_POINT_FHD,B45,MATCH(TEMPLATE_SPHERE,TEMPLATE_SPHERE_LIST_FOR_NOTE,0))</f>
        <v>Указываются расходы на капитальный ремонт, отнесенные к общехозяйственным расходам.</v>
      </c>
      <c r="L45" s="1128" t="str">
        <f>IF(I45=0,"",I45)</f>
        <v>2.11.2</v>
      </c>
      <c r="M45" s="1128" t="str">
        <f>IF(J45=0,"",J45)</f>
        <v>Расходы на капитальный ремонт</v>
      </c>
      <c r="N45" s="1128" t="str">
        <f>IF(K45=0,"",K45)</f>
        <v>Указываются расходы на капитальный ремонт, отнесенные к общехозяйственным расходам.</v>
      </c>
      <c r="O45" s="1241" t="s">
        <v>2124</v>
      </c>
      <c r="P45" s="1241" t="s">
        <v>2125</v>
      </c>
      <c r="Q45" s="1241" t="s">
        <v>2124</v>
      </c>
      <c r="R45" s="1241" t="s">
        <v>2125</v>
      </c>
      <c r="S45" s="1241"/>
      <c r="T45" s="1127" t="s">
        <v>2114</v>
      </c>
      <c r="U45" s="1127" t="s">
        <v>2114</v>
      </c>
      <c r="V45" s="1127" t="s">
        <v>2114</v>
      </c>
      <c r="W45" s="1127" t="s">
        <v>2114</v>
      </c>
      <c r="X45" s="1127"/>
      <c r="Y45" s="1284"/>
      <c r="Z45" s="1130" t="s">
        <v>2126</v>
      </c>
      <c r="AA45" s="1130" t="s">
        <v>2126</v>
      </c>
      <c r="AB45" s="1130" t="s">
        <v>2126</v>
      </c>
      <c r="AC45" s="1130" t="s">
        <v>2126</v>
      </c>
      <c r="AD45" s="1130"/>
    </row>
    <row customHeight="1" ht="54">
      <c r="A46" s="1129"/>
      <c r="B46" s="1183">
        <v>29</v>
      </c>
      <c r="C46" s="1127">
        <v>15</v>
      </c>
      <c r="D46" s="1251"/>
      <c r="E46" s="1127"/>
      <c r="F46" s="1127"/>
      <c r="G46" s="1127"/>
      <c r="H46" s="1175"/>
      <c r="I46" s="1289" t="str">
        <f>INDEX(TEMPLATE_NUMBER_POINT_FHD,B46,MATCH(TEMPLATE_SPHERE,TEMPLATE_SPHERE_LIST_FOR_NOTE,0))</f>
        <v>2.12</v>
      </c>
      <c r="J46" s="1289" t="str">
        <f>INDEX(TEMPLATE_DATA_POINT_FHD,B46,MATCH(TEMPLATE_SPHERE,TEMPLATE_SPHERE_LIST_FOR_NOTE,0))</f>
        <v>Расходы на капитальный и текущий ремонт основных средств</v>
      </c>
      <c r="K46" s="1289" t="str">
        <f>INDEX(TEMPLATE_NOTE_POINT_FHD,B46,MATCH(TEMPLATE_SPHERE,TEMPLATE_SPHERE_LIST_FOR_NOTE,0))</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1128" t="str">
        <f>IF(I46=0,"",I46)</f>
        <v>2.12</v>
      </c>
      <c r="M46" s="1128" t="str">
        <f>IF(J46=0,"",J46)</f>
        <v>Расходы на капитальный и текущий ремонт основных средств</v>
      </c>
      <c r="N46" s="1128" t="str">
        <f>IF(K46=0,"",K46)</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1241" t="s">
        <v>2127</v>
      </c>
      <c r="P46" s="1241" t="s">
        <v>2105</v>
      </c>
      <c r="Q46" s="1241" t="s">
        <v>2127</v>
      </c>
      <c r="R46" s="1241" t="s">
        <v>2105</v>
      </c>
      <c r="S46" s="1241"/>
      <c r="T46" s="1128"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средств</v>
      </c>
      <c r="U46" s="1127" t="s">
        <v>2128</v>
      </c>
      <c r="V46" s="1127" t="s">
        <v>2128</v>
      </c>
      <c r="W46" s="1127" t="s">
        <v>2128</v>
      </c>
      <c r="X46" s="1127"/>
      <c r="Y46" s="1284"/>
      <c r="Z46" s="1130" t="s">
        <v>2129</v>
      </c>
      <c r="AA46" s="1130" t="s">
        <v>2130</v>
      </c>
      <c r="AB46" s="1130" t="s">
        <v>2130</v>
      </c>
      <c r="AC46" s="1130" t="s">
        <v>2130</v>
      </c>
      <c r="AD46" s="1130"/>
    </row>
    <row customHeight="1" ht="54">
      <c r="A47" s="1129"/>
      <c r="B47" s="1183">
        <v>30</v>
      </c>
      <c r="C47" s="1127" t="s">
        <v>2131</v>
      </c>
      <c r="D47" s="1251"/>
      <c r="E47" s="1127"/>
      <c r="F47" s="1127"/>
      <c r="G47" s="1127"/>
      <c r="H47" s="1175"/>
      <c r="I47" s="1289" t="str">
        <f>INDEX(TEMPLATE_NUMBER_POINT_FHD,B47,MATCH(TEMPLATE_SPHERE,TEMPLATE_SPHERE_LIST_FOR_NOTE,0))</f>
        <v>2.12.1</v>
      </c>
      <c r="J47" s="1289" t="str">
        <f>INDEX(TEMPLATE_DATA_POINT_FHD,B47,MATCH(TEMPLATE_SPHERE,TEMPLATE_SPHERE_LIST_FOR_NOTE,0))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1289">
        <f>INDEX(TEMPLATE_NOTE_POINT_FHD,B47,MATCH(TEMPLATE_SPHERE,TEMPLATE_SPHERE_LIST_FOR_NOTE,0))</f>
        <v>0</v>
      </c>
      <c r="L47" s="1128" t="str">
        <f>IF(I47=0,"",I47)</f>
        <v>2.12.1</v>
      </c>
      <c r="M47" s="1128" t="str">
        <f>IF(J47=0,"",J47)</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1128" t="str">
        <f>IF(K47=0,"",K47)</f>
        <v/>
      </c>
      <c r="O47" s="1241" t="s">
        <v>2132</v>
      </c>
      <c r="P47" s="1241" t="s">
        <v>2109</v>
      </c>
      <c r="Q47" s="1241" t="s">
        <v>2132</v>
      </c>
      <c r="R47" s="1241" t="s">
        <v>2109</v>
      </c>
      <c r="S47" s="1241"/>
      <c r="T47" s="1127" t="s">
        <v>2133</v>
      </c>
      <c r="U47" s="1127" t="s">
        <v>2133</v>
      </c>
      <c r="V47" s="1127" t="s">
        <v>2133</v>
      </c>
      <c r="W47" s="1127" t="s">
        <v>2133</v>
      </c>
      <c r="X47" s="1127"/>
      <c r="Y47" s="1284"/>
      <c r="Z47" s="1130"/>
      <c r="AA47" s="1133"/>
      <c r="AB47" s="1133"/>
      <c r="AC47" s="1133"/>
      <c r="AD47" s="1130"/>
    </row>
    <row customHeight="1" ht="54">
      <c r="A48" s="1129"/>
      <c r="B48" s="1183">
        <v>31</v>
      </c>
      <c r="C48" s="1127">
        <v>16</v>
      </c>
      <c r="D48" s="1251"/>
      <c r="E48" s="1127"/>
      <c r="F48" s="1127"/>
      <c r="G48" s="1127"/>
      <c r="H48" s="1175"/>
      <c r="I48" s="1289">
        <f>INDEX(TEMPLATE_NUMBER_POINT_FHD,B48,MATCH(TEMPLATE_SPHERE,TEMPLATE_SPHERE_LIST_FOR_NOTE,0))</f>
        <v>0</v>
      </c>
      <c r="J48" s="1289">
        <f>INDEX(TEMPLATE_DATA_POINT_FHD,B48,MATCH(TEMPLATE_SPHERE,TEMPLATE_SPHERE_LIST_FOR_NOTE,0))</f>
        <v>0</v>
      </c>
      <c r="K48" s="1289">
        <f>INDEX(TEMPLATE_NOTE_POINT_FHD,B48,MATCH(TEMPLATE_SPHERE,TEMPLATE_SPHERE_LIST_FOR_NOTE,0))</f>
        <v>0</v>
      </c>
      <c r="L48" s="1128" t="str">
        <f>IF(I48=0,"",I48)</f>
        <v/>
      </c>
      <c r="M48" s="1128" t="str">
        <f>IF(J48=0,"",J48)</f>
        <v/>
      </c>
      <c r="N48" s="1128" t="str">
        <f>IF(K48=0,"",K48)</f>
        <v/>
      </c>
      <c r="O48" s="1241"/>
      <c r="P48" s="1241" t="s">
        <v>2116</v>
      </c>
      <c r="Q48" s="1241" t="s">
        <v>2134</v>
      </c>
      <c r="R48" s="1241" t="s">
        <v>2116</v>
      </c>
      <c r="S48" s="1241"/>
      <c r="T48" s="1127"/>
      <c r="U48" s="1127" t="s">
        <v>2135</v>
      </c>
      <c r="V48" s="1127" t="s">
        <v>2136</v>
      </c>
      <c r="W48" s="1127" t="s">
        <v>2136</v>
      </c>
      <c r="X48" s="1127"/>
      <c r="Y48" s="1284"/>
      <c r="Z48" s="1130"/>
      <c r="AA48" s="1133" t="s">
        <v>2130</v>
      </c>
      <c r="AB48" s="1133" t="s">
        <v>2130</v>
      </c>
      <c r="AC48" s="1133" t="s">
        <v>2130</v>
      </c>
      <c r="AD48" s="1130"/>
    </row>
    <row customHeight="1" ht="54">
      <c r="A49" s="1129"/>
      <c r="B49" s="1183">
        <v>32</v>
      </c>
      <c r="C49" s="1127" t="s">
        <v>2137</v>
      </c>
      <c r="D49" s="1251"/>
      <c r="E49" s="1127"/>
      <c r="F49" s="1127"/>
      <c r="G49" s="1127"/>
      <c r="H49" s="1175"/>
      <c r="I49" s="1289">
        <f>INDEX(TEMPLATE_NUMBER_POINT_FHD,B49,MATCH(TEMPLATE_SPHERE,TEMPLATE_SPHERE_LIST_FOR_NOTE,0))</f>
        <v>0</v>
      </c>
      <c r="J49" s="1289">
        <f>INDEX(TEMPLATE_DATA_POINT_FHD,B49,MATCH(TEMPLATE_SPHERE,TEMPLATE_SPHERE_LIST_FOR_NOTE,0))</f>
        <v>0</v>
      </c>
      <c r="K49" s="1289">
        <f>INDEX(TEMPLATE_NOTE_POINT_FHD,B49,MATCH(TEMPLATE_SPHERE,TEMPLATE_SPHERE_LIST_FOR_NOTE,0))</f>
        <v>0</v>
      </c>
      <c r="L49" s="1128" t="str">
        <f>IF(I49=0,"",I49)</f>
        <v/>
      </c>
      <c r="M49" s="1128" t="str">
        <f>IF(J49=0,"",J49)</f>
        <v/>
      </c>
      <c r="N49" s="1128" t="str">
        <f>IF(K49=0,"",K49)</f>
        <v/>
      </c>
      <c r="O49" s="1241"/>
      <c r="P49" s="1241" t="s">
        <v>2120</v>
      </c>
      <c r="Q49" s="1241" t="s">
        <v>2138</v>
      </c>
      <c r="R49" s="1241" t="s">
        <v>2120</v>
      </c>
      <c r="S49" s="1241"/>
      <c r="T49" s="1127"/>
      <c r="U49" s="1127" t="s">
        <v>2133</v>
      </c>
      <c r="V49" s="1127" t="s">
        <v>2133</v>
      </c>
      <c r="W49" s="1127" t="s">
        <v>2133</v>
      </c>
      <c r="X49" s="1127"/>
      <c r="Y49" s="1284"/>
      <c r="Z49" s="1130"/>
      <c r="AA49" s="1133"/>
      <c r="AB49" s="1133"/>
      <c r="AC49" s="1133"/>
      <c r="AD49" s="1130"/>
    </row>
    <row customHeight="1" ht="126">
      <c r="A50" s="1129"/>
      <c r="B50" s="1183">
        <v>33</v>
      </c>
      <c r="C50" s="1127">
        <v>17</v>
      </c>
      <c r="D50" s="1251"/>
      <c r="E50" s="1127"/>
      <c r="F50" s="1127"/>
      <c r="G50" s="1127"/>
      <c r="H50" s="1175"/>
      <c r="I50" s="1289" t="str">
        <f>INDEX(TEMPLATE_NUMBER_POINT_FHD,B50,MATCH(TEMPLATE_SPHERE,TEMPLATE_SPHERE_LIST_FOR_NOTE,0))</f>
        <v>2.13</v>
      </c>
      <c r="J50" s="1289" t="str">
        <f>INDEX(TEMPLATE_DATA_POINT_FHD,B50,MATCH(TEMPLATE_SPHERE,TEMPLATE_SPHERE_LIST_FOR_NOTE,0))</f>
        <v>Прочие расходы, которые подлежат отнесению на регулируемые виды деятельности в соответствии с законодательством Российской Федерации</v>
      </c>
      <c r="K50" s="1289" t="str">
        <f>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L50" s="1128" t="str">
        <f>IF(I50=0,"",I50)</f>
        <v>2.13</v>
      </c>
      <c r="M50" s="1128" t="str">
        <f>IF(J50=0,"",J50)</f>
        <v>Прочие расходы, которые подлежат отнесению на регулируемые виды деятельности в соответствии с законодательством Российской Федерации</v>
      </c>
      <c r="N50" s="1128" t="str">
        <f>IF(K50=0,"",K50)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O50" s="1241" t="s">
        <v>2134</v>
      </c>
      <c r="P50" s="1241" t="s">
        <v>2127</v>
      </c>
      <c r="Q50" s="1241" t="s">
        <v>2139</v>
      </c>
      <c r="R50" s="1241" t="s">
        <v>2127</v>
      </c>
      <c r="S50" s="1241"/>
      <c r="T50" s="1127" t="s">
        <v>2140</v>
      </c>
      <c r="U50" s="1127" t="s">
        <v>2141</v>
      </c>
      <c r="V50" s="1127" t="s">
        <v>2142</v>
      </c>
      <c r="W50" s="1127" t="s">
        <v>2143</v>
      </c>
      <c r="X50" s="1127"/>
      <c r="Y50" s="1284"/>
      <c r="Z50" s="1130" t="s">
        <v>2144</v>
      </c>
      <c r="AA50" s="1133" t="s">
        <v>2145</v>
      </c>
      <c r="AB50" s="1133" t="s">
        <v>2145</v>
      </c>
      <c r="AC50" s="1133" t="s">
        <v>2145</v>
      </c>
      <c r="AD50" s="1130"/>
    </row>
    <row customHeight="1" ht="27">
      <c r="A51" s="1129"/>
      <c r="B51" s="1183">
        <v>34</v>
      </c>
      <c r="C51" s="1127" t="s">
        <v>2146</v>
      </c>
      <c r="D51" s="1251"/>
      <c r="E51" s="1127"/>
      <c r="F51" s="1127"/>
      <c r="G51" s="1127"/>
      <c r="H51" s="1175"/>
      <c r="I51" s="1289" t="str">
        <f>INDEX(TEMPLATE_NUMBER_POINT_FHD,B51,MATCH(TEMPLATE_SPHERE,TEMPLATE_SPHERE_LIST_FOR_NOTE,0))</f>
        <v>3</v>
      </c>
      <c r="J51" s="1289" t="str">
        <f>INDEX(TEMPLATE_DATA_POINT_FHD,B51,MATCH(TEMPLATE_SPHERE,TEMPLATE_SPHERE_LIST_FOR_NOTE,0))</f>
        <v>Валовая прибыль (убытки) от реализации товаров и оказания услуг по регулируемому виду деятельности</v>
      </c>
      <c r="K51" s="1289">
        <f>INDEX(TEMPLATE_NOTE_POINT_FHD,B51,MATCH(TEMPLATE_SPHERE,TEMPLATE_SPHERE_LIST_FOR_NOTE,0))</f>
        <v>0</v>
      </c>
      <c r="L51" s="1128" t="str">
        <f>IF(I51=0,"",I51)</f>
        <v>3</v>
      </c>
      <c r="M51" s="1128" t="str">
        <f>IF(J51=0,"",J51)</f>
        <v>Валовая прибыль (убытки) от реализации товаров и оказания услуг по регулируемому виду деятельности</v>
      </c>
      <c r="N51" s="1128" t="str">
        <f>IF(K51=0,"",K51)</f>
        <v/>
      </c>
      <c r="O51" s="1241" t="s">
        <v>91</v>
      </c>
      <c r="P51" s="1241"/>
      <c r="Q51" s="1241"/>
      <c r="R51" s="1241"/>
      <c r="S51" s="1241"/>
      <c r="T51" s="1127" t="s">
        <v>2147</v>
      </c>
      <c r="U51" s="1127"/>
      <c r="V51" s="1127"/>
      <c r="W51" s="1127"/>
      <c r="X51" s="1127"/>
      <c r="Y51" s="1284"/>
      <c r="Z51" s="1130"/>
      <c r="AA51" s="1133"/>
      <c r="AB51" s="1133"/>
      <c r="AC51" s="1133"/>
      <c r="AD51" s="1130"/>
    </row>
    <row customHeight="1" ht="36">
      <c r="A52" s="1129"/>
      <c r="B52" s="1183">
        <v>35</v>
      </c>
      <c r="C52" s="1127" t="s">
        <v>2040</v>
      </c>
      <c r="D52" s="1251" t="s">
        <v>2040</v>
      </c>
      <c r="E52" s="1127" t="s">
        <v>2040</v>
      </c>
      <c r="F52" s="1127" t="s">
        <v>2040</v>
      </c>
      <c r="G52" s="1127"/>
      <c r="H52" s="1175"/>
      <c r="I52" s="1289" t="str">
        <f>INDEX(TEMPLATE_NUMBER_POINT_FHD,B52,MATCH(TEMPLATE_SPHERE,TEMPLATE_SPHERE_LIST_FOR_NOTE,0))</f>
        <v>4</v>
      </c>
      <c r="J52" s="1289" t="str">
        <f>INDEX(TEMPLATE_DATA_POINT_FHD,B52,MATCH(TEMPLATE_SPHERE,TEMPLATE_SPHERE_LIST_FOR_NOTE,0))</f>
        <v>Чистая прибыль, полученная от регулируемого вида деятельности, в том числе:</v>
      </c>
      <c r="K52" s="1289" t="str">
        <f>INDEX(TEMPLATE_NOTE_POINT_FHD,B52,MATCH(TEMPLATE_SPHERE,TEMPLATE_SPHERE_LIST_FOR_NOTE,0))</f>
        <v>Указывается общая сумма чистой прибыли, полученной от регулируемого вида деятельности.</v>
      </c>
      <c r="L52" s="1128" t="str">
        <f>IF(I52=0,"",I52)</f>
        <v>4</v>
      </c>
      <c r="M52" s="1128" t="str">
        <f>IF(J52=0,"",J52)</f>
        <v>Чистая прибыль, полученная от регулируемого вида деятельности, в том числе:</v>
      </c>
      <c r="N52" s="1128" t="str">
        <f>IF(K52=0,"",K52)</f>
        <v>Указывается общая сумма чистой прибыли, полученной от регулируемого вида деятельности.</v>
      </c>
      <c r="O52" s="1241" t="s">
        <v>92</v>
      </c>
      <c r="P52" s="1241" t="s">
        <v>91</v>
      </c>
      <c r="Q52" s="1241" t="s">
        <v>91</v>
      </c>
      <c r="R52" s="1241" t="s">
        <v>91</v>
      </c>
      <c r="S52" s="1241"/>
      <c r="T52" s="1127" t="s">
        <v>2148</v>
      </c>
      <c r="U52" s="1127" t="s">
        <v>2149</v>
      </c>
      <c r="V52" s="1127" t="s">
        <v>2150</v>
      </c>
      <c r="W52" s="1127" t="s">
        <v>2151</v>
      </c>
      <c r="X52" s="1127"/>
      <c r="Y52" s="1284"/>
      <c r="Z52" s="1130" t="s">
        <v>757</v>
      </c>
      <c r="AA52" s="1133" t="s">
        <v>757</v>
      </c>
      <c r="AB52" s="1133" t="s">
        <v>757</v>
      </c>
      <c r="AC52" s="1133" t="s">
        <v>757</v>
      </c>
      <c r="AD52" s="1130"/>
    </row>
    <row customHeight="1" ht="36">
      <c r="A53" s="1129"/>
      <c r="B53" s="1183">
        <v>36</v>
      </c>
      <c r="C53" s="1127">
        <v>1</v>
      </c>
      <c r="D53" s="1251"/>
      <c r="E53" s="1127"/>
      <c r="F53" s="1127"/>
      <c r="G53" s="1127"/>
      <c r="H53" s="1175"/>
      <c r="I53" s="1289" t="str">
        <f>INDEX(TEMPLATE_NUMBER_POINT_FHD,B53,MATCH(TEMPLATE_SPHERE,TEMPLATE_SPHERE_LIST_FOR_NOTE,0))</f>
        <v>4.1</v>
      </c>
      <c r="J53" s="1289" t="str">
        <f>INDEX(TEMPLATE_DATA_POINT_FHD,B53,MATCH(TEMPLATE_SPHERE,TEMPLATE_SPHERE_LIST_FOR_NOTE,0))</f>
        <v>Размер расходования чистой прибыли на финансирование мероприятий, предусмотренных инвестиционной программой регулируемой организации</v>
      </c>
      <c r="K53" s="1289">
        <f>INDEX(TEMPLATE_NOTE_POINT_FHD,B53,MATCH(TEMPLATE_SPHERE,TEMPLATE_SPHERE_LIST_FOR_NOTE,0))</f>
        <v>0</v>
      </c>
      <c r="L53" s="1128" t="str">
        <f>IF(I53=0,"",I53)</f>
        <v>4.1</v>
      </c>
      <c r="M53" s="1128" t="str">
        <f>IF(J53=0,"",J53)</f>
        <v>Размер расходования чистой прибыли на финансирование мероприятий, предусмотренных инвестиционной программой регулируемой организации</v>
      </c>
      <c r="N53" s="1128" t="str">
        <f>IF(K53=0,"",K53)</f>
        <v/>
      </c>
      <c r="O53" s="1241" t="s">
        <v>761</v>
      </c>
      <c r="P53" s="1241" t="s">
        <v>329</v>
      </c>
      <c r="Q53" s="1241" t="s">
        <v>329</v>
      </c>
      <c r="R53" s="1241" t="s">
        <v>329</v>
      </c>
      <c r="S53" s="1241"/>
      <c r="T53" s="1127" t="s">
        <v>2152</v>
      </c>
      <c r="U53" s="1127" t="s">
        <v>2152</v>
      </c>
      <c r="V53" s="1127" t="s">
        <v>2152</v>
      </c>
      <c r="W53" s="1127" t="s">
        <v>2152</v>
      </c>
      <c r="X53" s="1127"/>
      <c r="Y53" s="1284"/>
      <c r="Z53" s="1130"/>
      <c r="AA53" s="1133"/>
      <c r="AB53" s="1130"/>
      <c r="AC53" s="1130"/>
      <c r="AD53" s="1130"/>
    </row>
    <row customHeight="1" ht="18">
      <c r="A54" s="1129"/>
      <c r="B54" s="1183">
        <v>37</v>
      </c>
      <c r="C54" s="1127" t="s">
        <v>2046</v>
      </c>
      <c r="D54" s="1251" t="s">
        <v>2046</v>
      </c>
      <c r="E54" s="1127" t="s">
        <v>2046</v>
      </c>
      <c r="F54" s="1127" t="s">
        <v>2046</v>
      </c>
      <c r="G54" s="1127"/>
      <c r="H54" s="1175"/>
      <c r="I54" s="1289" t="str">
        <f>INDEX(TEMPLATE_NUMBER_POINT_FHD,B54,MATCH(TEMPLATE_SPHERE,TEMPLATE_SPHERE_LIST_FOR_NOTE,0))</f>
        <v>5</v>
      </c>
      <c r="J54" s="1289" t="str">
        <f>INDEX(TEMPLATE_DATA_POINT_FHD,B54,MATCH(TEMPLATE_SPHERE,TEMPLATE_SPHERE_LIST_FOR_NOTE,0))</f>
        <v>Изменение стоимости основных фондов, в том числе:</v>
      </c>
      <c r="K54" s="1289" t="str">
        <f>INDEX(TEMPLATE_NOTE_POINT_FHD,B54,MATCH(TEMPLATE_SPHERE,TEMPLATE_SPHERE_LIST_FOR_NOTE,0))</f>
        <v>Указывается общее изменение стоимости основных фондов.</v>
      </c>
      <c r="L54" s="1128" t="str">
        <f>IF(I54=0,"",I54)</f>
        <v>5</v>
      </c>
      <c r="M54" s="1128" t="str">
        <f>IF(J54=0,"",J54)</f>
        <v>Изменение стоимости основных фондов, в том числе:</v>
      </c>
      <c r="N54" s="1128" t="str">
        <f>IF(K54=0,"",K54)</f>
        <v>Указывается общее изменение стоимости основных фондов.</v>
      </c>
      <c r="O54" s="1241" t="s">
        <v>112</v>
      </c>
      <c r="P54" s="1241" t="s">
        <v>92</v>
      </c>
      <c r="Q54" s="1241" t="s">
        <v>92</v>
      </c>
      <c r="R54" s="1241" t="s">
        <v>92</v>
      </c>
      <c r="S54" s="1241"/>
      <c r="T54" s="1127" t="s">
        <v>759</v>
      </c>
      <c r="U54" s="1127" t="s">
        <v>759</v>
      </c>
      <c r="V54" s="1127" t="s">
        <v>759</v>
      </c>
      <c r="W54" s="1127" t="s">
        <v>759</v>
      </c>
      <c r="X54" s="1127"/>
      <c r="Y54" s="1284"/>
      <c r="Z54" s="1130" t="s">
        <v>760</v>
      </c>
      <c r="AA54" s="1130" t="s">
        <v>760</v>
      </c>
      <c r="AB54" s="1130" t="s">
        <v>760</v>
      </c>
      <c r="AC54" s="1130" t="s">
        <v>760</v>
      </c>
      <c r="AD54" s="1130"/>
    </row>
    <row customHeight="1" ht="36">
      <c r="A55" s="1129"/>
      <c r="B55" s="1183">
        <v>38</v>
      </c>
      <c r="C55" s="1127">
        <v>1</v>
      </c>
      <c r="D55" s="1251"/>
      <c r="E55" s="1127"/>
      <c r="F55" s="1127"/>
      <c r="G55" s="1127"/>
      <c r="H55" s="1175"/>
      <c r="I55" s="1289" t="str">
        <f>INDEX(TEMPLATE_NUMBER_POINT_FHD,B55,MATCH(TEMPLATE_SPHERE,TEMPLATE_SPHERE_LIST_FOR_NOTE,0))</f>
        <v>5.1</v>
      </c>
      <c r="J55" s="1289" t="str">
        <f>INDEX(TEMPLATE_DATA_POINT_FHD,B55,MATCH(TEMPLATE_SPHERE,TEMPLATE_SPHERE_LIST_FOR_NOTE,0))</f>
        <v>Изменение стоимости основных фондов за счет:</v>
      </c>
      <c r="K55" s="1289" t="str">
        <f>INDEX(TEMPLATE_NOTE_POINT_FHD,B55,MATCH(TEMPLATE_SPHERE,TEMPLATE_SPHERE_LIST_FOR_NOTE,0))</f>
        <v>Указываются общее изменение стоимости основных фондов за счет их ввода в эксплуатацию и вывода из эксплуатации.</v>
      </c>
      <c r="L55" s="1128" t="str">
        <f>IF(I55=0,"",I55)</f>
        <v>5.1</v>
      </c>
      <c r="M55" s="1128" t="str">
        <f>IF(J55=0,"",J55)</f>
        <v>Изменение стоимости основных фондов за счет:</v>
      </c>
      <c r="N55" s="1128" t="str">
        <f>IF(K55=0,"",K55)</f>
        <v>Указываются общее изменение стоимости основных фондов за счет их ввода в эксплуатацию и вывода из эксплуатации.</v>
      </c>
      <c r="O55" s="1241" t="s">
        <v>318</v>
      </c>
      <c r="P55" s="1241" t="s">
        <v>761</v>
      </c>
      <c r="Q55" s="1241" t="s">
        <v>761</v>
      </c>
      <c r="R55" s="1241" t="s">
        <v>761</v>
      </c>
      <c r="S55" s="1241"/>
      <c r="T55" s="1128" t="str">
        <f>IF(TITLE_TYPE_ORG="Регулируемая организация","Изменение стоимости основных фондов за счет:","за счет их ввода в эксплуатацию (вывода из эксплуатации)")</f>
        <v>Изменение стоимости основных фондов за счет:</v>
      </c>
      <c r="U55" s="1127" t="s">
        <v>2153</v>
      </c>
      <c r="V55" s="1127" t="s">
        <v>2153</v>
      </c>
      <c r="W55" s="1127" t="s">
        <v>2153</v>
      </c>
      <c r="X55" s="1127"/>
      <c r="Y55" s="1284"/>
      <c r="Z55" s="1130" t="s">
        <v>2154</v>
      </c>
      <c r="AA55" s="1130" t="s">
        <v>2154</v>
      </c>
      <c r="AB55" s="1130" t="s">
        <v>2154</v>
      </c>
      <c r="AC55" s="1130" t="s">
        <v>2154</v>
      </c>
      <c r="AD55" s="1130"/>
    </row>
    <row customHeight="1" ht="27">
      <c r="A56" s="1129"/>
      <c r="B56" s="1183">
        <v>39</v>
      </c>
      <c r="C56" s="1127" t="s">
        <v>1029</v>
      </c>
      <c r="D56" s="1251"/>
      <c r="E56" s="1127"/>
      <c r="F56" s="1127"/>
      <c r="G56" s="1127"/>
      <c r="H56" s="1175"/>
      <c r="I56" s="1289" t="str">
        <f>INDEX(TEMPLATE_NUMBER_POINT_FHD,B56,MATCH(TEMPLATE_SPHERE,TEMPLATE_SPHERE_LIST_FOR_NOTE,0))</f>
        <v>5.1.1</v>
      </c>
      <c r="J56" s="1289" t="str">
        <f>INDEX(TEMPLATE_DATA_POINT_FHD,B56,MATCH(TEMPLATE_SPHERE,TEMPLATE_SPHERE_LIST_FOR_NOTE,0))</f>
        <v>Изменения стоимости основных фондов за счет их ввода в эксплуатацию</v>
      </c>
      <c r="K56" s="1289" t="str">
        <f>INDEX(TEMPLATE_NOTE_POINT_FHD,B56,MATCH(TEMPLATE_SPHERE,TEMPLATE_SPHERE_LIST_FOR_NOTE,0))</f>
        <v>Указываются изменение стоимости основных фондов за счет их ввода в эксплуатацию.</v>
      </c>
      <c r="L56" s="1128" t="str">
        <f>IF(I56=0,"",I56)</f>
        <v>5.1.1</v>
      </c>
      <c r="M56" s="1128" t="str">
        <f>IF(J56=0,"",J56)</f>
        <v>Изменения стоимости основных фондов за счет их ввода в эксплуатацию</v>
      </c>
      <c r="N56" s="1128" t="str">
        <f>IF(K56=0,"",K56)</f>
        <v>Указываются изменение стоимости основных фондов за счет их ввода в эксплуатацию.</v>
      </c>
      <c r="O56" s="1241" t="s">
        <v>1146</v>
      </c>
      <c r="P56" s="1241" t="s">
        <v>764</v>
      </c>
      <c r="Q56" s="1241" t="s">
        <v>764</v>
      </c>
      <c r="R56" s="1241" t="s">
        <v>764</v>
      </c>
      <c r="S56" s="1241"/>
      <c r="T56" s="1128" t="str">
        <f>IF(TITLE_TYPE_ORG="Регулируемая организация","Изменения стоимости основных фондов за счет их ввода в эксплуатацию","за счет их ввода в эксплуатацию")</f>
        <v>Изменения стоимости основных фондов за счет их ввода в эксплуатацию</v>
      </c>
      <c r="U56" s="1127" t="s">
        <v>2155</v>
      </c>
      <c r="V56" s="1127" t="s">
        <v>2155</v>
      </c>
      <c r="W56" s="1127" t="s">
        <v>2155</v>
      </c>
      <c r="X56" s="1127"/>
      <c r="Y56" s="1284"/>
      <c r="Z56" s="1130" t="s">
        <v>766</v>
      </c>
      <c r="AA56" s="1130" t="s">
        <v>766</v>
      </c>
      <c r="AB56" s="1130" t="s">
        <v>766</v>
      </c>
      <c r="AC56" s="1130" t="s">
        <v>766</v>
      </c>
      <c r="AD56" s="1130"/>
    </row>
    <row customHeight="1" ht="27">
      <c r="A57" s="1129"/>
      <c r="B57" s="1183">
        <v>40</v>
      </c>
      <c r="C57" s="1127" t="s">
        <v>1031</v>
      </c>
      <c r="D57" s="1251"/>
      <c r="E57" s="1127"/>
      <c r="F57" s="1127"/>
      <c r="G57" s="1127"/>
      <c r="H57" s="1175"/>
      <c r="I57" s="1289" t="str">
        <f>INDEX(TEMPLATE_NUMBER_POINT_FHD,B57,MATCH(TEMPLATE_SPHERE,TEMPLATE_SPHERE_LIST_FOR_NOTE,0))</f>
        <v>5.1.2</v>
      </c>
      <c r="J57" s="1289" t="str">
        <f>INDEX(TEMPLATE_DATA_POINT_FHD,B57,MATCH(TEMPLATE_SPHERE,TEMPLATE_SPHERE_LIST_FOR_NOTE,0))</f>
        <v>Изменения стоимости основных фондов за счет их вывода в эксплуатацию</v>
      </c>
      <c r="K57" s="1289" t="str">
        <f>INDEX(TEMPLATE_NOTE_POINT_FHD,B57,MATCH(TEMPLATE_SPHERE,TEMPLATE_SPHERE_LIST_FOR_NOTE,0))</f>
        <v>Указываются изменение стоимости основных фондов за счет их вывода из эксплуатации.</v>
      </c>
      <c r="L57" s="1128" t="str">
        <f>IF(I57=0,"",I57)</f>
        <v>5.1.2</v>
      </c>
      <c r="M57" s="1128" t="str">
        <f>IF(J57=0,"",J57)</f>
        <v>Изменения стоимости основных фондов за счет их вывода в эксплуатацию</v>
      </c>
      <c r="N57" s="1128" t="str">
        <f>IF(K57=0,"",K57)</f>
        <v>Указываются изменение стоимости основных фондов за счет их вывода из эксплуатации.</v>
      </c>
      <c r="O57" s="1241" t="s">
        <v>2156</v>
      </c>
      <c r="P57" s="1241" t="s">
        <v>767</v>
      </c>
      <c r="Q57" s="1241" t="s">
        <v>767</v>
      </c>
      <c r="R57" s="1241" t="s">
        <v>767</v>
      </c>
      <c r="S57" s="1241"/>
      <c r="T57" s="1128" t="str">
        <f>IF(TITLE_TYPE_ORG="Регулируемая организация","Изменения стоимости основных фондов за счет их вывода в эксплуатацию","за счет их вывода в эксплуатацию")</f>
        <v>Изменения стоимости основных фондов за счет их вывода в эксплуатацию</v>
      </c>
      <c r="U57" s="1127" t="s">
        <v>2157</v>
      </c>
      <c r="V57" s="1127" t="s">
        <v>2157</v>
      </c>
      <c r="W57" s="1127" t="s">
        <v>2157</v>
      </c>
      <c r="X57" s="1127"/>
      <c r="Y57" s="1284"/>
      <c r="Z57" s="1130" t="s">
        <v>769</v>
      </c>
      <c r="AA57" s="1130" t="s">
        <v>769</v>
      </c>
      <c r="AB57" s="1130" t="s">
        <v>769</v>
      </c>
      <c r="AC57" s="1130" t="s">
        <v>769</v>
      </c>
      <c r="AD57" s="1130"/>
    </row>
    <row customHeight="1" ht="18">
      <c r="A58" s="1129"/>
      <c r="B58" s="1183">
        <v>41</v>
      </c>
      <c r="C58" s="1127">
        <v>2</v>
      </c>
      <c r="D58" s="1251"/>
      <c r="E58" s="1127"/>
      <c r="F58" s="1127"/>
      <c r="G58" s="1127"/>
      <c r="H58" s="1175"/>
      <c r="I58" s="1289" t="str">
        <f>INDEX(TEMPLATE_NUMBER_POINT_FHD,B58,MATCH(TEMPLATE_SPHERE,TEMPLATE_SPHERE_LIST_FOR_NOTE,0))</f>
        <v>5.2</v>
      </c>
      <c r="J58" s="1289" t="str">
        <f>INDEX(TEMPLATE_DATA_POINT_FHD,B58,MATCH(TEMPLATE_SPHERE,TEMPLATE_SPHERE_LIST_FOR_NOTE,0))</f>
        <v>Изменение стоимости основных фондов за счет их переоценки</v>
      </c>
      <c r="K58" s="1289">
        <f>INDEX(TEMPLATE_NOTE_POINT_FHD,B58,MATCH(TEMPLATE_SPHERE,TEMPLATE_SPHERE_LIST_FOR_NOTE,0))</f>
        <v>0</v>
      </c>
      <c r="L58" s="1128" t="str">
        <f>IF(I58=0,"",I58)</f>
        <v>5.2</v>
      </c>
      <c r="M58" s="1128" t="str">
        <f>IF(J58=0,"",J58)</f>
        <v>Изменение стоимости основных фондов за счет их переоценки</v>
      </c>
      <c r="N58" s="1128" t="str">
        <f>IF(K58=0,"",K58)</f>
        <v/>
      </c>
      <c r="O58" s="1241" t="s">
        <v>889</v>
      </c>
      <c r="P58" s="1241" t="s">
        <v>803</v>
      </c>
      <c r="Q58" s="1241" t="s">
        <v>803</v>
      </c>
      <c r="R58" s="1241" t="s">
        <v>803</v>
      </c>
      <c r="S58" s="1241"/>
      <c r="T58" s="1128" t="str">
        <f>IF(TITLE_TYPE_ORG="Регулируемая организация","Изменение стоимости основных фондов за счет их переоценки","за счет их переоценки")</f>
        <v>Изменение стоимости основных фондов за счет их переоценки</v>
      </c>
      <c r="U58" s="1127" t="s">
        <v>2158</v>
      </c>
      <c r="V58" s="1127" t="s">
        <v>2158</v>
      </c>
      <c r="W58" s="1127" t="s">
        <v>2158</v>
      </c>
      <c r="X58" s="1127"/>
      <c r="Y58" s="1284"/>
      <c r="Z58" s="1130"/>
      <c r="AA58" s="1133"/>
      <c r="AB58" s="1130"/>
      <c r="AC58" s="1130"/>
      <c r="AD58" s="1130"/>
    </row>
    <row customHeight="1" ht="36">
      <c r="A59" s="1129"/>
      <c r="B59" s="1183">
        <v>42</v>
      </c>
      <c r="C59" s="1127">
        <v>3</v>
      </c>
      <c r="D59" s="1251" t="s">
        <v>2146</v>
      </c>
      <c r="E59" s="1127" t="s">
        <v>2146</v>
      </c>
      <c r="F59" s="1127" t="s">
        <v>2146</v>
      </c>
      <c r="G59" s="1127"/>
      <c r="H59" s="1175"/>
      <c r="I59" s="1289">
        <f>INDEX(TEMPLATE_NUMBER_POINT_FHD,B59,MATCH(TEMPLATE_SPHERE,TEMPLATE_SPHERE_LIST_FOR_NOTE,0))</f>
        <v>0</v>
      </c>
      <c r="J59" s="1289">
        <f>INDEX(TEMPLATE_DATA_POINT_FHD,B59,MATCH(TEMPLATE_SPHERE,TEMPLATE_SPHERE_LIST_FOR_NOTE,0))</f>
        <v>0</v>
      </c>
      <c r="K59" s="1289">
        <f>INDEX(TEMPLATE_NOTE_POINT_FHD,B59,MATCH(TEMPLATE_SPHERE,TEMPLATE_SPHERE_LIST_FOR_NOTE,0))</f>
        <v>0</v>
      </c>
      <c r="L59" s="1128" t="str">
        <f>IF(I59=0,"",I59)</f>
        <v/>
      </c>
      <c r="M59" s="1128" t="str">
        <f>IF(J59=0,"",J59)</f>
        <v/>
      </c>
      <c r="N59" s="1128" t="str">
        <f>IF(K59=0,"",K59)</f>
        <v/>
      </c>
      <c r="O59" s="1241"/>
      <c r="P59" s="1241" t="s">
        <v>112</v>
      </c>
      <c r="Q59" s="1241" t="s">
        <v>112</v>
      </c>
      <c r="R59" s="1241" t="s">
        <v>112</v>
      </c>
      <c r="S59" s="1241"/>
      <c r="T59" s="1127"/>
      <c r="U59" s="1127" t="s">
        <v>2159</v>
      </c>
      <c r="V59" s="1127" t="s">
        <v>2160</v>
      </c>
      <c r="W59" s="1127" t="s">
        <v>2161</v>
      </c>
      <c r="X59" s="1127"/>
      <c r="Y59" s="1284"/>
      <c r="Z59" s="1130"/>
      <c r="AA59" s="1133"/>
      <c r="AB59" s="1130"/>
      <c r="AC59" s="1130"/>
      <c r="AD59" s="1130"/>
    </row>
    <row customHeight="1" ht="81">
      <c r="A60" s="1129"/>
      <c r="B60" s="1183">
        <v>43</v>
      </c>
      <c r="C60" s="1127" t="s">
        <v>2162</v>
      </c>
      <c r="D60" s="1251" t="s">
        <v>2162</v>
      </c>
      <c r="E60" s="1127" t="s">
        <v>2162</v>
      </c>
      <c r="F60" s="1127" t="s">
        <v>2162</v>
      </c>
      <c r="G60" s="1127"/>
      <c r="H60" s="1175"/>
      <c r="I60" s="1289" t="str">
        <f>INDEX(TEMPLATE_NUMBER_POINT_FHD,B60,MATCH(TEMPLATE_SPHERE,TEMPLATE_SPHERE_LIST_FOR_NOTE,0))</f>
        <v>6</v>
      </c>
      <c r="J60" s="1289" t="str">
        <f>INDEX(TEMPLATE_DATA_POINT_FHD,B60,MATCH(TEMPLATE_SPHERE,TEMPLATE_SPHERE_LIST_FOR_NOTE,0))</f>
        <v>Годовая бухгалтерская (финансовая) отчетность, включая бухгалтерский баланс и приложения к нему</v>
      </c>
      <c r="K60" s="1289" t="str">
        <f>INDEX(TEMPLATE_NOTE_POINT_FHD,B60,MATCH(TEMPLATE_SPHERE,TEMPLATE_SPHERE_LIST_FOR_NOTE,0))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L60" s="1128" t="str">
        <f>IF(I60=0,"",I60)</f>
        <v>6</v>
      </c>
      <c r="M60" s="1128" t="str">
        <f>IF(J60=0,"",J60)</f>
        <v>Годовая бухгалтерская (финансовая) отчетность, включая бухгалтерский баланс и приложения к нему</v>
      </c>
      <c r="N60" s="1128" t="str">
        <f>IF(K60=0,"",K60)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O60" s="1241" t="s">
        <v>93</v>
      </c>
      <c r="P60" s="1241" t="s">
        <v>93</v>
      </c>
      <c r="Q60" s="1241" t="s">
        <v>93</v>
      </c>
      <c r="R60" s="1241" t="s">
        <v>93</v>
      </c>
      <c r="S60" s="1241"/>
      <c r="T60" s="1127" t="s">
        <v>637</v>
      </c>
      <c r="U60" s="1127" t="s">
        <v>637</v>
      </c>
      <c r="V60" s="1127" t="s">
        <v>637</v>
      </c>
      <c r="W60" s="1127" t="s">
        <v>637</v>
      </c>
      <c r="X60" s="1127"/>
      <c r="Y60" s="1284"/>
      <c r="Z60" s="1130" t="s">
        <v>2163</v>
      </c>
      <c r="AA60" s="1133" t="s">
        <v>2164</v>
      </c>
      <c r="AB60" s="1130" t="s">
        <v>2165</v>
      </c>
      <c r="AC60" s="1130" t="s">
        <v>2164</v>
      </c>
      <c r="AD60" s="1130"/>
    </row>
    <row customHeight="1" ht="9">
      <c r="A61" s="1129"/>
      <c r="B61" s="1183">
        <v>44</v>
      </c>
      <c r="C61" s="1127"/>
      <c r="D61" s="1251" t="s">
        <v>2166</v>
      </c>
      <c r="E61" s="1127"/>
      <c r="F61" s="1127"/>
      <c r="G61" s="1127"/>
      <c r="H61" s="1175"/>
      <c r="I61" s="1289">
        <f>INDEX(TEMPLATE_NUMBER_POINT_FHD,B61,MATCH(TEMPLATE_SPHERE,TEMPLATE_SPHERE_LIST_FOR_NOTE,0))</f>
        <v>0</v>
      </c>
      <c r="J61" s="1289">
        <f>INDEX(TEMPLATE_DATA_POINT_FHD,B61,MATCH(TEMPLATE_SPHERE,TEMPLATE_SPHERE_LIST_FOR_NOTE,0))</f>
        <v>0</v>
      </c>
      <c r="K61" s="1289">
        <f>INDEX(TEMPLATE_NOTE_POINT_FHD,B61,MATCH(TEMPLATE_SPHERE,TEMPLATE_SPHERE_LIST_FOR_NOTE,0))</f>
        <v>0</v>
      </c>
      <c r="L61" s="1128" t="str">
        <f>IF(I61=0,"",I61)</f>
        <v/>
      </c>
      <c r="M61" s="1128" t="str">
        <f>IF(J61=0,"",J61)</f>
        <v/>
      </c>
      <c r="N61" s="1128" t="str">
        <f>IF(K61=0,"",K61)</f>
        <v/>
      </c>
      <c r="O61" s="1241"/>
      <c r="P61" s="1241" t="s">
        <v>94</v>
      </c>
      <c r="Q61" s="1241"/>
      <c r="R61" s="1241"/>
      <c r="S61" s="1241"/>
      <c r="T61" s="1127"/>
      <c r="U61" s="1127" t="s">
        <v>2167</v>
      </c>
      <c r="V61" s="1127"/>
      <c r="W61" s="1127"/>
      <c r="X61" s="1127"/>
      <c r="Y61" s="1284"/>
      <c r="Z61" s="1130"/>
      <c r="AA61" s="1133"/>
      <c r="AB61" s="1130"/>
      <c r="AC61" s="1130"/>
      <c r="AD61" s="1130"/>
    </row>
    <row customHeight="1" ht="9">
      <c r="A62" s="1129"/>
      <c r="B62" s="1183">
        <v>45</v>
      </c>
      <c r="C62" s="1127"/>
      <c r="D62" s="1251" t="s">
        <v>2168</v>
      </c>
      <c r="E62" s="1127"/>
      <c r="F62" s="1127"/>
      <c r="G62" s="1127"/>
      <c r="H62" s="1175"/>
      <c r="I62" s="1289">
        <f>INDEX(TEMPLATE_NUMBER_POINT_FHD,B62,MATCH(TEMPLATE_SPHERE,TEMPLATE_SPHERE_LIST_FOR_NOTE,0))</f>
        <v>0</v>
      </c>
      <c r="J62" s="1289">
        <f>INDEX(TEMPLATE_DATA_POINT_FHD,B62,MATCH(TEMPLATE_SPHERE,TEMPLATE_SPHERE_LIST_FOR_NOTE,0))</f>
        <v>0</v>
      </c>
      <c r="K62" s="1289">
        <f>INDEX(TEMPLATE_NOTE_POINT_FHD,B62,MATCH(TEMPLATE_SPHERE,TEMPLATE_SPHERE_LIST_FOR_NOTE,0))</f>
        <v>0</v>
      </c>
      <c r="L62" s="1128" t="str">
        <f>IF(I62=0,"",I62)</f>
        <v/>
      </c>
      <c r="M62" s="1128" t="str">
        <f>IF(J62=0,"",J62)</f>
        <v/>
      </c>
      <c r="N62" s="1128" t="str">
        <f>IF(K62=0,"",K62)</f>
        <v/>
      </c>
      <c r="O62" s="1241"/>
      <c r="P62" s="1241" t="s">
        <v>113</v>
      </c>
      <c r="Q62" s="1241"/>
      <c r="R62" s="1241"/>
      <c r="S62" s="1241"/>
      <c r="T62" s="1127"/>
      <c r="U62" s="1127" t="s">
        <v>2169</v>
      </c>
      <c r="V62" s="1127"/>
      <c r="W62" s="1127"/>
      <c r="X62" s="1127"/>
      <c r="Y62" s="1284"/>
      <c r="Z62" s="1130"/>
      <c r="AA62" s="1133"/>
      <c r="AB62" s="1130"/>
      <c r="AC62" s="1130"/>
      <c r="AD62" s="1130"/>
    </row>
    <row customHeight="1" ht="18">
      <c r="A63" s="1129"/>
      <c r="B63" s="1183">
        <v>46</v>
      </c>
      <c r="C63" s="1127"/>
      <c r="D63" s="1251" t="s">
        <v>2170</v>
      </c>
      <c r="E63" s="1127"/>
      <c r="F63" s="1127"/>
      <c r="G63" s="1127"/>
      <c r="H63" s="1175"/>
      <c r="I63" s="1289">
        <f>INDEX(TEMPLATE_NUMBER_POINT_FHD,B63,MATCH(TEMPLATE_SPHERE,TEMPLATE_SPHERE_LIST_FOR_NOTE,0))</f>
        <v>0</v>
      </c>
      <c r="J63" s="1289">
        <f>INDEX(TEMPLATE_DATA_POINT_FHD,B63,MATCH(TEMPLATE_SPHERE,TEMPLATE_SPHERE_LIST_FOR_NOTE,0))</f>
        <v>0</v>
      </c>
      <c r="K63" s="1289">
        <f>INDEX(TEMPLATE_NOTE_POINT_FHD,B63,MATCH(TEMPLATE_SPHERE,TEMPLATE_SPHERE_LIST_FOR_NOTE,0))</f>
        <v>0</v>
      </c>
      <c r="L63" s="1128" t="str">
        <f>IF(I63=0,"",I63)</f>
        <v/>
      </c>
      <c r="M63" s="1128" t="str">
        <f>IF(J63=0,"",J63)</f>
        <v/>
      </c>
      <c r="N63" s="1128" t="str">
        <f>IF(K63=0,"",K63)</f>
        <v/>
      </c>
      <c r="O63" s="1241"/>
      <c r="P63" s="1241" t="s">
        <v>149</v>
      </c>
      <c r="Q63" s="1241"/>
      <c r="R63" s="1241"/>
      <c r="S63" s="1241"/>
      <c r="T63" s="1127"/>
      <c r="U63" s="1127" t="s">
        <v>2171</v>
      </c>
      <c r="V63" s="1127"/>
      <c r="W63" s="1127"/>
      <c r="X63" s="1127"/>
      <c r="Y63" s="1284"/>
      <c r="Z63" s="1130"/>
      <c r="AA63" s="1133"/>
      <c r="AB63" s="1130"/>
      <c r="AC63" s="1130"/>
      <c r="AD63" s="1130"/>
    </row>
    <row customHeight="1" ht="18">
      <c r="A64" s="1129"/>
      <c r="B64" s="1183">
        <v>47</v>
      </c>
      <c r="C64" s="1127"/>
      <c r="D64" s="1251" t="s">
        <v>2172</v>
      </c>
      <c r="E64" s="1127"/>
      <c r="F64" s="1127"/>
      <c r="G64" s="1127"/>
      <c r="H64" s="1175"/>
      <c r="I64" s="1289">
        <f>INDEX(TEMPLATE_NUMBER_POINT_FHD,B64,MATCH(TEMPLATE_SPHERE,TEMPLATE_SPHERE_LIST_FOR_NOTE,0))</f>
        <v>0</v>
      </c>
      <c r="J64" s="1289">
        <f>INDEX(TEMPLATE_DATA_POINT_FHD,B64,MATCH(TEMPLATE_SPHERE,TEMPLATE_SPHERE_LIST_FOR_NOTE,0))</f>
        <v>0</v>
      </c>
      <c r="K64" s="1289">
        <f>INDEX(TEMPLATE_NOTE_POINT_FHD,B64,MATCH(TEMPLATE_SPHERE,TEMPLATE_SPHERE_LIST_FOR_NOTE,0))</f>
        <v>0</v>
      </c>
      <c r="L64" s="1128" t="str">
        <f>IF(I64=0,"",I64)</f>
        <v/>
      </c>
      <c r="M64" s="1128" t="str">
        <f>IF(J64=0,"",J64)</f>
        <v/>
      </c>
      <c r="N64" s="1128" t="str">
        <f>IF(K64=0,"",K64)</f>
        <v/>
      </c>
      <c r="O64" s="1241"/>
      <c r="P64" s="1241" t="s">
        <v>150</v>
      </c>
      <c r="Q64" s="1241"/>
      <c r="R64" s="1241"/>
      <c r="S64" s="1241"/>
      <c r="T64" s="1127"/>
      <c r="U64" s="1127" t="s">
        <v>2173</v>
      </c>
      <c r="V64" s="1127"/>
      <c r="W64" s="1127"/>
      <c r="X64" s="1127"/>
      <c r="Y64" s="1284"/>
      <c r="Z64" s="1130"/>
      <c r="AA64" s="1133" t="s">
        <v>2174</v>
      </c>
      <c r="AB64" s="1130"/>
      <c r="AC64" s="1130"/>
      <c r="AD64" s="1130"/>
    </row>
    <row customHeight="1" ht="18">
      <c r="A65" s="1129"/>
      <c r="B65" s="1183">
        <v>48</v>
      </c>
      <c r="C65" s="1127"/>
      <c r="D65" s="1251"/>
      <c r="E65" s="1127"/>
      <c r="F65" s="1127"/>
      <c r="G65" s="1127"/>
      <c r="H65" s="1175"/>
      <c r="I65" s="1289">
        <f>INDEX(TEMPLATE_NUMBER_POINT_FHD,B65,MATCH(TEMPLATE_SPHERE,TEMPLATE_SPHERE_LIST_FOR_NOTE,0))</f>
        <v>0</v>
      </c>
      <c r="J65" s="1289">
        <f>INDEX(TEMPLATE_DATA_POINT_FHD,B65,MATCH(TEMPLATE_SPHERE,TEMPLATE_SPHERE_LIST_FOR_NOTE,0))</f>
        <v>0</v>
      </c>
      <c r="K65" s="1289">
        <f>INDEX(TEMPLATE_NOTE_POINT_FHD,B65,MATCH(TEMPLATE_SPHERE,TEMPLATE_SPHERE_LIST_FOR_NOTE,0))</f>
        <v>0</v>
      </c>
      <c r="L65" s="1128" t="str">
        <f>IF(I65=0,"",I65)</f>
        <v/>
      </c>
      <c r="M65" s="1128" t="str">
        <f>IF(J65=0,"",J65)</f>
        <v/>
      </c>
      <c r="N65" s="1128" t="str">
        <f>IF(K65=0,"",K65)</f>
        <v/>
      </c>
      <c r="O65" s="1241"/>
      <c r="P65" s="1241" t="s">
        <v>2087</v>
      </c>
      <c r="Q65" s="1241"/>
      <c r="R65" s="1241"/>
      <c r="S65" s="1241"/>
      <c r="T65" s="1127"/>
      <c r="U65" s="1127" t="s">
        <v>2175</v>
      </c>
      <c r="V65" s="1127"/>
      <c r="W65" s="1127"/>
      <c r="X65" s="1127"/>
      <c r="Y65" s="1284"/>
      <c r="Z65" s="1130"/>
      <c r="AA65" s="1133"/>
      <c r="AB65" s="1130"/>
      <c r="AC65" s="1130"/>
      <c r="AD65" s="1130"/>
    </row>
    <row customHeight="1" ht="18">
      <c r="A66" s="1129"/>
      <c r="B66" s="1183">
        <v>49</v>
      </c>
      <c r="C66" s="1127"/>
      <c r="D66" s="1251"/>
      <c r="E66" s="1127"/>
      <c r="F66" s="1127"/>
      <c r="G66" s="1127"/>
      <c r="H66" s="1175"/>
      <c r="I66" s="1289">
        <f>INDEX(TEMPLATE_NUMBER_POINT_FHD,B66,MATCH(TEMPLATE_SPHERE,TEMPLATE_SPHERE_LIST_FOR_NOTE,0))</f>
        <v>0</v>
      </c>
      <c r="J66" s="1289">
        <f>INDEX(TEMPLATE_DATA_POINT_FHD,B66,MATCH(TEMPLATE_SPHERE,TEMPLATE_SPHERE_LIST_FOR_NOTE,0))</f>
        <v>0</v>
      </c>
      <c r="K66" s="1289">
        <f>INDEX(TEMPLATE_NOTE_POINT_FHD,B66,MATCH(TEMPLATE_SPHERE,TEMPLATE_SPHERE_LIST_FOR_NOTE,0))</f>
        <v>0</v>
      </c>
      <c r="L66" s="1128" t="str">
        <f>IF(I66=0,"",I66)</f>
        <v/>
      </c>
      <c r="M66" s="1128" t="str">
        <f>IF(J66=0,"",J66)</f>
        <v/>
      </c>
      <c r="N66" s="1128" t="str">
        <f>IF(K66=0,"",K66)</f>
        <v/>
      </c>
      <c r="O66" s="1241"/>
      <c r="P66" s="1241" t="s">
        <v>2091</v>
      </c>
      <c r="Q66" s="1241"/>
      <c r="R66" s="1241"/>
      <c r="S66" s="1241"/>
      <c r="T66" s="1127"/>
      <c r="U66" s="1127" t="s">
        <v>2176</v>
      </c>
      <c r="V66" s="1127"/>
      <c r="W66" s="1127"/>
      <c r="X66" s="1127"/>
      <c r="Y66" s="1284"/>
      <c r="Z66" s="1130"/>
      <c r="AA66" s="1133"/>
      <c r="AB66" s="1130"/>
      <c r="AC66" s="1130"/>
      <c r="AD66" s="1130"/>
    </row>
    <row customHeight="1" ht="27">
      <c r="A67" s="1129"/>
      <c r="B67" s="1183">
        <v>50</v>
      </c>
      <c r="C67" s="1127"/>
      <c r="D67" s="1251"/>
      <c r="E67" s="1127"/>
      <c r="F67" s="1127"/>
      <c r="G67" s="1127"/>
      <c r="H67" s="1175"/>
      <c r="I67" s="1289">
        <f>INDEX(TEMPLATE_NUMBER_POINT_FHD,B67,MATCH(TEMPLATE_SPHERE,TEMPLATE_SPHERE_LIST_FOR_NOTE,0))</f>
        <v>0</v>
      </c>
      <c r="J67" s="1289">
        <f>INDEX(TEMPLATE_DATA_POINT_FHD,B67,MATCH(TEMPLATE_SPHERE,TEMPLATE_SPHERE_LIST_FOR_NOTE,0))</f>
        <v>0</v>
      </c>
      <c r="K67" s="1289">
        <f>INDEX(TEMPLATE_NOTE_POINT_FHD,B67,MATCH(TEMPLATE_SPHERE,TEMPLATE_SPHERE_LIST_FOR_NOTE,0))</f>
        <v>0</v>
      </c>
      <c r="L67" s="1128" t="str">
        <f>IF(I67=0,"",I67)</f>
        <v/>
      </c>
      <c r="M67" s="1128" t="str">
        <f>IF(J67=0,"",J67)</f>
        <v/>
      </c>
      <c r="N67" s="1128" t="str">
        <f>IF(K67=0,"",K67)</f>
        <v/>
      </c>
      <c r="O67" s="1241"/>
      <c r="P67" s="1241" t="s">
        <v>2177</v>
      </c>
      <c r="Q67" s="1241"/>
      <c r="R67" s="1241"/>
      <c r="S67" s="1241"/>
      <c r="T67" s="1127"/>
      <c r="U67" s="1127" t="s">
        <v>2178</v>
      </c>
      <c r="V67" s="1127"/>
      <c r="W67" s="1127"/>
      <c r="X67" s="1127"/>
      <c r="Y67" s="1284"/>
      <c r="Z67" s="1130"/>
      <c r="AA67" s="1133"/>
      <c r="AB67" s="1130"/>
      <c r="AC67" s="1130"/>
      <c r="AD67" s="1130"/>
    </row>
    <row customHeight="1" ht="27">
      <c r="A68" s="1129"/>
      <c r="B68" s="1183">
        <v>51</v>
      </c>
      <c r="C68" s="1127"/>
      <c r="D68" s="1251"/>
      <c r="E68" s="1127"/>
      <c r="F68" s="1127"/>
      <c r="G68" s="1127"/>
      <c r="H68" s="1175"/>
      <c r="I68" s="1289">
        <f>INDEX(TEMPLATE_NUMBER_POINT_FHD,B68,MATCH(TEMPLATE_SPHERE,TEMPLATE_SPHERE_LIST_FOR_NOTE,0))</f>
        <v>0</v>
      </c>
      <c r="J68" s="1289">
        <f>INDEX(TEMPLATE_DATA_POINT_FHD,B68,MATCH(TEMPLATE_SPHERE,TEMPLATE_SPHERE_LIST_FOR_NOTE,0))</f>
        <v>0</v>
      </c>
      <c r="K68" s="1289">
        <f>INDEX(TEMPLATE_NOTE_POINT_FHD,B68,MATCH(TEMPLATE_SPHERE,TEMPLATE_SPHERE_LIST_FOR_NOTE,0))</f>
        <v>0</v>
      </c>
      <c r="L68" s="1128" t="str">
        <f>IF(I68=0,"",I68)</f>
        <v/>
      </c>
      <c r="M68" s="1128" t="str">
        <f>IF(J68=0,"",J68)</f>
        <v/>
      </c>
      <c r="N68" s="1128" t="str">
        <f>IF(K68=0,"",K68)</f>
        <v/>
      </c>
      <c r="O68" s="1241"/>
      <c r="P68" s="1241" t="s">
        <v>2179</v>
      </c>
      <c r="Q68" s="1241"/>
      <c r="R68" s="1241"/>
      <c r="S68" s="1241"/>
      <c r="T68" s="1127"/>
      <c r="U68" s="1127" t="s">
        <v>2180</v>
      </c>
      <c r="V68" s="1127"/>
      <c r="W68" s="1127"/>
      <c r="X68" s="1127"/>
      <c r="Y68" s="1284"/>
      <c r="Z68" s="1130"/>
      <c r="AA68" s="1133"/>
      <c r="AB68" s="1130"/>
      <c r="AC68" s="1130"/>
      <c r="AD68" s="1130"/>
    </row>
    <row customHeight="1" ht="9">
      <c r="A69" s="1129"/>
      <c r="B69" s="1183">
        <v>52</v>
      </c>
      <c r="C69" s="1127"/>
      <c r="D69" s="1251" t="s">
        <v>2181</v>
      </c>
      <c r="E69" s="1127"/>
      <c r="F69" s="1127"/>
      <c r="G69" s="1127"/>
      <c r="H69" s="1175"/>
      <c r="I69" s="1289">
        <f>INDEX(TEMPLATE_NUMBER_POINT_FHD,B69,MATCH(TEMPLATE_SPHERE,TEMPLATE_SPHERE_LIST_FOR_NOTE,0))</f>
        <v>0</v>
      </c>
      <c r="J69" s="1289">
        <f>INDEX(TEMPLATE_DATA_POINT_FHD,B69,MATCH(TEMPLATE_SPHERE,TEMPLATE_SPHERE_LIST_FOR_NOTE,0))</f>
        <v>0</v>
      </c>
      <c r="K69" s="1289">
        <f>INDEX(TEMPLATE_NOTE_POINT_FHD,B69,MATCH(TEMPLATE_SPHERE,TEMPLATE_SPHERE_LIST_FOR_NOTE,0))</f>
        <v>0</v>
      </c>
      <c r="L69" s="1128" t="str">
        <f>IF(I69=0,"",I69)</f>
        <v/>
      </c>
      <c r="M69" s="1128" t="str">
        <f>IF(J69=0,"",J69)</f>
        <v/>
      </c>
      <c r="N69" s="1128" t="str">
        <f>IF(K69=0,"",K69)</f>
        <v/>
      </c>
      <c r="O69" s="1241"/>
      <c r="P69" s="1241" t="s">
        <v>151</v>
      </c>
      <c r="Q69" s="1241"/>
      <c r="R69" s="1241"/>
      <c r="S69" s="1241"/>
      <c r="T69" s="1127"/>
      <c r="U69" s="1127" t="s">
        <v>2182</v>
      </c>
      <c r="V69" s="1127"/>
      <c r="W69" s="1127"/>
      <c r="X69" s="1127"/>
      <c r="Y69" s="1284"/>
      <c r="Z69" s="1130"/>
      <c r="AA69" s="1133"/>
      <c r="AB69" s="1130"/>
      <c r="AC69" s="1130"/>
      <c r="AD69" s="1130"/>
    </row>
    <row customHeight="1" ht="27">
      <c r="A70" s="1129"/>
      <c r="B70" s="1183">
        <v>53</v>
      </c>
      <c r="C70" s="1127"/>
      <c r="D70" s="1251"/>
      <c r="E70" s="1127" t="s">
        <v>2166</v>
      </c>
      <c r="F70" s="1127"/>
      <c r="G70" s="1127"/>
      <c r="H70" s="1175"/>
      <c r="I70" s="1289">
        <f>INDEX(TEMPLATE_NUMBER_POINT_FHD,B70,MATCH(TEMPLATE_SPHERE,TEMPLATE_SPHERE_LIST_FOR_NOTE,0))</f>
        <v>0</v>
      </c>
      <c r="J70" s="1289">
        <f>INDEX(TEMPLATE_DATA_POINT_FHD,B70,MATCH(TEMPLATE_SPHERE,TEMPLATE_SPHERE_LIST_FOR_NOTE,0))</f>
        <v>0</v>
      </c>
      <c r="K70" s="1289">
        <f>INDEX(TEMPLATE_NOTE_POINT_FHD,B70,MATCH(TEMPLATE_SPHERE,TEMPLATE_SPHERE_LIST_FOR_NOTE,0))</f>
        <v>0</v>
      </c>
      <c r="L70" s="1128" t="str">
        <f>IF(I70=0,"",I70)</f>
        <v/>
      </c>
      <c r="M70" s="1128" t="str">
        <f>IF(J70=0,"",J70)</f>
        <v/>
      </c>
      <c r="N70" s="1128" t="str">
        <f>IF(K70=0,"",K70)</f>
        <v/>
      </c>
      <c r="O70" s="1241"/>
      <c r="P70" s="1241"/>
      <c r="Q70" s="1241" t="s">
        <v>94</v>
      </c>
      <c r="R70" s="1241"/>
      <c r="S70" s="1241"/>
      <c r="T70" s="1127"/>
      <c r="U70" s="1127"/>
      <c r="V70" s="1127" t="s">
        <v>2183</v>
      </c>
      <c r="W70" s="1127"/>
      <c r="X70" s="1127"/>
      <c r="Y70" s="1284"/>
      <c r="Z70" s="1130"/>
      <c r="AA70" s="1133"/>
      <c r="AB70" s="1130"/>
      <c r="AC70" s="1130"/>
      <c r="AD70" s="1130"/>
    </row>
    <row customHeight="1" ht="36">
      <c r="A71" s="1129"/>
      <c r="B71" s="1183">
        <v>54</v>
      </c>
      <c r="C71" s="1127"/>
      <c r="D71" s="1251"/>
      <c r="E71" s="1127" t="s">
        <v>2168</v>
      </c>
      <c r="F71" s="1127"/>
      <c r="G71" s="1127"/>
      <c r="H71" s="1175"/>
      <c r="I71" s="1289">
        <f>INDEX(TEMPLATE_NUMBER_POINT_FHD,B71,MATCH(TEMPLATE_SPHERE,TEMPLATE_SPHERE_LIST_FOR_NOTE,0))</f>
        <v>0</v>
      </c>
      <c r="J71" s="1289">
        <f>INDEX(TEMPLATE_DATA_POINT_FHD,B71,MATCH(TEMPLATE_SPHERE,TEMPLATE_SPHERE_LIST_FOR_NOTE,0))</f>
        <v>0</v>
      </c>
      <c r="K71" s="1289">
        <f>INDEX(TEMPLATE_NOTE_POINT_FHD,B71,MATCH(TEMPLATE_SPHERE,TEMPLATE_SPHERE_LIST_FOR_NOTE,0))</f>
        <v>0</v>
      </c>
      <c r="L71" s="1128" t="str">
        <f>IF(I71=0,"",I71)</f>
        <v/>
      </c>
      <c r="M71" s="1128" t="str">
        <f>IF(J71=0,"",J71)</f>
        <v/>
      </c>
      <c r="N71" s="1128" t="str">
        <f>IF(K71=0,"",K71)</f>
        <v/>
      </c>
      <c r="O71" s="1241"/>
      <c r="P71" s="1241"/>
      <c r="Q71" s="1241" t="s">
        <v>113</v>
      </c>
      <c r="R71" s="1241"/>
      <c r="S71" s="1241"/>
      <c r="T71" s="1127"/>
      <c r="U71" s="1127"/>
      <c r="V71" s="1127" t="s">
        <v>2184</v>
      </c>
      <c r="W71" s="1127"/>
      <c r="X71" s="1127"/>
      <c r="Y71" s="1284"/>
      <c r="Z71" s="1130"/>
      <c r="AA71" s="1133"/>
      <c r="AB71" s="1130"/>
      <c r="AC71" s="1130"/>
      <c r="AD71" s="1130"/>
    </row>
    <row customHeight="1" ht="27">
      <c r="A72" s="1129"/>
      <c r="B72" s="1183">
        <v>55</v>
      </c>
      <c r="C72" s="1127"/>
      <c r="D72" s="1251"/>
      <c r="E72" s="1127" t="s">
        <v>2170</v>
      </c>
      <c r="F72" s="1127"/>
      <c r="G72" s="1127"/>
      <c r="H72" s="1175"/>
      <c r="I72" s="1289">
        <f>INDEX(TEMPLATE_NUMBER_POINT_FHD,B72,MATCH(TEMPLATE_SPHERE,TEMPLATE_SPHERE_LIST_FOR_NOTE,0))</f>
        <v>0</v>
      </c>
      <c r="J72" s="1289">
        <f>INDEX(TEMPLATE_DATA_POINT_FHD,B72,MATCH(TEMPLATE_SPHERE,TEMPLATE_SPHERE_LIST_FOR_NOTE,0))</f>
        <v>0</v>
      </c>
      <c r="K72" s="1289">
        <f>INDEX(TEMPLATE_NOTE_POINT_FHD,B72,MATCH(TEMPLATE_SPHERE,TEMPLATE_SPHERE_LIST_FOR_NOTE,0))</f>
        <v>0</v>
      </c>
      <c r="L72" s="1128" t="str">
        <f>IF(I72=0,"",I72)</f>
        <v/>
      </c>
      <c r="M72" s="1128" t="str">
        <f>IF(J72=0,"",J72)</f>
        <v/>
      </c>
      <c r="N72" s="1128" t="str">
        <f>IF(K72=0,"",K72)</f>
        <v/>
      </c>
      <c r="O72" s="1241"/>
      <c r="P72" s="1241"/>
      <c r="Q72" s="1241" t="s">
        <v>149</v>
      </c>
      <c r="R72" s="1241"/>
      <c r="S72" s="1241"/>
      <c r="T72" s="1127"/>
      <c r="U72" s="1127"/>
      <c r="V72" s="1127" t="s">
        <v>2185</v>
      </c>
      <c r="W72" s="1127"/>
      <c r="X72" s="1127"/>
      <c r="Y72" s="1284"/>
      <c r="Z72" s="1130"/>
      <c r="AA72" s="1133"/>
      <c r="AB72" s="1130"/>
      <c r="AC72" s="1130"/>
      <c r="AD72" s="1130"/>
    </row>
    <row customHeight="1" ht="36">
      <c r="A73" s="1129"/>
      <c r="B73" s="1183">
        <v>56</v>
      </c>
      <c r="C73" s="1127"/>
      <c r="D73" s="1251"/>
      <c r="E73" s="1127" t="s">
        <v>2172</v>
      </c>
      <c r="F73" s="1127"/>
      <c r="G73" s="1127"/>
      <c r="H73" s="1175"/>
      <c r="I73" s="1289">
        <f>INDEX(TEMPLATE_NUMBER_POINT_FHD,B73,MATCH(TEMPLATE_SPHERE,TEMPLATE_SPHERE_LIST_FOR_NOTE,0))</f>
        <v>0</v>
      </c>
      <c r="J73" s="1289">
        <f>INDEX(TEMPLATE_DATA_POINT_FHD,B73,MATCH(TEMPLATE_SPHERE,TEMPLATE_SPHERE_LIST_FOR_NOTE,0))</f>
        <v>0</v>
      </c>
      <c r="K73" s="1289">
        <f>INDEX(TEMPLATE_NOTE_POINT_FHD,B73,MATCH(TEMPLATE_SPHERE,TEMPLATE_SPHERE_LIST_FOR_NOTE,0))</f>
        <v>0</v>
      </c>
      <c r="L73" s="1128" t="str">
        <f>IF(I73=0,"",I73)</f>
        <v/>
      </c>
      <c r="M73" s="1128" t="str">
        <f>IF(J73=0,"",J73)</f>
        <v/>
      </c>
      <c r="N73" s="1128" t="str">
        <f>IF(K73=0,"",K73)</f>
        <v/>
      </c>
      <c r="O73" s="1241"/>
      <c r="P73" s="1241"/>
      <c r="Q73" s="1241" t="s">
        <v>150</v>
      </c>
      <c r="R73" s="1241"/>
      <c r="S73" s="1241"/>
      <c r="T73" s="1127"/>
      <c r="U73" s="1127"/>
      <c r="V73" s="1127" t="s">
        <v>2186</v>
      </c>
      <c r="W73" s="1127"/>
      <c r="X73" s="1127"/>
      <c r="Y73" s="1284"/>
      <c r="Z73" s="1130"/>
      <c r="AA73" s="1133"/>
      <c r="AB73" s="1130"/>
      <c r="AC73" s="1130"/>
      <c r="AD73" s="1130"/>
    </row>
    <row customHeight="1" ht="18">
      <c r="A74" s="1129"/>
      <c r="B74" s="1183">
        <v>57</v>
      </c>
      <c r="C74" s="1127"/>
      <c r="D74" s="1251"/>
      <c r="E74" s="1127" t="s">
        <v>2181</v>
      </c>
      <c r="F74" s="1127"/>
      <c r="G74" s="1127"/>
      <c r="H74" s="1175"/>
      <c r="I74" s="1289">
        <f>INDEX(TEMPLATE_NUMBER_POINT_FHD,B74,MATCH(TEMPLATE_SPHERE,TEMPLATE_SPHERE_LIST_FOR_NOTE,0))</f>
        <v>0</v>
      </c>
      <c r="J74" s="1289">
        <f>INDEX(TEMPLATE_DATA_POINT_FHD,B74,MATCH(TEMPLATE_SPHERE,TEMPLATE_SPHERE_LIST_FOR_NOTE,0))</f>
        <v>0</v>
      </c>
      <c r="K74" s="1289">
        <f>INDEX(TEMPLATE_NOTE_POINT_FHD,B74,MATCH(TEMPLATE_SPHERE,TEMPLATE_SPHERE_LIST_FOR_NOTE,0))</f>
        <v>0</v>
      </c>
      <c r="L74" s="1128" t="str">
        <f>IF(I74=0,"",I74)</f>
        <v/>
      </c>
      <c r="M74" s="1128" t="str">
        <f>IF(J74=0,"",J74)</f>
        <v/>
      </c>
      <c r="N74" s="1128" t="str">
        <f>IF(K74=0,"",K74)</f>
        <v/>
      </c>
      <c r="O74" s="1241"/>
      <c r="P74" s="1241"/>
      <c r="Q74" s="1241" t="s">
        <v>151</v>
      </c>
      <c r="R74" s="1241"/>
      <c r="S74" s="1241"/>
      <c r="T74" s="1127"/>
      <c r="U74" s="1127"/>
      <c r="V74" s="1127" t="s">
        <v>2187</v>
      </c>
      <c r="W74" s="1127"/>
      <c r="X74" s="1127"/>
      <c r="Y74" s="1284"/>
      <c r="Z74" s="1130"/>
      <c r="AA74" s="1133"/>
      <c r="AB74" s="1130"/>
      <c r="AC74" s="1130"/>
      <c r="AD74" s="1130"/>
    </row>
    <row customHeight="1" ht="18">
      <c r="A75" s="1129"/>
      <c r="B75" s="1183">
        <v>58</v>
      </c>
      <c r="C75" s="1127"/>
      <c r="D75" s="1251"/>
      <c r="E75" s="1127"/>
      <c r="F75" s="1127" t="s">
        <v>2166</v>
      </c>
      <c r="G75" s="1127"/>
      <c r="H75" s="1175"/>
      <c r="I75" s="1289">
        <f>INDEX(TEMPLATE_NUMBER_POINT_FHD,B75,MATCH(TEMPLATE_SPHERE,TEMPLATE_SPHERE_LIST_FOR_NOTE,0))</f>
        <v>0</v>
      </c>
      <c r="J75" s="1289">
        <f>INDEX(TEMPLATE_DATA_POINT_FHD,B75,MATCH(TEMPLATE_SPHERE,TEMPLATE_SPHERE_LIST_FOR_NOTE,0))</f>
        <v>0</v>
      </c>
      <c r="K75" s="1289">
        <f>INDEX(TEMPLATE_NOTE_POINT_FHD,B75,MATCH(TEMPLATE_SPHERE,TEMPLATE_SPHERE_LIST_FOR_NOTE,0))</f>
        <v>0</v>
      </c>
      <c r="L75" s="1128" t="str">
        <f>IF(I75=0,"",I75)</f>
        <v/>
      </c>
      <c r="M75" s="1128" t="str">
        <f>IF(J75=0,"",J75)</f>
        <v/>
      </c>
      <c r="N75" s="1128" t="str">
        <f>IF(K75=0,"",K75)</f>
        <v/>
      </c>
      <c r="O75" s="1241"/>
      <c r="P75" s="1241"/>
      <c r="Q75" s="1241"/>
      <c r="R75" s="1241" t="s">
        <v>94</v>
      </c>
      <c r="S75" s="1241"/>
      <c r="T75" s="1127"/>
      <c r="U75" s="1127"/>
      <c r="V75" s="1127"/>
      <c r="W75" s="1127" t="s">
        <v>2188</v>
      </c>
      <c r="X75" s="1127"/>
      <c r="Y75" s="1284"/>
      <c r="Z75" s="1130"/>
      <c r="AA75" s="1133"/>
      <c r="AB75" s="1130"/>
      <c r="AC75" s="1130"/>
      <c r="AD75" s="1130"/>
    </row>
    <row customHeight="1" ht="36">
      <c r="A76" s="1129"/>
      <c r="B76" s="1183">
        <v>59</v>
      </c>
      <c r="C76" s="1127"/>
      <c r="D76" s="1251"/>
      <c r="E76" s="1127"/>
      <c r="F76" s="1127" t="s">
        <v>2168</v>
      </c>
      <c r="G76" s="1127"/>
      <c r="H76" s="1175"/>
      <c r="I76" s="1289">
        <f>INDEX(TEMPLATE_NUMBER_POINT_FHD,B76,MATCH(TEMPLATE_SPHERE,TEMPLATE_SPHERE_LIST_FOR_NOTE,0))</f>
        <v>0</v>
      </c>
      <c r="J76" s="1289">
        <f>INDEX(TEMPLATE_DATA_POINT_FHD,B76,MATCH(TEMPLATE_SPHERE,TEMPLATE_SPHERE_LIST_FOR_NOTE,0))</f>
        <v>0</v>
      </c>
      <c r="K76" s="1289">
        <f>INDEX(TEMPLATE_NOTE_POINT_FHD,B76,MATCH(TEMPLATE_SPHERE,TEMPLATE_SPHERE_LIST_FOR_NOTE,0))</f>
        <v>0</v>
      </c>
      <c r="L76" s="1128" t="str">
        <f>IF(I76=0,"",I76)</f>
        <v/>
      </c>
      <c r="M76" s="1128" t="str">
        <f>IF(J76=0,"",J76)</f>
        <v/>
      </c>
      <c r="N76" s="1128" t="str">
        <f>IF(K76=0,"",K76)</f>
        <v/>
      </c>
      <c r="O76" s="1241"/>
      <c r="P76" s="1241"/>
      <c r="Q76" s="1241"/>
      <c r="R76" s="1241" t="s">
        <v>113</v>
      </c>
      <c r="S76" s="1241"/>
      <c r="T76" s="1127"/>
      <c r="U76" s="1127"/>
      <c r="V76" s="1127"/>
      <c r="W76" s="1127" t="s">
        <v>2189</v>
      </c>
      <c r="X76" s="1127"/>
      <c r="Y76" s="1284"/>
      <c r="Z76" s="1130"/>
      <c r="AA76" s="1133"/>
      <c r="AB76" s="1130"/>
      <c r="AC76" s="1130"/>
      <c r="AD76" s="1130"/>
    </row>
    <row customHeight="1" ht="18">
      <c r="A77" s="1129"/>
      <c r="B77" s="1183">
        <v>60</v>
      </c>
      <c r="C77" s="1127"/>
      <c r="D77" s="1251"/>
      <c r="E77" s="1127"/>
      <c r="F77" s="1127" t="s">
        <v>2170</v>
      </c>
      <c r="G77" s="1127"/>
      <c r="H77" s="1175"/>
      <c r="I77" s="1289">
        <f>INDEX(TEMPLATE_NUMBER_POINT_FHD,B77,MATCH(TEMPLATE_SPHERE,TEMPLATE_SPHERE_LIST_FOR_NOTE,0))</f>
        <v>0</v>
      </c>
      <c r="J77" s="1289">
        <f>INDEX(TEMPLATE_DATA_POINT_FHD,B77,MATCH(TEMPLATE_SPHERE,TEMPLATE_SPHERE_LIST_FOR_NOTE,0))</f>
        <v>0</v>
      </c>
      <c r="K77" s="1289">
        <f>INDEX(TEMPLATE_NOTE_POINT_FHD,B77,MATCH(TEMPLATE_SPHERE,TEMPLATE_SPHERE_LIST_FOR_NOTE,0))</f>
        <v>0</v>
      </c>
      <c r="L77" s="1128" t="str">
        <f>IF(I77=0,"",I77)</f>
        <v/>
      </c>
      <c r="M77" s="1128" t="str">
        <f>IF(J77=0,"",J77)</f>
        <v/>
      </c>
      <c r="N77" s="1128" t="str">
        <f>IF(K77=0,"",K77)</f>
        <v/>
      </c>
      <c r="O77" s="1241"/>
      <c r="P77" s="1241"/>
      <c r="Q77" s="1241"/>
      <c r="R77" s="1241" t="s">
        <v>149</v>
      </c>
      <c r="S77" s="1241"/>
      <c r="T77" s="1127"/>
      <c r="U77" s="1127"/>
      <c r="V77" s="1127"/>
      <c r="W77" s="1127" t="s">
        <v>2190</v>
      </c>
      <c r="X77" s="1127"/>
      <c r="Y77" s="1284"/>
      <c r="Z77" s="1130"/>
      <c r="AA77" s="1133"/>
      <c r="AB77" s="1130"/>
      <c r="AC77" s="1130"/>
      <c r="AD77" s="1130"/>
    </row>
    <row customHeight="1" ht="72">
      <c r="A78" s="1129"/>
      <c r="B78" s="1183">
        <v>61</v>
      </c>
      <c r="C78" s="1127" t="s">
        <v>2166</v>
      </c>
      <c r="D78" s="1251"/>
      <c r="E78" s="1127"/>
      <c r="F78" s="1127"/>
      <c r="G78" s="1127"/>
      <c r="H78" s="1175"/>
      <c r="I78" s="1289" t="str">
        <f>INDEX(TEMPLATE_NUMBER_POINT_FHD,B78,MATCH(TEMPLATE_SPHERE,TEMPLATE_SPHERE_LIST_FOR_NOTE,0))</f>
        <v>7</v>
      </c>
      <c r="J78" s="1289" t="str">
        <f>INDEX(TEMPLATE_DATA_POINT_FHD,B78,MATCH(TEMPLATE_SPHERE,TEMPLATE_SPHERE_LIST_FOR_NOTE,0))</f>
        <v>Установленная тепловая мощность объектов основных фондов, используемых для теплоснабжения, в том числе по каждому источнику тепловой энергии</v>
      </c>
      <c r="K78" s="1289" t="str">
        <f>INDEX(TEMPLATE_NOTE_POINT_FHD,B78,MATCH(TEMPLATE_SPHERE,TEMPLATE_SPHERE_LIST_FOR_NOTE,0))</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L78" s="1128" t="str">
        <f>IF(I78=0,"",I78)</f>
        <v>7</v>
      </c>
      <c r="M78" s="1128" t="str">
        <f>IF(J78=0,"",J78)</f>
        <v>Установленная тепловая мощность объектов основных фондов, используемых для теплоснабжения, в том числе по каждому источнику тепловой энергии</v>
      </c>
      <c r="N78" s="1128" t="str">
        <f>IF(K78=0,"",K78)</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O78" s="1241" t="s">
        <v>94</v>
      </c>
      <c r="P78" s="1241"/>
      <c r="Q78" s="1241"/>
      <c r="R78" s="1241"/>
      <c r="S78" s="1241"/>
      <c r="T78" s="1127" t="s">
        <v>642</v>
      </c>
      <c r="U78" s="1127"/>
      <c r="V78" s="1127"/>
      <c r="W78" s="1127"/>
      <c r="X78" s="1127"/>
      <c r="Y78" s="1284"/>
      <c r="Z78" s="1130" t="s">
        <v>2191</v>
      </c>
      <c r="AA78" s="1133"/>
      <c r="AB78" s="1130"/>
      <c r="AC78" s="1130"/>
      <c r="AD78" s="1130"/>
    </row>
    <row customHeight="1" ht="36">
      <c r="A79" s="1129"/>
      <c r="B79" s="1183">
        <v>62</v>
      </c>
      <c r="C79" s="1127" t="s">
        <v>2168</v>
      </c>
      <c r="D79" s="1251"/>
      <c r="E79" s="1127"/>
      <c r="F79" s="1127"/>
      <c r="G79" s="1127"/>
      <c r="H79" s="1175"/>
      <c r="I79" s="1289" t="str">
        <f>INDEX(TEMPLATE_NUMBER_POINT_FHD,B79,MATCH(TEMPLATE_SPHERE,TEMPLATE_SPHERE_LIST_FOR_NOTE,0))</f>
        <v>8</v>
      </c>
      <c r="J79" s="1289" t="str">
        <f>INDEX(TEMPLATE_DATA_POINT_FHD,B79,MATCH(TEMPLATE_SPHERE,TEMPLATE_SPHERE_LIST_FOR_NOTE,0))</f>
        <v>Тепловая нагрузка по договорам, заключенным в рамках осуществления регулируемых видов деятельности</v>
      </c>
      <c r="K79" s="1289" t="str">
        <f>INDEX(TEMPLATE_NOTE_POINT_FHD,B79,MATCH(TEMPLATE_SPHERE,TEMPLATE_SPHERE_LIST_FOR_NOTE,0))</f>
        <v>Регулируемыми организациями указывается информация по договорам, заключенным в рамках осуществления регулируемых видов деятельности</v>
      </c>
      <c r="L79" s="1128" t="str">
        <f>IF(I79=0,"",I79)</f>
        <v>8</v>
      </c>
      <c r="M79" s="1128" t="str">
        <f>IF(J79=0,"",J79)</f>
        <v>Тепловая нагрузка по договорам, заключенным в рамках осуществления регулируемых видов деятельности</v>
      </c>
      <c r="N79" s="1128" t="str">
        <f>IF(K79=0,"",K79)</f>
        <v>Регулируемыми организациями указывается информация по договорам, заключенным в рамках осуществления регулируемых видов деятельности</v>
      </c>
      <c r="O79" s="1241" t="s">
        <v>113</v>
      </c>
      <c r="P79" s="1241"/>
      <c r="Q79" s="1241"/>
      <c r="R79" s="1241"/>
      <c r="S79" s="1241"/>
      <c r="T79" s="1127" t="s">
        <v>2192</v>
      </c>
      <c r="U79" s="1127"/>
      <c r="V79" s="1127"/>
      <c r="W79" s="1127"/>
      <c r="X79" s="1127"/>
      <c r="Y79" s="1284"/>
      <c r="Z79" s="1130" t="s">
        <v>2193</v>
      </c>
      <c r="AA79" s="1133"/>
      <c r="AB79" s="1130"/>
      <c r="AC79" s="1130"/>
      <c r="AD79" s="1130"/>
    </row>
    <row customHeight="1" ht="45">
      <c r="A80" s="1129"/>
      <c r="B80" s="1183">
        <v>63</v>
      </c>
      <c r="C80" s="1127" t="s">
        <v>2170</v>
      </c>
      <c r="D80" s="1251"/>
      <c r="E80" s="1127"/>
      <c r="F80" s="1127"/>
      <c r="G80" s="1127"/>
      <c r="H80" s="1175"/>
      <c r="I80" s="1289" t="str">
        <f>INDEX(TEMPLATE_NUMBER_POINT_FHD,B80,MATCH(TEMPLATE_SPHERE,TEMPLATE_SPHERE_LIST_FOR_NOTE,0))</f>
        <v>9</v>
      </c>
      <c r="J80" s="1289" t="str">
        <f>INDEX(TEMPLATE_DATA_POINT_FHD,B80,MATCH(TEMPLATE_SPHERE,TEMPLATE_SPHERE_LIST_FOR_NOTE,0))</f>
        <v>Объем вырабатываемой регулируемой организацией тепловой энергии в рамках осуществления регулируемых видов деятельности</v>
      </c>
      <c r="K80" s="1289" t="str">
        <f>INDEX(TEMPLATE_NOTE_POINT_FHD,B80,MATCH(TEMPLATE_SPHERE,TEMPLATE_SPHERE_LIST_FOR_NOTE,0))</f>
        <v>Регулируемыми организациями указывается информация тепловой энергии, выработанной в рамках осуществления регулируемых видов деятельности.</v>
      </c>
      <c r="L80" s="1128" t="str">
        <f>IF(I80=0,"",I80)</f>
        <v>9</v>
      </c>
      <c r="M80" s="1128" t="str">
        <f>IF(J80=0,"",J80)</f>
        <v>Объем вырабатываемой регулируемой организацией тепловой энергии в рамках осуществления регулируемых видов деятельности</v>
      </c>
      <c r="N80" s="1128" t="str">
        <f>IF(K80=0,"",K80)</f>
        <v>Регулируемыми организациями указывается информация тепловой энергии, выработанной в рамках осуществления регулируемых видов деятельности.</v>
      </c>
      <c r="O80" s="1241" t="s">
        <v>149</v>
      </c>
      <c r="P80" s="1241"/>
      <c r="Q80" s="1241"/>
      <c r="R80" s="1241"/>
      <c r="S80" s="1241"/>
      <c r="T80" s="1127" t="s">
        <v>2194</v>
      </c>
      <c r="U80" s="1127"/>
      <c r="V80" s="1127"/>
      <c r="W80" s="1127"/>
      <c r="X80" s="1127"/>
      <c r="Y80" s="1284"/>
      <c r="Z80" s="1130" t="s">
        <v>2195</v>
      </c>
      <c r="AA80" s="1133"/>
      <c r="AB80" s="1130"/>
      <c r="AC80" s="1130"/>
      <c r="AD80" s="1130"/>
    </row>
    <row customHeight="1" ht="36">
      <c r="A81" s="1129"/>
      <c r="B81" s="1183">
        <v>64</v>
      </c>
      <c r="C81" s="1127" t="s">
        <v>2172</v>
      </c>
      <c r="D81" s="1251"/>
      <c r="E81" s="1127"/>
      <c r="F81" s="1127"/>
      <c r="G81" s="1127"/>
      <c r="H81" s="1175"/>
      <c r="I81" s="1289" t="str">
        <f>INDEX(TEMPLATE_NUMBER_POINT_FHD,B81,MATCH(TEMPLATE_SPHERE,TEMPLATE_SPHERE_LIST_FOR_NOTE,0))</f>
        <v>9.1</v>
      </c>
      <c r="J81" s="1289" t="str">
        <f>INDEX(TEMPLATE_DATA_POINT_FHD,B81,MATCH(TEMPLATE_SPHERE,TEMPLATE_SPHERE_LIST_FOR_NOTE,0))</f>
        <v>Объем приобретаемой регулируемой организацией тепловой энергии в рамках осуществления регулируемых видов деятельности</v>
      </c>
      <c r="K81" s="1289" t="str">
        <f>INDEX(TEMPLATE_NOTE_POINT_FHD,B81,MATCH(TEMPLATE_SPHERE,TEMPLATE_SPHERE_LIST_FOR_NOTE,0))</f>
        <v>Информация указывается только едиными теплоснабжающими организациями.</v>
      </c>
      <c r="L81" s="1128" t="str">
        <f>IF(I81=0,"",I81)</f>
        <v>9.1</v>
      </c>
      <c r="M81" s="1128" t="str">
        <f>IF(J81=0,"",J81)</f>
        <v>Объем приобретаемой регулируемой организацией тепловой энергии в рамках осуществления регулируемых видов деятельности</v>
      </c>
      <c r="N81" s="1128" t="str">
        <f>IF(K81=0,"",K81)</f>
        <v>Информация указывается только едиными теплоснабжающими организациями.</v>
      </c>
      <c r="O81" s="1241" t="s">
        <v>2078</v>
      </c>
      <c r="P81" s="1241"/>
      <c r="Q81" s="1241"/>
      <c r="R81" s="1241"/>
      <c r="S81" s="1241"/>
      <c r="T81" s="1127" t="s">
        <v>2196</v>
      </c>
      <c r="U81" s="1127"/>
      <c r="V81" s="1127"/>
      <c r="W81" s="1127"/>
      <c r="X81" s="1127"/>
      <c r="Y81" s="1284"/>
      <c r="Z81" s="1130" t="s">
        <v>2197</v>
      </c>
      <c r="AA81" s="1133"/>
      <c r="AB81" s="1130"/>
      <c r="AC81" s="1130"/>
      <c r="AD81" s="1130"/>
    </row>
    <row customHeight="1" ht="90">
      <c r="A82" s="1129"/>
      <c r="B82" s="1183">
        <v>65</v>
      </c>
      <c r="C82" s="1127" t="s">
        <v>2181</v>
      </c>
      <c r="D82" s="1251"/>
      <c r="E82" s="1127"/>
      <c r="F82" s="1127"/>
      <c r="G82" s="1127"/>
      <c r="H82" s="1175"/>
      <c r="I82" s="1289" t="str">
        <f>INDEX(TEMPLATE_NUMBER_POINT_FHD,B82,MATCH(TEMPLATE_SPHERE,TEMPLATE_SPHERE_LIST_FOR_NOTE,0))</f>
        <v>10</v>
      </c>
      <c r="J82" s="1289" t="str">
        <f>INDEX(TEMPLATE_DATA_POINT_FHD,B82,MATCH(TEMPLATE_SPHERE,TEMPLATE_SPHERE_LIST_FOR_NOTE,0))</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K82" s="1289" t="str">
        <f>INDEX(TEMPLATE_NOTE_POINT_FHD,B82,MATCH(TEMPLATE_SPHERE,TEMPLATE_SPHERE_LIST_FOR_NOTE,0))</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L82" s="1128" t="str">
        <f>IF(I82=0,"",I82)</f>
        <v>10</v>
      </c>
      <c r="M82" s="1128" t="str">
        <f>IF(J82=0,"",J82)</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N82" s="1128" t="str">
        <f>IF(K82=0,"",K82)</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O82" s="1241" t="s">
        <v>150</v>
      </c>
      <c r="P82" s="1241"/>
      <c r="Q82" s="1241"/>
      <c r="R82" s="1241"/>
      <c r="S82" s="1241"/>
      <c r="T82" s="1127" t="s">
        <v>2198</v>
      </c>
      <c r="U82" s="1127"/>
      <c r="V82" s="1127"/>
      <c r="W82" s="1127"/>
      <c r="X82" s="1127"/>
      <c r="Y82" s="1284"/>
      <c r="Z82" s="1130" t="s">
        <v>2199</v>
      </c>
      <c r="AA82" s="1133"/>
      <c r="AB82" s="1130"/>
      <c r="AC82" s="1130"/>
      <c r="AD82" s="1130"/>
    </row>
    <row customHeight="1" ht="9">
      <c r="A83" s="1129"/>
      <c r="B83" s="1183">
        <v>66</v>
      </c>
      <c r="C83" s="1127"/>
      <c r="D83" s="1251"/>
      <c r="E83" s="1127"/>
      <c r="F83" s="1127"/>
      <c r="G83" s="1127"/>
      <c r="H83" s="1175"/>
      <c r="I83" s="1289" t="str">
        <f>INDEX(TEMPLATE_NUMBER_POINT_FHD,B83,MATCH(TEMPLATE_SPHERE,TEMPLATE_SPHERE_LIST_FOR_NOTE,0))</f>
        <v>10.1</v>
      </c>
      <c r="J83" s="1289" t="str">
        <f>INDEX(TEMPLATE_DATA_POINT_FHD,B83,MATCH(TEMPLATE_SPHERE,TEMPLATE_SPHERE_LIST_FOR_NOTE,0))</f>
        <v>По приборам учёта </v>
      </c>
      <c r="K83" s="1289">
        <f>INDEX(TEMPLATE_NOTE_POINT_FHD,B83,MATCH(TEMPLATE_SPHERE,TEMPLATE_SPHERE_LIST_FOR_NOTE,0))</f>
        <v>0</v>
      </c>
      <c r="L83" s="1128" t="str">
        <f>IF(I83=0,"",I83)</f>
        <v>10.1</v>
      </c>
      <c r="M83" s="1128" t="str">
        <f>IF(J83=0,"",J83)</f>
        <v>По приборам учёта </v>
      </c>
      <c r="N83" s="1128" t="str">
        <f>IF(K83=0,"",K83)</f>
        <v/>
      </c>
      <c r="O83" s="1241" t="s">
        <v>2087</v>
      </c>
      <c r="P83" s="1241"/>
      <c r="Q83" s="1241"/>
      <c r="R83" s="1241"/>
      <c r="S83" s="1241"/>
      <c r="T83" s="1127" t="s">
        <v>2200</v>
      </c>
      <c r="U83" s="1127"/>
      <c r="V83" s="1127"/>
      <c r="W83" s="1127"/>
      <c r="X83" s="1127"/>
      <c r="Y83" s="1284"/>
      <c r="Z83" s="1130"/>
      <c r="AA83" s="1133"/>
      <c r="AB83" s="1130"/>
      <c r="AC83" s="1130"/>
      <c r="AD83" s="1130"/>
    </row>
    <row customHeight="1" ht="54">
      <c r="A84" s="1129"/>
      <c r="B84" s="1183">
        <v>67</v>
      </c>
      <c r="C84" s="1127"/>
      <c r="D84" s="1251"/>
      <c r="E84" s="1127"/>
      <c r="F84" s="1127"/>
      <c r="G84" s="1127"/>
      <c r="H84" s="1175"/>
      <c r="I84" s="1289" t="str">
        <f>INDEX(TEMPLATE_NUMBER_POINT_FHD,B84,MATCH(TEMPLATE_SPHERE,TEMPLATE_SPHERE_LIST_FOR_NOTE,0))</f>
        <v>10.1.1</v>
      </c>
      <c r="J84" s="1289" t="str">
        <f>INDEX(TEMPLATE_DATA_POINT_FHD,B84,MATCH(TEMPLATE_SPHERE,TEMPLATE_SPHERE_LIST_FOR_NOTE,0))</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K84" s="1289">
        <f>INDEX(TEMPLATE_NOTE_POINT_FHD,B84,MATCH(TEMPLATE_SPHERE,TEMPLATE_SPHERE_LIST_FOR_NOTE,0))</f>
        <v>0</v>
      </c>
      <c r="L84" s="1128" t="str">
        <f>IF(I84=0,"",I84)</f>
        <v>10.1.1</v>
      </c>
      <c r="M84" s="1128" t="str">
        <f>IF(J84=0,"",J84)</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N84" s="1128" t="str">
        <f>IF(K84=0,"",K84)</f>
        <v/>
      </c>
      <c r="O84" s="1241" t="s">
        <v>2201</v>
      </c>
      <c r="P84" s="1241"/>
      <c r="Q84" s="1241"/>
      <c r="R84" s="1241"/>
      <c r="S84" s="1241"/>
      <c r="T84" s="1127" t="s">
        <v>2202</v>
      </c>
      <c r="U84" s="1127"/>
      <c r="V84" s="1127"/>
      <c r="W84" s="1127"/>
      <c r="X84" s="1127"/>
      <c r="Y84" s="1284"/>
      <c r="Z84" s="1130"/>
      <c r="AA84" s="1133"/>
      <c r="AB84" s="1130"/>
      <c r="AC84" s="1130"/>
      <c r="AD84" s="1130"/>
    </row>
    <row customHeight="1" ht="9">
      <c r="A85" s="1129"/>
      <c r="B85" s="1183">
        <v>68</v>
      </c>
      <c r="C85" s="1127"/>
      <c r="D85" s="1251"/>
      <c r="E85" s="1127"/>
      <c r="F85" s="1127"/>
      <c r="G85" s="1127"/>
      <c r="H85" s="1175"/>
      <c r="I85" s="1289" t="str">
        <f>INDEX(TEMPLATE_NUMBER_POINT_FHD,B85,MATCH(TEMPLATE_SPHERE,TEMPLATE_SPHERE_LIST_FOR_NOTE,0))</f>
        <v>10.2</v>
      </c>
      <c r="J85" s="1289" t="str">
        <f>INDEX(TEMPLATE_DATA_POINT_FHD,B85,MATCH(TEMPLATE_SPHERE,TEMPLATE_SPHERE_LIST_FOR_NOTE,0))</f>
        <v>Расчётным путём</v>
      </c>
      <c r="K85" s="1289">
        <f>INDEX(TEMPLATE_NOTE_POINT_FHD,B85,MATCH(TEMPLATE_SPHERE,TEMPLATE_SPHERE_LIST_FOR_NOTE,0))</f>
        <v>0</v>
      </c>
      <c r="L85" s="1128" t="str">
        <f>IF(I85=0,"",I85)</f>
        <v>10.2</v>
      </c>
      <c r="M85" s="1128" t="str">
        <f>IF(J85=0,"",J85)</f>
        <v>Расчётным путём</v>
      </c>
      <c r="N85" s="1128" t="str">
        <f>IF(K85=0,"",K85)</f>
        <v/>
      </c>
      <c r="O85" s="1241" t="s">
        <v>2091</v>
      </c>
      <c r="P85" s="1241"/>
      <c r="Q85" s="1241"/>
      <c r="R85" s="1241"/>
      <c r="S85" s="1241"/>
      <c r="T85" s="1127" t="s">
        <v>2203</v>
      </c>
      <c r="U85" s="1127"/>
      <c r="V85" s="1127"/>
      <c r="W85" s="1127"/>
      <c r="X85" s="1127"/>
      <c r="Y85" s="1284"/>
      <c r="Z85" s="1130"/>
      <c r="AA85" s="1133"/>
      <c r="AB85" s="1130"/>
      <c r="AC85" s="1130"/>
      <c r="AD85" s="1130"/>
    </row>
    <row customHeight="1" ht="27">
      <c r="A86" s="1129"/>
      <c r="B86" s="1183">
        <v>69</v>
      </c>
      <c r="C86" s="1127"/>
      <c r="D86" s="1251"/>
      <c r="E86" s="1127"/>
      <c r="F86" s="1127"/>
      <c r="G86" s="1127"/>
      <c r="H86" s="1175"/>
      <c r="I86" s="1289" t="str">
        <f>INDEX(TEMPLATE_NUMBER_POINT_FHD,B86,MATCH(TEMPLATE_SPHERE,TEMPLATE_SPHERE_LIST_FOR_NOTE,0))</f>
        <v>10.3</v>
      </c>
      <c r="J86" s="1289" t="str">
        <f>INDEX(TEMPLATE_DATA_POINT_FHD,B86,MATCH(TEMPLATE_SPHERE,TEMPLATE_SPHERE_LIST_FOR_NOTE,0))</f>
        <v>По нормативам потребления коммунальных услуг и нормативам потребления коммунальных ресурсов</v>
      </c>
      <c r="K86" s="1289">
        <f>INDEX(TEMPLATE_NOTE_POINT_FHD,B86,MATCH(TEMPLATE_SPHERE,TEMPLATE_SPHERE_LIST_FOR_NOTE,0))</f>
        <v>0</v>
      </c>
      <c r="L86" s="1128" t="str">
        <f>IF(I86=0,"",I86)</f>
        <v>10.3</v>
      </c>
      <c r="M86" s="1128" t="str">
        <f>IF(J86=0,"",J86)</f>
        <v>По нормативам потребления коммунальных услуг и нормативам потребления коммунальных ресурсов</v>
      </c>
      <c r="N86" s="1128" t="str">
        <f>IF(K86=0,"",K86)</f>
        <v/>
      </c>
      <c r="O86" s="1241" t="s">
        <v>2204</v>
      </c>
      <c r="P86" s="1241"/>
      <c r="Q86" s="1241"/>
      <c r="R86" s="1241"/>
      <c r="S86" s="1241"/>
      <c r="T86" s="1127" t="s">
        <v>2205</v>
      </c>
      <c r="U86" s="1127"/>
      <c r="V86" s="1127"/>
      <c r="W86" s="1127"/>
      <c r="X86" s="1127"/>
      <c r="Y86" s="1284"/>
      <c r="Z86" s="1130"/>
      <c r="AA86" s="1133"/>
      <c r="AB86" s="1130"/>
      <c r="AC86" s="1130"/>
      <c r="AD86" s="1130"/>
    </row>
    <row customHeight="1" ht="36">
      <c r="A87" s="1129"/>
      <c r="B87" s="1183">
        <v>70</v>
      </c>
      <c r="C87" s="1127" t="s">
        <v>2206</v>
      </c>
      <c r="D87" s="1251"/>
      <c r="E87" s="1127"/>
      <c r="F87" s="1127"/>
      <c r="G87" s="1127"/>
      <c r="H87" s="1175"/>
      <c r="I87" s="1289" t="str">
        <f>INDEX(TEMPLATE_NUMBER_POINT_FHD,B87,MATCH(TEMPLATE_SPHERE,TEMPLATE_SPHERE_LIST_FOR_NOTE,0))</f>
        <v>11</v>
      </c>
      <c r="J87" s="1289" t="str">
        <f>INDEX(TEMPLATE_DATA_POINT_FHD,B87,MATCH(TEMPLATE_SPHERE,TEMPLATE_SPHERE_LIST_FOR_NOTE,0))</f>
        <v>Нормативы технологических потерь при передаче тепловой энергии, теплоносителя по тепловым сетям, утвержденные уполномоченным органом</v>
      </c>
      <c r="K87" s="1289">
        <f>INDEX(TEMPLATE_NOTE_POINT_FHD,B87,MATCH(TEMPLATE_SPHERE,TEMPLATE_SPHERE_LIST_FOR_NOTE,0))</f>
        <v>0</v>
      </c>
      <c r="L87" s="1128" t="str">
        <f>IF(I87=0,"",I87)</f>
        <v>11</v>
      </c>
      <c r="M87" s="1128" t="str">
        <f>IF(J87=0,"",J87)</f>
        <v>Нормативы технологических потерь при передаче тепловой энергии, теплоносителя по тепловым сетям, утвержденные уполномоченным органом</v>
      </c>
      <c r="N87" s="1128" t="str">
        <f>IF(K87=0,"",K87)</f>
        <v/>
      </c>
      <c r="O87" s="1241" t="s">
        <v>151</v>
      </c>
      <c r="P87" s="1241"/>
      <c r="Q87" s="1241"/>
      <c r="R87" s="1241"/>
      <c r="S87" s="1241"/>
      <c r="T87" s="1127" t="s">
        <v>2207</v>
      </c>
      <c r="U87" s="1127"/>
      <c r="V87" s="1127"/>
      <c r="W87" s="1127"/>
      <c r="X87" s="1127"/>
      <c r="Y87" s="1284"/>
      <c r="Z87" s="1130"/>
      <c r="AA87" s="1133"/>
      <c r="AB87" s="1130"/>
      <c r="AC87" s="1130"/>
      <c r="AD87" s="1130"/>
    </row>
    <row customHeight="1" ht="18">
      <c r="A88" s="1129"/>
      <c r="B88" s="1183">
        <v>71</v>
      </c>
      <c r="C88" s="1127" t="s">
        <v>2208</v>
      </c>
      <c r="D88" s="1251"/>
      <c r="E88" s="1127"/>
      <c r="F88" s="1127"/>
      <c r="G88" s="1127"/>
      <c r="H88" s="1175"/>
      <c r="I88" s="1289" t="str">
        <f>INDEX(TEMPLATE_NUMBER_POINT_FHD,B88,MATCH(TEMPLATE_SPHERE,TEMPLATE_SPHERE_LIST_FOR_NOTE,0))</f>
        <v>12</v>
      </c>
      <c r="J88" s="1289" t="str">
        <f>INDEX(TEMPLATE_DATA_POINT_FHD,B88,MATCH(TEMPLATE_SPHERE,TEMPLATE_SPHERE_LIST_FOR_NOTE,0))</f>
        <v>Фактический объем потерь при передаче тепловой энергии</v>
      </c>
      <c r="K88" s="1289">
        <f>INDEX(TEMPLATE_NOTE_POINT_FHD,B88,MATCH(TEMPLATE_SPHERE,TEMPLATE_SPHERE_LIST_FOR_NOTE,0))</f>
        <v>0</v>
      </c>
      <c r="L88" s="1128" t="str">
        <f>IF(I88=0,"",I88)</f>
        <v>12</v>
      </c>
      <c r="M88" s="1128" t="str">
        <f>IF(J88=0,"",J88)</f>
        <v>Фактический объем потерь при передаче тепловой энергии</v>
      </c>
      <c r="N88" s="1128" t="str">
        <f>IF(K88=0,"",K88)</f>
        <v/>
      </c>
      <c r="O88" s="1241" t="s">
        <v>152</v>
      </c>
      <c r="P88" s="1241"/>
      <c r="Q88" s="1241"/>
      <c r="R88" s="1241"/>
      <c r="S88" s="1241"/>
      <c r="T88" s="1127" t="s">
        <v>674</v>
      </c>
      <c r="U88" s="1127"/>
      <c r="V88" s="1127"/>
      <c r="W88" s="1127"/>
      <c r="X88" s="1127"/>
      <c r="Y88" s="1284"/>
      <c r="Z88" s="1130"/>
      <c r="AA88" s="1133"/>
      <c r="AB88" s="1130"/>
      <c r="AC88" s="1130"/>
      <c r="AD88" s="1130"/>
    </row>
    <row customHeight="1" ht="18">
      <c r="A89" s="1129"/>
      <c r="B89" s="1183">
        <v>72</v>
      </c>
      <c r="C89" s="1127" t="s">
        <v>2209</v>
      </c>
      <c r="D89" s="1251" t="s">
        <v>2206</v>
      </c>
      <c r="E89" s="1127" t="s">
        <v>2206</v>
      </c>
      <c r="F89" s="1127" t="s">
        <v>2172</v>
      </c>
      <c r="G89" s="1127"/>
      <c r="H89" s="1175"/>
      <c r="I89" s="1289" t="str">
        <f>INDEX(TEMPLATE_NUMBER_POINT_FHD,B89,MATCH(TEMPLATE_SPHERE,TEMPLATE_SPHERE_LIST_FOR_NOTE,0))</f>
        <v>13</v>
      </c>
      <c r="J89" s="1289" t="str">
        <f>INDEX(TEMPLATE_DATA_POINT_FHD,B89,MATCH(TEMPLATE_SPHERE,TEMPLATE_SPHERE_LIST_FOR_NOTE,0))</f>
        <v>Среднесписочная численность основного производственного персонала</v>
      </c>
      <c r="K89" s="1289">
        <f>INDEX(TEMPLATE_NOTE_POINT_FHD,B89,MATCH(TEMPLATE_SPHERE,TEMPLATE_SPHERE_LIST_FOR_NOTE,0))</f>
        <v>0</v>
      </c>
      <c r="L89" s="1128" t="str">
        <f>IF(I89=0,"",I89)</f>
        <v>13</v>
      </c>
      <c r="M89" s="1128" t="str">
        <f>IF(J89=0,"",J89)</f>
        <v>Среднесписочная численность основного производственного персонала</v>
      </c>
      <c r="N89" s="1128" t="str">
        <f>IF(K89=0,"",K89)</f>
        <v/>
      </c>
      <c r="O89" s="1241" t="s">
        <v>153</v>
      </c>
      <c r="P89" s="1241" t="s">
        <v>152</v>
      </c>
      <c r="Q89" s="1241" t="s">
        <v>152</v>
      </c>
      <c r="R89" s="1241" t="s">
        <v>150</v>
      </c>
      <c r="S89" s="1241"/>
      <c r="T89" s="1127" t="s">
        <v>682</v>
      </c>
      <c r="U89" s="1127" t="s">
        <v>682</v>
      </c>
      <c r="V89" s="1127" t="s">
        <v>682</v>
      </c>
      <c r="W89" s="1127" t="s">
        <v>682</v>
      </c>
      <c r="X89" s="1127"/>
      <c r="Y89" s="1284"/>
      <c r="Z89" s="1130"/>
      <c r="AA89" s="1133"/>
      <c r="AB89" s="1130"/>
      <c r="AC89" s="1130"/>
      <c r="AD89" s="1130"/>
    </row>
    <row customHeight="1" ht="27">
      <c r="A90" s="1129"/>
      <c r="B90" s="1183">
        <v>73</v>
      </c>
      <c r="C90" s="1127" t="s">
        <v>2210</v>
      </c>
      <c r="D90" s="1251"/>
      <c r="E90" s="1127"/>
      <c r="F90" s="1127"/>
      <c r="G90" s="1127"/>
      <c r="H90" s="1175"/>
      <c r="I90" s="1289" t="str">
        <f>INDEX(TEMPLATE_NUMBER_POINT_FHD,B90,MATCH(TEMPLATE_SPHERE,TEMPLATE_SPHERE_LIST_FOR_NOTE,0))</f>
        <v>14</v>
      </c>
      <c r="J90" s="1289" t="str">
        <f>INDEX(TEMPLATE_DATA_POINT_FHD,B90,MATCH(TEMPLATE_SPHERE,TEMPLATE_SPHERE_LIST_FOR_NOTE,0))</f>
        <v>Среднесписочная численность административно-управленческого персонала</v>
      </c>
      <c r="K90" s="1289">
        <f>INDEX(TEMPLATE_NOTE_POINT_FHD,B90,MATCH(TEMPLATE_SPHERE,TEMPLATE_SPHERE_LIST_FOR_NOTE,0))</f>
        <v>0</v>
      </c>
      <c r="L90" s="1128" t="str">
        <f>IF(I90=0,"",I90)</f>
        <v>14</v>
      </c>
      <c r="M90" s="1128" t="str">
        <f>IF(J90=0,"",J90)</f>
        <v>Среднесписочная численность административно-управленческого персонала</v>
      </c>
      <c r="N90" s="1128" t="str">
        <f>IF(K90=0,"",K90)</f>
        <v/>
      </c>
      <c r="O90" s="1241" t="s">
        <v>154</v>
      </c>
      <c r="P90" s="1241"/>
      <c r="Q90" s="1241"/>
      <c r="R90" s="1241"/>
      <c r="S90" s="1241"/>
      <c r="T90" s="1127" t="s">
        <v>684</v>
      </c>
      <c r="U90" s="1127"/>
      <c r="V90" s="1127"/>
      <c r="W90" s="1127"/>
      <c r="X90" s="1127"/>
      <c r="Y90" s="1284"/>
      <c r="Z90" s="1130"/>
      <c r="AA90" s="1133"/>
      <c r="AB90" s="1130"/>
      <c r="AC90" s="1130"/>
      <c r="AD90" s="1130"/>
    </row>
    <row customHeight="1" ht="18">
      <c r="A91" s="1129"/>
      <c r="B91" s="1183">
        <v>74</v>
      </c>
      <c r="C91" s="1127"/>
      <c r="D91" s="1251" t="s">
        <v>2208</v>
      </c>
      <c r="E91" s="1127" t="s">
        <v>2208</v>
      </c>
      <c r="F91" s="1127"/>
      <c r="G91" s="1127"/>
      <c r="H91" s="1175"/>
      <c r="I91" s="1289">
        <f>INDEX(TEMPLATE_NUMBER_POINT_FHD,B91,MATCH(TEMPLATE_SPHERE,TEMPLATE_SPHERE_LIST_FOR_NOTE,0))</f>
        <v>0</v>
      </c>
      <c r="J91" s="1289">
        <f>INDEX(TEMPLATE_DATA_POINT_FHD,B91,MATCH(TEMPLATE_SPHERE,TEMPLATE_SPHERE_LIST_FOR_NOTE,0))</f>
        <v>0</v>
      </c>
      <c r="K91" s="1289">
        <f>INDEX(TEMPLATE_NOTE_POINT_FHD,B91,MATCH(TEMPLATE_SPHERE,TEMPLATE_SPHERE_LIST_FOR_NOTE,0))</f>
        <v>0</v>
      </c>
      <c r="L91" s="1128" t="str">
        <f>IF(I91=0,"",I91)</f>
        <v/>
      </c>
      <c r="M91" s="1128" t="str">
        <f>IF(J91=0,"",J91)</f>
        <v/>
      </c>
      <c r="N91" s="1128" t="str">
        <f>IF(K91=0,"",K91)</f>
        <v/>
      </c>
      <c r="O91" s="1241"/>
      <c r="P91" s="1241" t="s">
        <v>153</v>
      </c>
      <c r="Q91" s="1241" t="s">
        <v>153</v>
      </c>
      <c r="R91" s="1241"/>
      <c r="S91" s="1241"/>
      <c r="T91" s="1127"/>
      <c r="U91" s="1127" t="s">
        <v>2211</v>
      </c>
      <c r="V91" s="1127" t="s">
        <v>2211</v>
      </c>
      <c r="W91" s="1127"/>
      <c r="X91" s="1127"/>
      <c r="Y91" s="1284"/>
      <c r="Z91" s="1130"/>
      <c r="AA91" s="1133"/>
      <c r="AB91" s="1130"/>
      <c r="AC91" s="1130"/>
      <c r="AD91" s="1130"/>
    </row>
    <row customHeight="1" ht="27">
      <c r="A92" s="1129"/>
      <c r="B92" s="1183">
        <v>75</v>
      </c>
      <c r="C92" s="1127"/>
      <c r="D92" s="1251" t="s">
        <v>2209</v>
      </c>
      <c r="E92" s="1127"/>
      <c r="F92" s="1127"/>
      <c r="G92" s="1127"/>
      <c r="H92" s="1175"/>
      <c r="I92" s="1289">
        <f>INDEX(TEMPLATE_NUMBER_POINT_FHD,B92,MATCH(TEMPLATE_SPHERE,TEMPLATE_SPHERE_LIST_FOR_NOTE,0))</f>
        <v>0</v>
      </c>
      <c r="J92" s="1289">
        <f>INDEX(TEMPLATE_DATA_POINT_FHD,B92,MATCH(TEMPLATE_SPHERE,TEMPLATE_SPHERE_LIST_FOR_NOTE,0))</f>
        <v>0</v>
      </c>
      <c r="K92" s="1289">
        <f>INDEX(TEMPLATE_NOTE_POINT_FHD,B92,MATCH(TEMPLATE_SPHERE,TEMPLATE_SPHERE_LIST_FOR_NOTE,0))</f>
        <v>0</v>
      </c>
      <c r="L92" s="1128" t="str">
        <f>IF(I92=0,"",I92)</f>
        <v/>
      </c>
      <c r="M92" s="1128" t="str">
        <f>IF(J92=0,"",J92)</f>
        <v/>
      </c>
      <c r="N92" s="1128" t="str">
        <f>IF(K92=0,"",K92)</f>
        <v/>
      </c>
      <c r="O92" s="1241"/>
      <c r="P92" s="1241" t="s">
        <v>154</v>
      </c>
      <c r="Q92" s="1241"/>
      <c r="R92" s="1241"/>
      <c r="S92" s="1241"/>
      <c r="T92" s="1127"/>
      <c r="U92" s="1127" t="s">
        <v>2212</v>
      </c>
      <c r="V92" s="1127"/>
      <c r="W92" s="1127"/>
      <c r="X92" s="1127"/>
      <c r="Y92" s="1284"/>
      <c r="Z92" s="1130"/>
      <c r="AA92" s="1133" t="s">
        <v>2213</v>
      </c>
      <c r="AB92" s="1130"/>
      <c r="AC92" s="1130"/>
      <c r="AD92" s="1130"/>
    </row>
    <row customHeight="1" ht="27">
      <c r="A93" s="1129"/>
      <c r="B93" s="1183">
        <v>76</v>
      </c>
      <c r="C93" s="1127"/>
      <c r="D93" s="1251"/>
      <c r="E93" s="1127"/>
      <c r="F93" s="1127"/>
      <c r="G93" s="1127"/>
      <c r="H93" s="1175"/>
      <c r="I93" s="1289">
        <f>INDEX(TEMPLATE_NUMBER_POINT_FHD,B93,MATCH(TEMPLATE_SPHERE,TEMPLATE_SPHERE_LIST_FOR_NOTE,0))</f>
        <v>0</v>
      </c>
      <c r="J93" s="1289">
        <f>INDEX(TEMPLATE_DATA_POINT_FHD,B93,MATCH(TEMPLATE_SPHERE,TEMPLATE_SPHERE_LIST_FOR_NOTE,0))</f>
        <v>0</v>
      </c>
      <c r="K93" s="1289">
        <f>INDEX(TEMPLATE_NOTE_POINT_FHD,B93,MATCH(TEMPLATE_SPHERE,TEMPLATE_SPHERE_LIST_FOR_NOTE,0))</f>
        <v>0</v>
      </c>
      <c r="L93" s="1128" t="str">
        <f>IF(I93=0,"",I93)</f>
        <v/>
      </c>
      <c r="M93" s="1128" t="str">
        <f>IF(J93=0,"",J93)</f>
        <v/>
      </c>
      <c r="N93" s="1128" t="str">
        <f>IF(K93=0,"",K93)</f>
        <v/>
      </c>
      <c r="O93" s="1241"/>
      <c r="P93" s="1241" t="s">
        <v>2119</v>
      </c>
      <c r="Q93" s="1241"/>
      <c r="R93" s="1241"/>
      <c r="S93" s="1241"/>
      <c r="T93" s="1127"/>
      <c r="U93" s="1127" t="s">
        <v>2214</v>
      </c>
      <c r="V93" s="1127"/>
      <c r="W93" s="1127"/>
      <c r="X93" s="1127"/>
      <c r="Y93" s="1284"/>
      <c r="Z93" s="1130"/>
      <c r="AA93" s="1133" t="s">
        <v>2215</v>
      </c>
      <c r="AB93" s="1130"/>
      <c r="AC93" s="1130"/>
      <c r="AD93" s="1130"/>
    </row>
    <row customHeight="1" ht="45">
      <c r="A94" s="1129"/>
      <c r="B94" s="1183">
        <v>77</v>
      </c>
      <c r="C94" s="1127"/>
      <c r="D94" s="1251" t="s">
        <v>2210</v>
      </c>
      <c r="E94" s="1127"/>
      <c r="F94" s="1127"/>
      <c r="G94" s="1127"/>
      <c r="H94" s="1175"/>
      <c r="I94" s="1289">
        <f>INDEX(TEMPLATE_NUMBER_POINT_FHD,B94,MATCH(TEMPLATE_SPHERE,TEMPLATE_SPHERE_LIST_FOR_NOTE,0))</f>
        <v>0</v>
      </c>
      <c r="J94" s="1289">
        <f>INDEX(TEMPLATE_DATA_POINT_FHD,B94,MATCH(TEMPLATE_SPHERE,TEMPLATE_SPHERE_LIST_FOR_NOTE,0))</f>
        <v>0</v>
      </c>
      <c r="K94" s="1289">
        <f>INDEX(TEMPLATE_NOTE_POINT_FHD,B94,MATCH(TEMPLATE_SPHERE,TEMPLATE_SPHERE_LIST_FOR_NOTE,0))</f>
        <v>0</v>
      </c>
      <c r="L94" s="1128" t="str">
        <f>IF(I94=0,"",I94)</f>
        <v/>
      </c>
      <c r="M94" s="1128" t="str">
        <f>IF(J94=0,"",J94)</f>
        <v/>
      </c>
      <c r="N94" s="1128" t="str">
        <f>IF(K94=0,"",K94)</f>
        <v/>
      </c>
      <c r="O94" s="1241"/>
      <c r="P94" s="1241" t="s">
        <v>1473</v>
      </c>
      <c r="Q94" s="1241"/>
      <c r="R94" s="1241"/>
      <c r="S94" s="1241"/>
      <c r="T94" s="1127"/>
      <c r="U94" s="1127" t="s">
        <v>2216</v>
      </c>
      <c r="V94" s="1127"/>
      <c r="W94" s="1127"/>
      <c r="X94" s="1127"/>
      <c r="Y94" s="1284"/>
      <c r="Z94" s="1130"/>
      <c r="AA94" s="1133" t="s">
        <v>2217</v>
      </c>
      <c r="AB94" s="1130"/>
      <c r="AC94" s="1130"/>
      <c r="AD94" s="1130"/>
    </row>
    <row customHeight="1" ht="99">
      <c r="A95" s="1129"/>
      <c r="B95" s="1183">
        <v>78</v>
      </c>
      <c r="C95" s="1127" t="s">
        <v>2218</v>
      </c>
      <c r="D95" s="1251"/>
      <c r="E95" s="1127"/>
      <c r="F95" s="1127"/>
      <c r="G95" s="1127"/>
      <c r="H95" s="1175"/>
      <c r="I95" s="1289" t="str">
        <f>INDEX(TEMPLATE_NUMBER_POINT_FHD,B95,MATCH(TEMPLATE_SPHERE,TEMPLATE_SPHERE_LIST_FOR_NOTE,0))</f>
        <v>15</v>
      </c>
      <c r="J95" s="1289" t="str">
        <f>INDEX(TEMPLATE_DATA_POINT_FHD,B95,MATCH(TEMPLATE_SPHERE,TEMPLATE_SPHERE_LIST_FOR_NOTE,0))</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5" s="1289">
        <f>INDEX(TEMPLATE_NOTE_POINT_FHD,B95,MATCH(TEMPLATE_SPHERE,TEMPLATE_SPHERE_LIST_FOR_NOTE,0))</f>
        <v>0</v>
      </c>
      <c r="L95" s="1128" t="str">
        <f>IF(I95=0,"",I95)</f>
        <v>15</v>
      </c>
      <c r="M95" s="1128" t="str">
        <f>IF(J95=0,"",J95)</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5" s="1128" t="str">
        <f>IF(K95=0,"",K95)</f>
        <v/>
      </c>
      <c r="O95" s="1241" t="s">
        <v>1473</v>
      </c>
      <c r="P95" s="1241"/>
      <c r="Q95" s="1241"/>
      <c r="R95" s="1241"/>
      <c r="S95" s="1241"/>
      <c r="T95" s="1127" t="s">
        <v>2219</v>
      </c>
      <c r="U95" s="1127"/>
      <c r="V95" s="1127"/>
      <c r="W95" s="1127"/>
      <c r="X95" s="1127"/>
      <c r="Y95" s="1284"/>
      <c r="Z95" s="1130"/>
      <c r="AA95" s="1133"/>
      <c r="AB95" s="1130"/>
      <c r="AC95" s="1130"/>
      <c r="AD95" s="1130"/>
    </row>
    <row customHeight="1" ht="99">
      <c r="A96" s="1129"/>
      <c r="B96" s="1183">
        <v>79</v>
      </c>
      <c r="C96" s="1127" t="s">
        <v>1155</v>
      </c>
      <c r="D96" s="1251"/>
      <c r="E96" s="1127"/>
      <c r="F96" s="1127"/>
      <c r="G96" s="1127"/>
      <c r="H96" s="1175"/>
      <c r="I96" s="1289" t="str">
        <f>INDEX(TEMPLATE_NUMBER_POINT_FHD,B96,MATCH(TEMPLATE_SPHERE,TEMPLATE_SPHERE_LIST_FOR_NOTE,0))</f>
        <v>16</v>
      </c>
      <c r="J96" s="1289" t="str">
        <f>INDEX(TEMPLATE_DATA_POINT_FHD,B96,MATCH(TEMPLATE_SPHERE,TEMPLATE_SPHERE_LIST_FOR_NOTE,0))</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6" s="1289" t="str">
        <f>INDEX(TEMPLATE_NOTE_POINT_FHD,B96,MATCH(TEMPLATE_SPHERE,TEMPLATE_SPHERE_LIST_FOR_NOTE,0))</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L96" s="1128" t="str">
        <f>IF(I96=0,"",I96)</f>
        <v>16</v>
      </c>
      <c r="M96" s="1128" t="str">
        <f>IF(J96=0,"",J96)</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6" s="1128" t="str">
        <f>IF(K96=0,"",K96)</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O96" s="1241" t="s">
        <v>1479</v>
      </c>
      <c r="P96" s="1241"/>
      <c r="Q96" s="1241"/>
      <c r="R96" s="1241"/>
      <c r="S96" s="1241"/>
      <c r="T96" s="1127" t="s">
        <v>2220</v>
      </c>
      <c r="U96" s="1127"/>
      <c r="V96" s="1127"/>
      <c r="W96" s="1127"/>
      <c r="X96" s="1127"/>
      <c r="Y96" s="1284"/>
      <c r="Z96" s="1130" t="s">
        <v>2221</v>
      </c>
      <c r="AA96" s="1133"/>
      <c r="AB96" s="1130"/>
      <c r="AC96" s="1130"/>
      <c r="AD96" s="1130"/>
    </row>
    <row customHeight="1" ht="63">
      <c r="A97" s="1129"/>
      <c r="B97" s="1183">
        <v>80</v>
      </c>
      <c r="C97" s="1127" t="s">
        <v>2222</v>
      </c>
      <c r="D97" s="1251"/>
      <c r="E97" s="1127"/>
      <c r="F97" s="1127"/>
      <c r="G97" s="1127"/>
      <c r="H97" s="1175"/>
      <c r="I97" s="1289" t="str">
        <f>INDEX(TEMPLATE_NUMBER_POINT_FHD,B97,MATCH(TEMPLATE_SPHERE,TEMPLATE_SPHERE_LIST_FOR_NOTE,0))</f>
        <v>17</v>
      </c>
      <c r="J97" s="1289" t="str">
        <f>INDEX(TEMPLATE_DATA_POINT_FHD,B97,MATCH(TEMPLATE_SPHERE,TEMPLATE_SPHERE_LIST_FOR_NOTE,0))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7" s="1289" t="str">
        <f>INDEX(TEMPLATE_NOTE_POINT_FHD,B97,MATCH(TEMPLATE_SPHERE,TEMPLATE_SPHERE_LIST_FOR_NOTE,0))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7" s="1128" t="str">
        <f>IF(I97=0,"",I97)</f>
        <v>17</v>
      </c>
      <c r="M97" s="1128" t="str">
        <f>IF(J97=0,"",J97)</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7" s="1128" t="str">
        <f>IF(K97=0,"",K97)</f>
        <v>Регулируемыми организациями указывается информация с по договорам, заключенным в рамках осуществления регулируемой деятельности.</v>
      </c>
      <c r="O97" s="1241" t="s">
        <v>1491</v>
      </c>
      <c r="P97" s="1241"/>
      <c r="Q97" s="1241"/>
      <c r="R97" s="1241"/>
      <c r="S97" s="1241"/>
      <c r="T97" s="1127" t="s">
        <v>2223</v>
      </c>
      <c r="U97" s="1127"/>
      <c r="V97" s="1127"/>
      <c r="W97" s="1127"/>
      <c r="X97" s="1127"/>
      <c r="Y97" s="1284"/>
      <c r="Z97" s="1130" t="s">
        <v>2224</v>
      </c>
      <c r="AA97" s="1133"/>
      <c r="AB97" s="1130"/>
      <c r="AC97" s="1130"/>
      <c r="AD97" s="1130"/>
    </row>
    <row customHeight="1" ht="63">
      <c r="A98" s="1129"/>
      <c r="B98" s="1183">
        <v>81</v>
      </c>
      <c r="C98" s="1127" t="s">
        <v>2225</v>
      </c>
      <c r="D98" s="1251"/>
      <c r="E98" s="1127"/>
      <c r="F98" s="1127"/>
      <c r="G98" s="1127"/>
      <c r="H98" s="1175"/>
      <c r="I98" s="1289" t="str">
        <f>INDEX(TEMPLATE_NUMBER_POINT_FHD,B98,MATCH(TEMPLATE_SPHERE,TEMPLATE_SPHERE_LIST_FOR_NOTE,0))</f>
        <v>18</v>
      </c>
      <c r="J98" s="1289" t="str">
        <f>INDEX(TEMPLATE_DATA_POINT_FHD,B98,MATCH(TEMPLATE_SPHERE,TEMPLATE_SPHERE_LIST_FOR_NOTE,0))</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8" s="1289" t="str">
        <f>INDEX(TEMPLATE_NOTE_POINT_FHD,B98,MATCH(TEMPLATE_SPHERE,TEMPLATE_SPHERE_LIST_FOR_NOTE,0))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8" s="1128" t="str">
        <f>IF(I98=0,"",I98)</f>
        <v>18</v>
      </c>
      <c r="M98" s="1128" t="str">
        <f>IF(J98=0,"",J98)</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8" s="1128" t="str">
        <f>IF(K98=0,"",K98)</f>
        <v>Регулируемыми организациями указывается информация с по договорам, заключенным в рамках осуществления регулируемой деятельности.</v>
      </c>
      <c r="O98" s="1241" t="s">
        <v>1505</v>
      </c>
      <c r="P98" s="1241"/>
      <c r="Q98" s="1241"/>
      <c r="R98" s="1241"/>
      <c r="S98" s="1241"/>
      <c r="T98" s="1127" t="s">
        <v>2226</v>
      </c>
      <c r="U98" s="1127"/>
      <c r="V98" s="1127"/>
      <c r="W98" s="1127"/>
      <c r="X98" s="1127"/>
      <c r="Y98" s="1284"/>
      <c r="Z98" s="1130" t="s">
        <v>2224</v>
      </c>
      <c r="AA98" s="1133"/>
      <c r="AB98" s="1130"/>
      <c r="AC98" s="1130"/>
      <c r="AD98" s="1130"/>
    </row>
    <row customHeight="1" ht="90">
      <c r="A99" s="1129"/>
      <c r="B99" s="1183">
        <v>82</v>
      </c>
      <c r="C99" s="1127" t="s">
        <v>2227</v>
      </c>
      <c r="D99" s="1251"/>
      <c r="E99" s="1127"/>
      <c r="F99" s="1127"/>
      <c r="G99" s="1127"/>
      <c r="H99" s="1175"/>
      <c r="I99" s="1289" t="str">
        <f>INDEX(TEMPLATE_NUMBER_POINT_FHD,B99,MATCH(TEMPLATE_SPHERE,TEMPLATE_SPHERE_LIST_FOR_NOTE,0))</f>
        <v>19</v>
      </c>
      <c r="J99" s="1289" t="str">
        <f>INDEX(TEMPLATE_DATA_POINT_FHD,B99,MATCH(TEMPLATE_SPHERE,TEMPLATE_SPHERE_LIST_FOR_NOTE,0))</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K99" s="1289" t="str">
        <f>INDEX(TEMPLATE_NOTE_POINT_FHD,B99,MATCH(TEMPLATE_SPHERE,TEMPLATE_SPHERE_LIST_FOR_NOTE,0))</f>
        <v>Указывается ссылка на документ, предварительно загруженный в хранилище файлов ФГИС ЕИАС.</v>
      </c>
      <c r="L99" s="1128" t="str">
        <f>IF(I99=0,"",I99)</f>
        <v>19</v>
      </c>
      <c r="M99" s="1128" t="str">
        <f>IF(J99=0,"",J99)</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N99" s="1128" t="str">
        <f>IF(K99=0,"",K99)</f>
        <v>Указывается ссылка на документ, предварительно загруженный в хранилище файлов ФГИС ЕИАС.</v>
      </c>
      <c r="O99" s="1241" t="s">
        <v>1517</v>
      </c>
      <c r="P99" s="1241"/>
      <c r="Q99" s="1241"/>
      <c r="R99" s="1241"/>
      <c r="S99" s="1241"/>
      <c r="T99" s="1127" t="s">
        <v>2228</v>
      </c>
      <c r="U99" s="1127"/>
      <c r="V99" s="1127"/>
      <c r="W99" s="1127"/>
      <c r="X99" s="1127"/>
      <c r="Y99" s="1284"/>
      <c r="Z99" s="1130" t="s">
        <v>639</v>
      </c>
      <c r="AA99" s="1133"/>
      <c r="AB99" s="1130"/>
      <c r="AC99" s="1130"/>
      <c r="AD99" s="1130"/>
    </row>
    <row customHeight="1" ht="27">
      <c r="A100" s="1129"/>
      <c r="B100" s="1183">
        <v>83</v>
      </c>
      <c r="C100" s="1127"/>
      <c r="D100" s="1251"/>
      <c r="E100" s="1127"/>
      <c r="F100" s="1127"/>
      <c r="G100" s="1127"/>
      <c r="H100" s="1175"/>
      <c r="I100" s="1289" t="str">
        <f>INDEX(TEMPLATE_NUMBER_POINT_FHD,B100,MATCH(TEMPLATE_SPHERE,TEMPLATE_SPHERE_LIST_FOR_NOTE,0))</f>
        <v>19.1</v>
      </c>
      <c r="J100" s="1289" t="str">
        <f>INDEX(TEMPLATE_DATA_POINT_FHD,B100,MATCH(TEMPLATE_SPHERE,TEMPLATE_SPHERE_LIST_FOR_NOTE,0))</f>
        <v>Информация о показателях физического износа объектов теплоснабжения</v>
      </c>
      <c r="K100" s="1289" t="str">
        <f>INDEX(TEMPLATE_NOTE_POINT_FHD,B100,MATCH(TEMPLATE_SPHERE,TEMPLATE_SPHERE_LIST_FOR_NOTE,0))</f>
        <v>Указывается ссылка на документ, предварительно загруженный в хранилище файлов ФГИС ЕИАС.</v>
      </c>
      <c r="L100" s="1128" t="str">
        <f>IF(I100=0,"",I100)</f>
        <v>19.1</v>
      </c>
      <c r="M100" s="1128" t="str">
        <f>IF(J100=0,"",J100)</f>
        <v>Информация о показателях физического износа объектов теплоснабжения</v>
      </c>
      <c r="N100" s="1128" t="str">
        <f>IF(K100=0,"",K100)</f>
        <v>Указывается ссылка на документ, предварительно загруженный в хранилище файлов ФГИС ЕИАС.</v>
      </c>
      <c r="O100" s="1241" t="s">
        <v>2229</v>
      </c>
      <c r="P100" s="1241"/>
      <c r="Q100" s="1241"/>
      <c r="R100" s="1241"/>
      <c r="S100" s="1241"/>
      <c r="T100" s="1127" t="s">
        <v>2230</v>
      </c>
      <c r="U100" s="1127"/>
      <c r="V100" s="1127"/>
      <c r="W100" s="1127"/>
      <c r="X100" s="1127"/>
      <c r="Y100" s="1284"/>
      <c r="Z100" s="1130" t="s">
        <v>639</v>
      </c>
      <c r="AA100" s="1133"/>
      <c r="AB100" s="1130"/>
      <c r="AC100" s="1130"/>
      <c r="AD100" s="1130"/>
    </row>
    <row customHeight="1" ht="27">
      <c r="A101" s="1129"/>
      <c r="B101" s="1183">
        <v>84</v>
      </c>
      <c r="C101" s="1127"/>
      <c r="D101" s="1251"/>
      <c r="E101" s="1127"/>
      <c r="F101" s="1127"/>
      <c r="G101" s="1127"/>
      <c r="H101" s="1175"/>
      <c r="I101" s="1289" t="str">
        <f>INDEX(TEMPLATE_NUMBER_POINT_FHD,B101,MATCH(TEMPLATE_SPHERE,TEMPLATE_SPHERE_LIST_FOR_NOTE,0))</f>
        <v>19.2</v>
      </c>
      <c r="J101" s="1289" t="str">
        <f>INDEX(TEMPLATE_DATA_POINT_FHD,B101,MATCH(TEMPLATE_SPHERE,TEMPLATE_SPHERE_LIST_FOR_NOTE,0))</f>
        <v>Информация о показателях энергетической эффективности объектов теплоснабжения</v>
      </c>
      <c r="K101" s="1289" t="str">
        <f>INDEX(TEMPLATE_NOTE_POINT_FHD,B101,MATCH(TEMPLATE_SPHERE,TEMPLATE_SPHERE_LIST_FOR_NOTE,0))</f>
        <v>Указывается ссылка на документ, предварительно загруженный в хранилище файлов ФГИС ЕИАС.</v>
      </c>
      <c r="L101" s="1128" t="str">
        <f>IF(I101=0,"",I101)</f>
        <v>19.2</v>
      </c>
      <c r="M101" s="1128" t="str">
        <f>IF(J101=0,"",J101)</f>
        <v>Информация о показателях энергетической эффективности объектов теплоснабжения</v>
      </c>
      <c r="N101" s="1128" t="str">
        <f>IF(K101=0,"",K101)</f>
        <v>Указывается ссылка на документ, предварительно загруженный в хранилище файлов ФГИС ЕИАС.</v>
      </c>
      <c r="O101" s="1241" t="s">
        <v>2231</v>
      </c>
      <c r="P101" s="1241"/>
      <c r="Q101" s="1241"/>
      <c r="R101" s="1241"/>
      <c r="S101" s="1241"/>
      <c r="T101" s="1127" t="s">
        <v>2232</v>
      </c>
      <c r="U101" s="1127"/>
      <c r="V101" s="1127"/>
      <c r="W101" s="1127"/>
      <c r="X101" s="1127"/>
      <c r="Y101" s="1284"/>
      <c r="Z101" s="1130" t="s">
        <v>639</v>
      </c>
      <c r="AA101" s="1133"/>
      <c r="AB101" s="1130"/>
      <c r="AC101" s="1130"/>
      <c r="AD101" s="1130"/>
    </row>
    <row customHeight="1" ht="9">
      <c r="A102" s="1129"/>
      <c r="B102" s="1129"/>
      <c r="C102" s="1127"/>
      <c r="D102" s="1127"/>
      <c r="E102" s="1127"/>
      <c r="F102" s="1127"/>
      <c r="G102" s="1127"/>
      <c r="H102" s="1175"/>
      <c r="I102" s="1175"/>
      <c r="J102" s="1175"/>
      <c r="K102" s="1175"/>
      <c r="L102" s="1175"/>
      <c r="M102" s="1127"/>
      <c r="N102" s="1174"/>
      <c r="O102" s="1241"/>
      <c r="P102" s="1241"/>
      <c r="Q102" s="1241"/>
      <c r="R102" s="1241"/>
      <c r="S102" s="1127"/>
      <c r="T102" s="1127"/>
      <c r="U102" s="1127"/>
      <c r="V102" s="1127"/>
      <c r="W102" s="1127"/>
      <c r="X102" s="1127"/>
      <c r="Y102" s="1284"/>
      <c r="Z102" s="1130"/>
      <c r="AA102" s="1133"/>
      <c r="AB102" s="1130"/>
      <c r="AC102" s="1130"/>
      <c r="AD102" s="1130"/>
    </row>
    <row customHeight="1" ht="9">
      <c r="A103" s="1129"/>
      <c r="B103" s="1129"/>
      <c r="C103" s="1127"/>
      <c r="D103" s="1127"/>
      <c r="E103" s="1127"/>
      <c r="F103" s="1127"/>
      <c r="G103" s="1127"/>
      <c r="H103" s="1175"/>
      <c r="I103" s="1175"/>
      <c r="J103" s="1175"/>
      <c r="K103" s="1175"/>
      <c r="L103" s="1175"/>
      <c r="M103" s="1127"/>
      <c r="N103" s="1174"/>
      <c r="O103" s="1241"/>
      <c r="P103" s="1241"/>
      <c r="Q103" s="1241"/>
      <c r="R103" s="1241"/>
      <c r="S103" s="1127"/>
      <c r="T103" s="1127"/>
      <c r="U103" s="1127"/>
      <c r="V103" s="1127"/>
      <c r="W103" s="1127"/>
      <c r="X103" s="1127"/>
      <c r="Y103" s="1284"/>
      <c r="Z103" s="1130"/>
      <c r="AA103" s="1133"/>
      <c r="AB103" s="1130"/>
      <c r="AC103" s="1130"/>
      <c r="AD103" s="1130"/>
    </row>
    <row customHeight="1" ht="9">
      <c r="A104" s="1129"/>
      <c r="B104" s="1129"/>
      <c r="C104" s="1127"/>
      <c r="D104" s="1127"/>
      <c r="E104" s="1127"/>
      <c r="F104" s="1127"/>
      <c r="G104" s="1127"/>
      <c r="H104" s="1175"/>
      <c r="I104" s="1175"/>
      <c r="J104" s="1175"/>
      <c r="K104" s="1175"/>
      <c r="L104" s="1175"/>
      <c r="M104" s="1127"/>
      <c r="N104" s="1174"/>
      <c r="O104" s="1241"/>
      <c r="P104" s="1241"/>
      <c r="Q104" s="1241"/>
      <c r="R104" s="1241"/>
      <c r="S104" s="1127"/>
      <c r="T104" s="1127"/>
      <c r="U104" s="1127"/>
      <c r="V104" s="1127"/>
      <c r="W104" s="1127"/>
      <c r="X104" s="1127"/>
      <c r="Y104" s="1284"/>
      <c r="Z104" s="1130"/>
      <c r="AA104" s="1133"/>
      <c r="AB104" s="1130"/>
      <c r="AC104" s="1130"/>
      <c r="AD104" s="1130"/>
    </row>
    <row customHeight="1" ht="9">
      <c r="A105" s="1129"/>
      <c r="B105" s="1129"/>
      <c r="C105" s="1127"/>
      <c r="D105" s="1127"/>
      <c r="E105" s="1127"/>
      <c r="F105" s="1127"/>
      <c r="G105" s="1127"/>
      <c r="H105" s="1175"/>
      <c r="I105" s="1175"/>
      <c r="J105" s="1175"/>
      <c r="K105" s="1175"/>
      <c r="L105" s="1175"/>
      <c r="M105" s="1127"/>
      <c r="N105" s="1174"/>
      <c r="O105" s="1241"/>
      <c r="P105" s="1241"/>
      <c r="Q105" s="1241"/>
      <c r="R105" s="1241"/>
      <c r="S105" s="1127"/>
      <c r="T105" s="1127"/>
      <c r="U105" s="1127"/>
      <c r="V105" s="1127"/>
      <c r="W105" s="1127"/>
      <c r="X105" s="1127"/>
      <c r="Y105" s="1284"/>
      <c r="Z105" s="1130"/>
      <c r="AA105" s="1133"/>
      <c r="AB105" s="1130"/>
      <c r="AC105" s="1130"/>
      <c r="AD105" s="1130"/>
    </row>
    <row customHeight="1" ht="9">
      <c r="A106" s="1129"/>
      <c r="B106" s="1129"/>
      <c r="C106" s="1127"/>
      <c r="D106" s="1127"/>
      <c r="E106" s="1127"/>
      <c r="F106" s="1127"/>
      <c r="G106" s="1127"/>
      <c r="H106" s="1175"/>
      <c r="I106" s="1175"/>
      <c r="J106" s="1175"/>
      <c r="K106" s="1175"/>
      <c r="L106" s="1175"/>
      <c r="M106" s="1127"/>
      <c r="N106" s="1174"/>
      <c r="O106" s="1241"/>
      <c r="P106" s="1241"/>
      <c r="Q106" s="1241"/>
      <c r="R106" s="1241"/>
      <c r="S106" s="1127"/>
      <c r="T106" s="1127"/>
      <c r="U106" s="1127"/>
      <c r="V106" s="1127"/>
      <c r="W106" s="1127"/>
      <c r="X106" s="1127"/>
      <c r="Y106" s="1284"/>
      <c r="Z106" s="1130"/>
      <c r="AA106" s="1133"/>
      <c r="AB106" s="1130"/>
      <c r="AC106" s="1130"/>
      <c r="AD106" s="1130"/>
    </row>
    <row customHeight="1" ht="9">
      <c r="A107" s="1129"/>
      <c r="B107" s="1129"/>
      <c r="C107" s="1127"/>
      <c r="D107" s="1127"/>
      <c r="E107" s="1127"/>
      <c r="F107" s="1127"/>
      <c r="G107" s="1127"/>
      <c r="H107" s="1175"/>
      <c r="I107" s="1175"/>
      <c r="J107" s="1175"/>
      <c r="K107" s="1175"/>
      <c r="L107" s="1175"/>
      <c r="M107" s="1127"/>
      <c r="N107" s="1174"/>
      <c r="O107" s="1241"/>
      <c r="P107" s="1241"/>
      <c r="Q107" s="1241"/>
      <c r="R107" s="1241"/>
      <c r="S107" s="1127"/>
      <c r="T107" s="1127"/>
      <c r="U107" s="1127"/>
      <c r="V107" s="1127"/>
      <c r="W107" s="1127"/>
      <c r="X107" s="1127"/>
      <c r="Y107" s="1284"/>
      <c r="Z107" s="1130"/>
      <c r="AA107" s="1133"/>
      <c r="AB107" s="1130"/>
      <c r="AC107" s="1130"/>
      <c r="AD107" s="1130"/>
    </row>
    <row customHeight="1" ht="9">
      <c r="A108" s="1129"/>
      <c r="B108" s="1129"/>
      <c r="C108" s="1127"/>
      <c r="D108" s="1127"/>
      <c r="E108" s="1127"/>
      <c r="F108" s="1127"/>
      <c r="G108" s="1127"/>
      <c r="H108" s="1175"/>
      <c r="I108" s="1175"/>
      <c r="J108" s="1175"/>
      <c r="K108" s="1175"/>
      <c r="L108" s="1175"/>
      <c r="M108" s="1127"/>
      <c r="N108" s="1174"/>
      <c r="O108" s="1241"/>
      <c r="P108" s="1241"/>
      <c r="Q108" s="1241"/>
      <c r="R108" s="1241"/>
      <c r="S108" s="1127"/>
      <c r="T108" s="1127"/>
      <c r="U108" s="1127"/>
      <c r="V108" s="1127"/>
      <c r="W108" s="1127"/>
      <c r="X108" s="1127"/>
      <c r="Y108" s="1284"/>
      <c r="Z108" s="1130"/>
      <c r="AA108" s="1133"/>
      <c r="AB108" s="1130"/>
      <c r="AC108" s="1130"/>
      <c r="AD108" s="1130"/>
    </row>
    <row customHeight="1" ht="9">
      <c r="A109" s="1129"/>
      <c r="B109" s="1129"/>
      <c r="C109" s="1127"/>
      <c r="D109" s="1127"/>
      <c r="E109" s="1127"/>
      <c r="F109" s="1127"/>
      <c r="G109" s="1127"/>
      <c r="H109" s="1175"/>
      <c r="I109" s="1175"/>
      <c r="J109" s="1175"/>
      <c r="K109" s="1175"/>
      <c r="L109" s="1175"/>
      <c r="M109" s="1127"/>
      <c r="N109" s="1174"/>
      <c r="O109" s="1241"/>
      <c r="P109" s="1241"/>
      <c r="Q109" s="1241"/>
      <c r="R109" s="1241"/>
      <c r="S109" s="1127"/>
      <c r="T109" s="1127"/>
      <c r="U109" s="1127"/>
      <c r="V109" s="1127"/>
      <c r="W109" s="1127"/>
      <c r="X109" s="1127"/>
      <c r="Y109" s="1284"/>
      <c r="Z109" s="1130"/>
      <c r="AA109" s="1133"/>
      <c r="AB109" s="1130"/>
      <c r="AC109" s="1130"/>
      <c r="AD109" s="1130"/>
    </row>
    <row customHeight="1" ht="9">
      <c r="A110" s="1129"/>
      <c r="B110" s="1129"/>
      <c r="C110" s="1127"/>
      <c r="D110" s="1127"/>
      <c r="E110" s="1127"/>
      <c r="F110" s="1127"/>
      <c r="G110" s="1127"/>
      <c r="H110" s="1175"/>
      <c r="I110" s="1175"/>
      <c r="J110" s="1175"/>
      <c r="K110" s="1175"/>
      <c r="L110" s="1175"/>
      <c r="M110" s="1127"/>
      <c r="N110" s="1174"/>
      <c r="O110" s="1241"/>
      <c r="P110" s="1241"/>
      <c r="Q110" s="1241"/>
      <c r="R110" s="1241"/>
      <c r="S110" s="1127"/>
      <c r="T110" s="1127"/>
      <c r="U110" s="1127"/>
      <c r="V110" s="1127"/>
      <c r="W110" s="1127"/>
      <c r="X110" s="1127"/>
      <c r="Y110" s="1284"/>
      <c r="Z110" s="1130"/>
      <c r="AA110" s="1133"/>
      <c r="AB110" s="1130"/>
      <c r="AC110" s="1130"/>
      <c r="AD110" s="1130"/>
    </row>
    <row customHeight="1" ht="9">
      <c r="A111" s="1129"/>
      <c r="B111" s="1129"/>
      <c r="C111" s="1127"/>
      <c r="D111" s="1127"/>
      <c r="E111" s="1127"/>
      <c r="F111" s="1127"/>
      <c r="G111" s="1127"/>
      <c r="H111" s="1175"/>
      <c r="I111" s="1175"/>
      <c r="J111" s="1175"/>
      <c r="K111" s="1175"/>
      <c r="L111" s="1175"/>
      <c r="M111" s="1127"/>
      <c r="N111" s="1174"/>
      <c r="O111" s="1241"/>
      <c r="P111" s="1241"/>
      <c r="Q111" s="1241"/>
      <c r="R111" s="1241"/>
      <c r="S111" s="1127"/>
      <c r="T111" s="1127"/>
      <c r="U111" s="1127"/>
      <c r="V111" s="1127"/>
      <c r="W111" s="1127"/>
      <c r="X111" s="1127"/>
      <c r="Y111" s="1284"/>
      <c r="Z111" s="1130"/>
      <c r="AA111" s="1133"/>
      <c r="AB111" s="1130"/>
      <c r="AC111" s="1130"/>
      <c r="AD111" s="1130"/>
    </row>
    <row customHeight="1" ht="9">
      <c r="A112" s="1129"/>
      <c r="B112" s="1129"/>
      <c r="C112" s="1127"/>
      <c r="D112" s="1127"/>
      <c r="E112" s="1127"/>
      <c r="F112" s="1127"/>
      <c r="G112" s="1127"/>
      <c r="H112" s="1175"/>
      <c r="I112" s="1175"/>
      <c r="J112" s="1175"/>
      <c r="K112" s="1175"/>
      <c r="L112" s="1175"/>
      <c r="M112" s="1127"/>
      <c r="N112" s="1174"/>
      <c r="O112" s="1241"/>
      <c r="P112" s="1241"/>
      <c r="Q112" s="1241"/>
      <c r="R112" s="1241"/>
      <c r="S112" s="1127"/>
      <c r="T112" s="1127"/>
      <c r="U112" s="1127"/>
      <c r="V112" s="1127"/>
      <c r="W112" s="1127"/>
      <c r="X112" s="1127"/>
      <c r="Y112" s="1284"/>
      <c r="Z112" s="1130"/>
      <c r="AA112" s="1133"/>
      <c r="AB112" s="1130"/>
      <c r="AC112" s="1130"/>
      <c r="AD112" s="1130"/>
    </row>
    <row customHeight="1" ht="9">
      <c r="A113" s="1129"/>
      <c r="B113" s="1129"/>
      <c r="C113" s="1127"/>
      <c r="D113" s="1127"/>
      <c r="E113" s="1127"/>
      <c r="F113" s="1127"/>
      <c r="G113" s="1127"/>
      <c r="H113" s="1175"/>
      <c r="I113" s="1175"/>
      <c r="J113" s="1175"/>
      <c r="K113" s="1175"/>
      <c r="L113" s="1175"/>
      <c r="M113" s="1127"/>
      <c r="N113" s="1174"/>
      <c r="O113" s="1241"/>
      <c r="P113" s="1241"/>
      <c r="Q113" s="1241"/>
      <c r="R113" s="1241"/>
      <c r="S113" s="1127"/>
      <c r="T113" s="1127"/>
      <c r="U113" s="1127"/>
      <c r="V113" s="1127"/>
      <c r="W113" s="1127"/>
      <c r="X113" s="1127"/>
      <c r="Y113" s="1284"/>
      <c r="Z113" s="1130"/>
      <c r="AA113" s="1133"/>
      <c r="AB113" s="1130"/>
      <c r="AC113" s="1130"/>
      <c r="AD113" s="1130"/>
    </row>
    <row customHeight="1" ht="9">
      <c r="A114" s="1129"/>
      <c r="B114" s="1129"/>
      <c r="C114" s="1127"/>
      <c r="D114" s="1127"/>
      <c r="E114" s="1127"/>
      <c r="F114" s="1127"/>
      <c r="G114" s="1127"/>
      <c r="H114" s="1175"/>
      <c r="I114" s="1175"/>
      <c r="J114" s="1175"/>
      <c r="K114" s="1175"/>
      <c r="L114" s="1175"/>
      <c r="M114" s="1127"/>
      <c r="N114" s="1174"/>
      <c r="O114" s="1241"/>
      <c r="P114" s="1241"/>
      <c r="Q114" s="1241"/>
      <c r="R114" s="1241"/>
      <c r="S114" s="1127"/>
      <c r="T114" s="1127"/>
      <c r="U114" s="1127"/>
      <c r="V114" s="1127"/>
      <c r="W114" s="1127"/>
      <c r="X114" s="1127"/>
      <c r="Y114" s="1284"/>
      <c r="Z114" s="1130"/>
      <c r="AA114" s="1133"/>
      <c r="AB114" s="1130"/>
      <c r="AC114" s="1130"/>
      <c r="AD114" s="1130"/>
    </row>
    <row customHeight="1" ht="9">
      <c r="A115" s="1129"/>
      <c r="B115" s="1129"/>
      <c r="C115" s="1127"/>
      <c r="D115" s="1127"/>
      <c r="E115" s="1127"/>
      <c r="F115" s="1127"/>
      <c r="G115" s="1127"/>
      <c r="H115" s="1175"/>
      <c r="I115" s="1175"/>
      <c r="J115" s="1175"/>
      <c r="K115" s="1175"/>
      <c r="L115" s="1175"/>
      <c r="M115" s="1127"/>
      <c r="N115" s="1174"/>
      <c r="O115" s="1241"/>
      <c r="P115" s="1241"/>
      <c r="Q115" s="1241"/>
      <c r="R115" s="1241"/>
      <c r="S115" s="1127"/>
      <c r="T115" s="1127"/>
      <c r="U115" s="1127"/>
      <c r="V115" s="1127"/>
      <c r="W115" s="1127"/>
      <c r="X115" s="1127"/>
      <c r="Y115" s="1284"/>
      <c r="Z115" s="1130"/>
      <c r="AA115" s="1133"/>
      <c r="AB115" s="1130"/>
      <c r="AC115" s="1130"/>
      <c r="AD115" s="1130"/>
    </row>
    <row customHeight="1" ht="9">
      <c r="A116" s="1129"/>
      <c r="B116" s="1129"/>
      <c r="C116" s="1127"/>
      <c r="D116" s="1127"/>
      <c r="E116" s="1127"/>
      <c r="F116" s="1127"/>
      <c r="G116" s="1127"/>
      <c r="H116" s="1175"/>
      <c r="I116" s="1175"/>
      <c r="J116" s="1175"/>
      <c r="K116" s="1175"/>
      <c r="L116" s="1175"/>
      <c r="M116" s="1127"/>
      <c r="N116" s="1174"/>
      <c r="O116" s="1241"/>
      <c r="P116" s="1241"/>
      <c r="Q116" s="1241"/>
      <c r="R116" s="1241"/>
      <c r="S116" s="1127"/>
      <c r="T116" s="1127"/>
      <c r="U116" s="1127"/>
      <c r="V116" s="1127"/>
      <c r="W116" s="1127"/>
      <c r="X116" s="1127"/>
      <c r="Y116" s="1284"/>
      <c r="Z116" s="1130"/>
      <c r="AA116" s="1133"/>
      <c r="AB116" s="1130"/>
      <c r="AC116" s="1130"/>
      <c r="AD116" s="1130"/>
    </row>
    <row customHeight="1" ht="9">
      <c r="A117" s="1129"/>
      <c r="B117" s="1129"/>
      <c r="C117" s="1127"/>
      <c r="D117" s="1127"/>
      <c r="E117" s="1127"/>
      <c r="F117" s="1127"/>
      <c r="G117" s="1127"/>
      <c r="H117" s="1175"/>
      <c r="I117" s="1175"/>
      <c r="J117" s="1175"/>
      <c r="K117" s="1175"/>
      <c r="L117" s="1175"/>
      <c r="M117" s="1127"/>
      <c r="N117" s="1174"/>
      <c r="O117" s="1241"/>
      <c r="P117" s="1241"/>
      <c r="Q117" s="1241"/>
      <c r="R117" s="1241"/>
      <c r="S117" s="1127"/>
      <c r="T117" s="1127"/>
      <c r="U117" s="1127"/>
      <c r="V117" s="1127"/>
      <c r="W117" s="1127"/>
      <c r="X117" s="1127"/>
      <c r="Y117" s="1284"/>
      <c r="Z117" s="1130"/>
      <c r="AA117" s="1133"/>
      <c r="AB117" s="1130"/>
      <c r="AC117" s="1130"/>
      <c r="AD117" s="1130"/>
    </row>
    <row customHeight="1" ht="9">
      <c r="A118" s="1129"/>
      <c r="B118" s="1129"/>
      <c r="C118" s="1127"/>
      <c r="D118" s="1127"/>
      <c r="E118" s="1127"/>
      <c r="F118" s="1127"/>
      <c r="G118" s="1127"/>
      <c r="H118" s="1175"/>
      <c r="I118" s="1175"/>
      <c r="J118" s="1175"/>
      <c r="K118" s="1175"/>
      <c r="L118" s="1175"/>
      <c r="M118" s="1127"/>
      <c r="N118" s="1174"/>
      <c r="O118" s="1241"/>
      <c r="P118" s="1241"/>
      <c r="Q118" s="1241"/>
      <c r="R118" s="1241"/>
      <c r="S118" s="1127"/>
      <c r="T118" s="1127"/>
      <c r="U118" s="1127"/>
      <c r="V118" s="1127"/>
      <c r="W118" s="1127"/>
      <c r="X118" s="1127"/>
      <c r="Y118" s="1284"/>
      <c r="Z118" s="1130"/>
      <c r="AA118" s="1133"/>
      <c r="AB118" s="1130"/>
      <c r="AC118" s="1130"/>
      <c r="AD118" s="1130"/>
    </row>
    <row customHeight="1" ht="9">
      <c r="A119" s="1129"/>
      <c r="B119" s="1129"/>
      <c r="C119" s="1127"/>
      <c r="D119" s="1127"/>
      <c r="E119" s="1127"/>
      <c r="F119" s="1127"/>
      <c r="G119" s="1127"/>
      <c r="H119" s="1175"/>
      <c r="I119" s="1175"/>
      <c r="J119" s="1175"/>
      <c r="K119" s="1175"/>
      <c r="L119" s="1175"/>
      <c r="M119" s="1127"/>
      <c r="N119" s="1174"/>
      <c r="O119" s="1241"/>
      <c r="P119" s="1241"/>
      <c r="Q119" s="1241"/>
      <c r="R119" s="1241"/>
      <c r="S119" s="1127"/>
      <c r="T119" s="1127"/>
      <c r="U119" s="1127"/>
      <c r="V119" s="1127"/>
      <c r="W119" s="1127"/>
      <c r="X119" s="1127"/>
      <c r="Y119" s="1284"/>
      <c r="Z119" s="1130"/>
      <c r="AA119" s="1133"/>
      <c r="AB119" s="1130"/>
      <c r="AC119" s="1130"/>
      <c r="AD119" s="1130"/>
    </row>
    <row customHeight="1" ht="9">
      <c r="A120" s="1129"/>
      <c r="B120" s="1129"/>
      <c r="C120" s="1127"/>
      <c r="D120" s="1127"/>
      <c r="E120" s="1127"/>
      <c r="F120" s="1127"/>
      <c r="G120" s="1127"/>
      <c r="H120" s="1175"/>
      <c r="I120" s="1175"/>
      <c r="J120" s="1175"/>
      <c r="K120" s="1175"/>
      <c r="L120" s="1175"/>
      <c r="M120" s="1127"/>
      <c r="N120" s="1174"/>
      <c r="O120" s="1241"/>
      <c r="P120" s="1241"/>
      <c r="Q120" s="1241"/>
      <c r="R120" s="1241"/>
      <c r="S120" s="1127"/>
      <c r="T120" s="1127"/>
      <c r="U120" s="1127"/>
      <c r="V120" s="1127"/>
      <c r="W120" s="1127"/>
      <c r="X120" s="1127"/>
      <c r="Y120" s="1284"/>
      <c r="Z120" s="1130"/>
      <c r="AA120" s="1133"/>
      <c r="AB120" s="1130"/>
      <c r="AC120" s="1130"/>
      <c r="AD120" s="1130"/>
    </row>
    <row customHeight="1" ht="9">
      <c r="A121" s="1129"/>
      <c r="B121" s="1129"/>
      <c r="C121" s="1127"/>
      <c r="D121" s="1127"/>
      <c r="E121" s="1127"/>
      <c r="F121" s="1127"/>
      <c r="G121" s="1127"/>
      <c r="H121" s="1175"/>
      <c r="I121" s="1175"/>
      <c r="J121" s="1175"/>
      <c r="K121" s="1175"/>
      <c r="L121" s="1175"/>
      <c r="M121" s="1127"/>
      <c r="N121" s="1174"/>
      <c r="O121" s="1241"/>
      <c r="P121" s="1241"/>
      <c r="Q121" s="1241"/>
      <c r="R121" s="1241"/>
      <c r="S121" s="1127"/>
      <c r="T121" s="1127"/>
      <c r="U121" s="1127"/>
      <c r="V121" s="1127"/>
      <c r="W121" s="1127"/>
      <c r="X121" s="1127"/>
      <c r="Y121" s="1284"/>
      <c r="Z121" s="1130"/>
      <c r="AA121" s="1133"/>
      <c r="AB121" s="1130"/>
      <c r="AC121" s="1130"/>
      <c r="AD121" s="1130"/>
    </row>
    <row customHeight="1" ht="9">
      <c r="A122" s="1129"/>
      <c r="B122" s="1129"/>
      <c r="C122" s="1127"/>
      <c r="D122" s="1127"/>
      <c r="E122" s="1127"/>
      <c r="F122" s="1127"/>
      <c r="G122" s="1127"/>
      <c r="H122" s="1175"/>
      <c r="I122" s="1175"/>
      <c r="J122" s="1175"/>
      <c r="K122" s="1175"/>
      <c r="L122" s="1175"/>
      <c r="M122" s="1127"/>
      <c r="N122" s="1174"/>
      <c r="O122" s="1241"/>
      <c r="P122" s="1241"/>
      <c r="Q122" s="1241"/>
      <c r="R122" s="1241"/>
      <c r="S122" s="1127"/>
      <c r="T122" s="1127"/>
      <c r="U122" s="1127"/>
      <c r="V122" s="1127"/>
      <c r="W122" s="1127"/>
      <c r="X122" s="1127"/>
      <c r="Y122" s="1284"/>
      <c r="Z122" s="1130"/>
      <c r="AA122" s="1133"/>
      <c r="AB122" s="1130"/>
      <c r="AC122" s="1130"/>
      <c r="AD122" s="1130"/>
    </row>
    <row customHeight="1" ht="9">
      <c r="A123" s="1129"/>
      <c r="B123" s="1129"/>
      <c r="C123" s="1127"/>
      <c r="D123" s="1127"/>
      <c r="E123" s="1127"/>
      <c r="F123" s="1127"/>
      <c r="G123" s="1127"/>
      <c r="H123" s="1175"/>
      <c r="I123" s="1175"/>
      <c r="J123" s="1175"/>
      <c r="K123" s="1175"/>
      <c r="L123" s="1175"/>
      <c r="M123" s="1127"/>
      <c r="N123" s="1174"/>
      <c r="O123" s="1241"/>
      <c r="P123" s="1241"/>
      <c r="Q123" s="1241"/>
      <c r="R123" s="1241"/>
      <c r="S123" s="1127"/>
      <c r="T123" s="1127"/>
      <c r="U123" s="1127"/>
      <c r="V123" s="1127"/>
      <c r="W123" s="1127"/>
      <c r="X123" s="1127"/>
      <c r="Y123" s="1284"/>
      <c r="Z123" s="1130"/>
      <c r="AA123" s="1133"/>
      <c r="AB123" s="1130"/>
      <c r="AC123" s="1130"/>
      <c r="AD123" s="1130"/>
    </row>
    <row customHeight="1" ht="9">
      <c r="A124" s="1129"/>
      <c r="B124" s="1129"/>
      <c r="C124" s="1127"/>
      <c r="D124" s="1127"/>
      <c r="E124" s="1127"/>
      <c r="F124" s="1127"/>
      <c r="G124" s="1127"/>
      <c r="H124" s="1175"/>
      <c r="I124" s="1175"/>
      <c r="J124" s="1175"/>
      <c r="K124" s="1175"/>
      <c r="L124" s="1175"/>
      <c r="M124" s="1127"/>
      <c r="N124" s="1174"/>
      <c r="O124" s="1241"/>
      <c r="P124" s="1241"/>
      <c r="Q124" s="1241"/>
      <c r="R124" s="1241"/>
      <c r="S124" s="1127"/>
      <c r="T124" s="1127"/>
      <c r="U124" s="1127"/>
      <c r="V124" s="1127"/>
      <c r="W124" s="1127"/>
      <c r="X124" s="1127"/>
      <c r="Y124" s="1284"/>
      <c r="Z124" s="1130"/>
      <c r="AA124" s="1133"/>
      <c r="AB124" s="1130"/>
      <c r="AC124" s="1130"/>
      <c r="AD124" s="1130"/>
    </row>
    <row customHeight="1" ht="9">
      <c r="A125" s="1129"/>
      <c r="B125" s="1129"/>
      <c r="C125" s="1127"/>
      <c r="D125" s="1127"/>
      <c r="E125" s="1127"/>
      <c r="F125" s="1127"/>
      <c r="G125" s="1127"/>
      <c r="H125" s="1175"/>
      <c r="I125" s="1175"/>
      <c r="J125" s="1175"/>
      <c r="K125" s="1175"/>
      <c r="L125" s="1175"/>
      <c r="M125" s="1127"/>
      <c r="N125" s="1174"/>
      <c r="O125" s="1241"/>
      <c r="P125" s="1241"/>
      <c r="Q125" s="1241"/>
      <c r="R125" s="1241"/>
      <c r="S125" s="1127"/>
      <c r="T125" s="1127"/>
      <c r="U125" s="1127"/>
      <c r="V125" s="1127"/>
      <c r="W125" s="1127"/>
      <c r="X125" s="1127"/>
      <c r="Y125" s="1284"/>
      <c r="Z125" s="1130"/>
      <c r="AA125" s="1133"/>
      <c r="AB125" s="1130"/>
      <c r="AC125" s="1130"/>
      <c r="AD125" s="1130"/>
    </row>
    <row customHeight="1" ht="9">
      <c r="A126" s="1129"/>
      <c r="B126" s="1129"/>
      <c r="C126" s="1127"/>
      <c r="D126" s="1127"/>
      <c r="E126" s="1127"/>
      <c r="F126" s="1127"/>
      <c r="G126" s="1127"/>
      <c r="H126" s="1175"/>
      <c r="I126" s="1175"/>
      <c r="J126" s="1175"/>
      <c r="K126" s="1175"/>
      <c r="L126" s="1175"/>
      <c r="M126" s="1127"/>
      <c r="N126" s="1174"/>
      <c r="O126" s="1241"/>
      <c r="P126" s="1241"/>
      <c r="Q126" s="1241"/>
      <c r="R126" s="1241"/>
      <c r="S126" s="1127"/>
      <c r="T126" s="1127"/>
      <c r="U126" s="1127"/>
      <c r="V126" s="1127"/>
      <c r="W126" s="1127"/>
      <c r="X126" s="1127"/>
      <c r="Y126" s="1284"/>
      <c r="Z126" s="1130"/>
      <c r="AA126" s="1133"/>
      <c r="AB126" s="1130"/>
      <c r="AC126" s="1130"/>
      <c r="AD126" s="1130"/>
    </row>
    <row customHeight="1" ht="9">
      <c r="A127" s="1129"/>
      <c r="B127" s="1129"/>
      <c r="C127" s="1127"/>
      <c r="D127" s="1127"/>
      <c r="E127" s="1127"/>
      <c r="F127" s="1127"/>
      <c r="G127" s="1127"/>
      <c r="H127" s="1175"/>
      <c r="I127" s="1175"/>
      <c r="J127" s="1175"/>
      <c r="K127" s="1175"/>
      <c r="L127" s="1175"/>
      <c r="M127" s="1127"/>
      <c r="N127" s="1174"/>
      <c r="O127" s="1241"/>
      <c r="P127" s="1241"/>
      <c r="Q127" s="1241"/>
      <c r="R127" s="1241"/>
      <c r="S127" s="1127"/>
      <c r="T127" s="1127"/>
      <c r="U127" s="1127"/>
      <c r="V127" s="1127"/>
      <c r="W127" s="1127"/>
      <c r="X127" s="1127"/>
      <c r="Y127" s="1284"/>
      <c r="Z127" s="1130"/>
      <c r="AA127" s="1133"/>
      <c r="AB127" s="1130"/>
      <c r="AC127" s="1130"/>
      <c r="AD127" s="1130"/>
    </row>
    <row customHeight="1" ht="9">
      <c r="A128" s="1129"/>
      <c r="B128" s="1129"/>
      <c r="C128" s="1127"/>
      <c r="D128" s="1127"/>
      <c r="E128" s="1127"/>
      <c r="F128" s="1127"/>
      <c r="G128" s="1127"/>
      <c r="H128" s="1175"/>
      <c r="I128" s="1175"/>
      <c r="J128" s="1175"/>
      <c r="K128" s="1175"/>
      <c r="L128" s="1175"/>
      <c r="M128" s="1127"/>
      <c r="N128" s="1174"/>
      <c r="O128" s="1241"/>
      <c r="P128" s="1241"/>
      <c r="Q128" s="1241"/>
      <c r="R128" s="1241"/>
      <c r="S128" s="1127"/>
      <c r="T128" s="1127"/>
      <c r="U128" s="1127"/>
      <c r="V128" s="1127"/>
      <c r="W128" s="1127"/>
      <c r="X128" s="1127"/>
      <c r="Y128" s="1284"/>
      <c r="Z128" s="1130"/>
      <c r="AA128" s="1133"/>
      <c r="AB128" s="1130"/>
      <c r="AC128" s="1130"/>
      <c r="AD128" s="1130"/>
    </row>
    <row customHeight="1" ht="9">
      <c r="A129" s="1129"/>
      <c r="B129" s="1129"/>
      <c r="C129" s="1127"/>
      <c r="D129" s="1127"/>
      <c r="E129" s="1127"/>
      <c r="F129" s="1127"/>
      <c r="G129" s="1127"/>
      <c r="H129" s="1175"/>
      <c r="I129" s="1175"/>
      <c r="J129" s="1175"/>
      <c r="K129" s="1175"/>
      <c r="L129" s="1175"/>
      <c r="M129" s="1127"/>
      <c r="N129" s="1174"/>
      <c r="O129" s="1241"/>
      <c r="P129" s="1241"/>
      <c r="Q129" s="1241"/>
      <c r="R129" s="1241"/>
      <c r="S129" s="1127"/>
      <c r="T129" s="1127"/>
      <c r="U129" s="1127"/>
      <c r="V129" s="1127"/>
      <c r="W129" s="1127"/>
      <c r="X129" s="1127"/>
      <c r="Y129" s="1284"/>
      <c r="Z129" s="1130"/>
      <c r="AA129" s="1133"/>
      <c r="AB129" s="1130"/>
      <c r="AC129" s="1130"/>
      <c r="AD129" s="1130"/>
    </row>
    <row customHeight="1" ht="9">
      <c r="A130" s="1129"/>
      <c r="B130" s="1129"/>
      <c r="C130" s="1127"/>
      <c r="D130" s="1127"/>
      <c r="E130" s="1127"/>
      <c r="F130" s="1127"/>
      <c r="G130" s="1127"/>
      <c r="H130" s="1175"/>
      <c r="I130" s="1175"/>
      <c r="J130" s="1175"/>
      <c r="K130" s="1175"/>
      <c r="L130" s="1175"/>
      <c r="M130" s="1127"/>
      <c r="N130" s="1174"/>
      <c r="O130" s="1243"/>
      <c r="P130" s="1243"/>
      <c r="Q130" s="1243"/>
      <c r="R130" s="1243"/>
      <c r="S130" s="1127"/>
      <c r="T130" s="1127"/>
      <c r="U130" s="1127"/>
      <c r="V130" s="1127"/>
      <c r="W130" s="1127"/>
      <c r="X130" s="1127"/>
      <c r="Y130" s="1284"/>
      <c r="Z130" s="1130"/>
      <c r="AA130" s="1133"/>
      <c r="AB130" s="1130"/>
      <c r="AC130" s="1130"/>
      <c r="AD130" s="1130"/>
    </row>
    <row customHeight="1" ht="9">
      <c r="A131" s="1129"/>
      <c r="B131" s="1129"/>
      <c r="C131" s="1127"/>
      <c r="D131" s="1127"/>
      <c r="E131" s="1127"/>
      <c r="F131" s="1127"/>
      <c r="G131" s="1127"/>
      <c r="H131" s="1175"/>
      <c r="I131" s="1175"/>
      <c r="J131" s="1175"/>
      <c r="K131" s="1175"/>
      <c r="L131" s="1175"/>
      <c r="M131" s="1127"/>
      <c r="N131" s="1174"/>
      <c r="O131" s="1244"/>
      <c r="P131" s="1244"/>
      <c r="Q131" s="1244"/>
      <c r="R131" s="1244"/>
      <c r="S131" s="1127"/>
      <c r="T131" s="1127"/>
      <c r="U131" s="1127"/>
      <c r="V131" s="1127"/>
      <c r="W131" s="1127"/>
      <c r="X131" s="1127"/>
      <c r="Y131" s="1284"/>
      <c r="Z131" s="1130"/>
      <c r="AA131" s="1133"/>
      <c r="AB131" s="1130"/>
      <c r="AC131" s="1130"/>
      <c r="AD131" s="1130"/>
    </row>
    <row customHeight="1" ht="9">
      <c r="A132" s="1129"/>
      <c r="B132" s="1129"/>
      <c r="C132" s="1127"/>
      <c r="D132" s="1127"/>
      <c r="E132" s="1127"/>
      <c r="F132" s="1127"/>
      <c r="G132" s="1127"/>
      <c r="H132" s="1175"/>
      <c r="I132" s="1175"/>
      <c r="J132" s="1175"/>
      <c r="K132" s="1175"/>
      <c r="L132" s="1175"/>
      <c r="M132" s="1127"/>
      <c r="N132" s="1174"/>
      <c r="O132" s="1243"/>
      <c r="P132" s="1243"/>
      <c r="Q132" s="1243"/>
      <c r="R132" s="1243"/>
      <c r="S132" s="1127"/>
      <c r="T132" s="1127"/>
      <c r="U132" s="1127"/>
      <c r="V132" s="1127"/>
      <c r="W132" s="1127"/>
      <c r="X132" s="1127"/>
      <c r="Y132" s="1284"/>
      <c r="Z132" s="1130"/>
      <c r="AA132" s="1133"/>
      <c r="AB132" s="1130"/>
      <c r="AC132" s="1130"/>
      <c r="AD132" s="1130"/>
    </row>
    <row customHeight="1" ht="9">
      <c r="A133" s="1129"/>
      <c r="B133" s="1129"/>
      <c r="C133" s="1127"/>
      <c r="D133" s="1127"/>
      <c r="E133" s="1127"/>
      <c r="F133" s="1127"/>
      <c r="G133" s="1127"/>
      <c r="H133" s="1175"/>
      <c r="I133" s="1175"/>
      <c r="J133" s="1175"/>
      <c r="K133" s="1175"/>
      <c r="L133" s="1175"/>
      <c r="M133" s="1127"/>
      <c r="N133" s="1174"/>
      <c r="O133" s="1244"/>
      <c r="P133" s="1244"/>
      <c r="Q133" s="1244"/>
      <c r="R133" s="1244"/>
      <c r="S133" s="1127"/>
      <c r="T133" s="1127"/>
      <c r="U133" s="1127"/>
      <c r="V133" s="1127"/>
      <c r="W133" s="1127"/>
      <c r="X133" s="1127"/>
      <c r="Y133" s="1284"/>
      <c r="Z133" s="1130"/>
      <c r="AA133" s="1133"/>
      <c r="AB133" s="1130"/>
      <c r="AC133" s="1130"/>
      <c r="AD133" s="1130"/>
    </row>
    <row customHeight="1" ht="9">
      <c r="A134" s="1129"/>
      <c r="B134" s="1129"/>
      <c r="C134" s="1127"/>
      <c r="D134" s="1127"/>
      <c r="E134" s="1127"/>
      <c r="F134" s="1127"/>
      <c r="G134" s="1127"/>
      <c r="H134" s="1175"/>
      <c r="I134" s="1175"/>
      <c r="J134" s="1175"/>
      <c r="K134" s="1175"/>
      <c r="L134" s="1175"/>
      <c r="M134" s="1127"/>
      <c r="N134" s="1174"/>
      <c r="O134" s="1241"/>
      <c r="P134" s="1241"/>
      <c r="Q134" s="1241"/>
      <c r="R134" s="1241"/>
      <c r="S134" s="1127"/>
      <c r="T134" s="1127"/>
      <c r="U134" s="1127"/>
      <c r="V134" s="1127"/>
      <c r="W134" s="1127"/>
      <c r="X134" s="1127"/>
      <c r="Y134" s="1284"/>
      <c r="Z134" s="1130"/>
      <c r="AA134" s="1133"/>
      <c r="AB134" s="1130"/>
      <c r="AC134" s="1130"/>
      <c r="AD134" s="1130"/>
    </row>
    <row customHeight="1" ht="9">
      <c r="A135" s="1129"/>
      <c r="B135" s="1129"/>
      <c r="C135" s="1127"/>
      <c r="D135" s="1127"/>
      <c r="E135" s="1127"/>
      <c r="F135" s="1127"/>
      <c r="G135" s="1127"/>
      <c r="H135" s="1175"/>
      <c r="I135" s="1175"/>
      <c r="J135" s="1175"/>
      <c r="K135" s="1175"/>
      <c r="L135" s="1175"/>
      <c r="M135" s="1127"/>
      <c r="N135" s="1174"/>
      <c r="O135" s="1241"/>
      <c r="P135" s="1241"/>
      <c r="Q135" s="1241"/>
      <c r="R135" s="1241"/>
      <c r="S135" s="1127"/>
      <c r="T135" s="1127"/>
      <c r="U135" s="1127"/>
      <c r="V135" s="1127"/>
      <c r="W135" s="1127"/>
      <c r="X135" s="1127"/>
      <c r="Y135" s="1284"/>
      <c r="Z135" s="1130"/>
      <c r="AA135" s="1133"/>
      <c r="AB135" s="1130"/>
      <c r="AC135" s="1130"/>
      <c r="AD135" s="1130"/>
    </row>
    <row customHeight="1" ht="9">
      <c r="A136" s="1129"/>
      <c r="B136" s="1129"/>
      <c r="C136" s="1127"/>
      <c r="D136" s="1127"/>
      <c r="E136" s="1127"/>
      <c r="F136" s="1127"/>
      <c r="G136" s="1127"/>
      <c r="H136" s="1175"/>
      <c r="I136" s="1175"/>
      <c r="J136" s="1175"/>
      <c r="K136" s="1175"/>
      <c r="L136" s="1175"/>
      <c r="M136" s="1127"/>
      <c r="N136" s="1174"/>
      <c r="O136" s="1241"/>
      <c r="P136" s="1241"/>
      <c r="Q136" s="1241"/>
      <c r="R136" s="1241"/>
      <c r="S136" s="1127"/>
      <c r="T136" s="1127"/>
      <c r="U136" s="1127"/>
      <c r="V136" s="1127"/>
      <c r="W136" s="1127"/>
      <c r="X136" s="1127"/>
      <c r="Y136" s="1284"/>
      <c r="Z136" s="1130"/>
      <c r="AA136" s="1133"/>
      <c r="AB136" s="1130"/>
      <c r="AC136" s="1130"/>
      <c r="AD136" s="1130"/>
    </row>
    <row customHeight="1" ht="9">
      <c r="A137" s="1129"/>
      <c r="B137" s="1129"/>
      <c r="C137" s="1127"/>
      <c r="D137" s="1127"/>
      <c r="E137" s="1127"/>
      <c r="F137" s="1127"/>
      <c r="G137" s="1127"/>
      <c r="H137" s="1175"/>
      <c r="I137" s="1175"/>
      <c r="J137" s="1175"/>
      <c r="K137" s="1175"/>
      <c r="L137" s="1175"/>
      <c r="M137" s="1127"/>
      <c r="N137" s="1174"/>
      <c r="O137" s="1245"/>
      <c r="P137" s="1245"/>
      <c r="Q137" s="1245"/>
      <c r="R137" s="1245"/>
      <c r="S137" s="1127"/>
      <c r="T137" s="1127"/>
      <c r="U137" s="1127"/>
      <c r="V137" s="1127"/>
      <c r="W137" s="1127"/>
      <c r="X137" s="1127"/>
      <c r="Y137" s="1284"/>
      <c r="Z137" s="1130"/>
      <c r="AA137" s="1133"/>
      <c r="AB137" s="1130"/>
      <c r="AC137" s="1130"/>
      <c r="AD137" s="1130"/>
    </row>
    <row customHeight="1" ht="9">
      <c r="A138" s="1129"/>
      <c r="B138" s="1129"/>
      <c r="C138" s="1127"/>
      <c r="D138" s="1127"/>
      <c r="E138" s="1127"/>
      <c r="F138" s="1127"/>
      <c r="G138" s="1127"/>
      <c r="H138" s="1175"/>
      <c r="I138" s="1175"/>
      <c r="J138" s="1175"/>
      <c r="K138" s="1175"/>
      <c r="L138" s="1175"/>
      <c r="M138" s="1127"/>
      <c r="N138" s="1174"/>
      <c r="O138" s="1242"/>
      <c r="P138" s="1242"/>
      <c r="Q138" s="1242"/>
      <c r="R138" s="1242"/>
      <c r="S138" s="1127"/>
      <c r="T138" s="1127"/>
      <c r="U138" s="1127"/>
      <c r="V138" s="1127"/>
      <c r="W138" s="1127"/>
      <c r="X138" s="1127"/>
      <c r="Y138" s="1284"/>
      <c r="Z138" s="1130"/>
      <c r="AA138" s="1133"/>
      <c r="AB138" s="1130"/>
      <c r="AC138" s="1130"/>
      <c r="AD138" s="1130"/>
    </row>
    <row customHeight="1" ht="9">
      <c r="A139" s="1129"/>
      <c r="B139" s="1129"/>
      <c r="C139" s="1127"/>
      <c r="D139" s="1127"/>
      <c r="E139" s="1127"/>
      <c r="F139" s="1127"/>
      <c r="G139" s="1127"/>
      <c r="H139" s="1175"/>
      <c r="I139" s="1175"/>
      <c r="J139" s="1175"/>
      <c r="K139" s="1175"/>
      <c r="L139" s="1175"/>
      <c r="M139" s="1127"/>
      <c r="N139" s="1174"/>
      <c r="O139" s="1127"/>
      <c r="P139" s="1127"/>
      <c r="Q139" s="1127"/>
      <c r="R139" s="1127"/>
      <c r="S139" s="1127"/>
      <c r="T139" s="1127"/>
      <c r="U139" s="1127"/>
      <c r="V139" s="1127"/>
      <c r="W139" s="1127"/>
      <c r="X139" s="1127"/>
      <c r="Y139" s="1284"/>
      <c r="Z139" s="1130"/>
      <c r="AA139" s="1133"/>
      <c r="AB139" s="1130"/>
      <c r="AC139" s="1130"/>
      <c r="AD139" s="1130"/>
    </row>
    <row customHeight="1" ht="9">
      <c r="A140" s="1129"/>
      <c r="B140" s="1129"/>
      <c r="C140" s="1127"/>
      <c r="D140" s="1127"/>
      <c r="E140" s="1127"/>
      <c r="F140" s="1127"/>
      <c r="G140" s="1127"/>
      <c r="H140" s="1175"/>
      <c r="I140" s="1175"/>
      <c r="J140" s="1175"/>
      <c r="K140" s="1175"/>
      <c r="L140" s="1175"/>
      <c r="M140" s="1127"/>
      <c r="N140" s="1174"/>
      <c r="O140" s="1127"/>
      <c r="P140" s="1127"/>
      <c r="Q140" s="1127"/>
      <c r="R140" s="1127"/>
      <c r="S140" s="1127"/>
      <c r="T140" s="1127"/>
      <c r="U140" s="1127"/>
      <c r="V140" s="1127"/>
      <c r="W140" s="1127"/>
      <c r="X140" s="1127"/>
      <c r="Y140" s="1284"/>
      <c r="Z140" s="1130"/>
      <c r="AA140" s="1133"/>
      <c r="AB140" s="1130"/>
      <c r="AC140" s="1130"/>
      <c r="AD140" s="1130"/>
    </row>
    <row customHeight="1" ht="9">
      <c r="A141" s="1129"/>
      <c r="B141" s="1129"/>
      <c r="C141" s="1127"/>
      <c r="D141" s="1127"/>
      <c r="E141" s="1127"/>
      <c r="F141" s="1127"/>
      <c r="G141" s="1127"/>
      <c r="H141" s="1175"/>
      <c r="I141" s="1175"/>
      <c r="J141" s="1175"/>
      <c r="K141" s="1175"/>
      <c r="L141" s="1175"/>
      <c r="M141" s="1127"/>
      <c r="N141" s="1174"/>
      <c r="O141" s="1127"/>
      <c r="P141" s="1127"/>
      <c r="Q141" s="1127"/>
      <c r="R141" s="1127"/>
      <c r="S141" s="1127"/>
      <c r="T141" s="1127"/>
      <c r="U141" s="1127"/>
      <c r="V141" s="1127"/>
      <c r="W141" s="1127"/>
      <c r="X141" s="1127"/>
      <c r="Y141" s="1284"/>
      <c r="Z141" s="1130"/>
      <c r="AA141" s="1133"/>
      <c r="AB141" s="1130"/>
      <c r="AC141" s="1130"/>
      <c r="AD141" s="1130"/>
    </row>
    <row customHeight="1" ht="9">
      <c r="A142" s="1129"/>
      <c r="B142" s="1129"/>
      <c r="C142" s="1127"/>
      <c r="D142" s="1127"/>
      <c r="E142" s="1127"/>
      <c r="F142" s="1127"/>
      <c r="G142" s="1127"/>
      <c r="H142" s="1175"/>
      <c r="I142" s="1175"/>
      <c r="J142" s="1175"/>
      <c r="K142" s="1175"/>
      <c r="L142" s="1175"/>
      <c r="M142" s="1127"/>
      <c r="N142" s="1174"/>
      <c r="O142" s="1127"/>
      <c r="P142" s="1127"/>
      <c r="Q142" s="1127"/>
      <c r="R142" s="1127"/>
      <c r="S142" s="1127"/>
      <c r="T142" s="1127"/>
      <c r="U142" s="1127"/>
      <c r="V142" s="1127"/>
      <c r="W142" s="1127"/>
      <c r="X142" s="1127"/>
      <c r="Y142" s="1284"/>
      <c r="Z142" s="1130"/>
      <c r="AA142" s="1133"/>
      <c r="AB142" s="1130"/>
      <c r="AC142" s="1130"/>
      <c r="AD142" s="1130"/>
    </row>
    <row customHeight="1" ht="9">
      <c r="A143" s="1129"/>
      <c r="B143" s="1129"/>
      <c r="C143" s="1127"/>
      <c r="D143" s="1127"/>
      <c r="E143" s="1127"/>
      <c r="F143" s="1127"/>
      <c r="G143" s="1127"/>
      <c r="H143" s="1175"/>
      <c r="I143" s="1175"/>
      <c r="J143" s="1175"/>
      <c r="K143" s="1175"/>
      <c r="L143" s="1175"/>
      <c r="M143" s="1127"/>
      <c r="N143" s="1174"/>
      <c r="O143" s="1127"/>
      <c r="P143" s="1127"/>
      <c r="Q143" s="1127"/>
      <c r="R143" s="1127"/>
      <c r="S143" s="1127"/>
      <c r="T143" s="1127"/>
      <c r="U143" s="1127"/>
      <c r="V143" s="1127"/>
      <c r="W143" s="1127"/>
      <c r="X143" s="1127"/>
      <c r="Y143" s="1284"/>
      <c r="Z143" s="1130"/>
      <c r="AA143" s="1133"/>
      <c r="AB143" s="1130"/>
      <c r="AC143" s="1130"/>
      <c r="AD143" s="1130"/>
    </row>
    <row customHeight="1" ht="9">
      <c r="A144" s="1129"/>
      <c r="B144" s="1129"/>
      <c r="C144" s="1127"/>
      <c r="D144" s="1127"/>
      <c r="E144" s="1127"/>
      <c r="F144" s="1127"/>
      <c r="G144" s="1127"/>
      <c r="H144" s="1175"/>
      <c r="I144" s="1175"/>
      <c r="J144" s="1175"/>
      <c r="K144" s="1175"/>
      <c r="L144" s="1175"/>
      <c r="M144" s="1127"/>
      <c r="N144" s="1174"/>
      <c r="O144" s="1127"/>
      <c r="P144" s="1127"/>
      <c r="Q144" s="1127"/>
      <c r="R144" s="1127"/>
      <c r="S144" s="1127"/>
      <c r="T144" s="1127"/>
      <c r="U144" s="1127"/>
      <c r="V144" s="1127"/>
      <c r="W144" s="1127"/>
      <c r="X144" s="1127"/>
      <c r="Y144" s="1284"/>
      <c r="Z144" s="1130"/>
      <c r="AA144" s="1133"/>
      <c r="AB144" s="1130"/>
      <c r="AC144" s="1130"/>
      <c r="AD144" s="1130"/>
    </row>
    <row customHeight="1" ht="9">
      <c r="A145" s="1129"/>
      <c r="B145" s="1129"/>
      <c r="C145" s="1127"/>
      <c r="D145" s="1127"/>
      <c r="E145" s="1127"/>
      <c r="F145" s="1127"/>
      <c r="G145" s="1127"/>
      <c r="H145" s="1175"/>
      <c r="I145" s="1175"/>
      <c r="J145" s="1175"/>
      <c r="K145" s="1175"/>
      <c r="L145" s="1175"/>
      <c r="M145" s="1127"/>
      <c r="N145" s="1174"/>
      <c r="O145" s="1127"/>
      <c r="P145" s="1127"/>
      <c r="Q145" s="1127"/>
      <c r="R145" s="1127"/>
      <c r="S145" s="1127"/>
      <c r="T145" s="1127"/>
      <c r="U145" s="1127"/>
      <c r="V145" s="1127"/>
      <c r="W145" s="1127"/>
      <c r="X145" s="1127"/>
      <c r="Y145" s="1284"/>
      <c r="Z145" s="1130"/>
      <c r="AA145" s="1133"/>
      <c r="AB145" s="1130"/>
      <c r="AC145" s="1130"/>
      <c r="AD145" s="1130"/>
    </row>
    <row customHeight="1" ht="9">
      <c r="A146" s="1129"/>
      <c r="B146" s="1129"/>
      <c r="C146" s="1127"/>
      <c r="D146" s="1127"/>
      <c r="E146" s="1127"/>
      <c r="F146" s="1127"/>
      <c r="G146" s="1127"/>
      <c r="H146" s="1175"/>
      <c r="I146" s="1175"/>
      <c r="J146" s="1175"/>
      <c r="K146" s="1175"/>
      <c r="L146" s="1175"/>
      <c r="M146" s="1127"/>
      <c r="N146" s="1174"/>
      <c r="O146" s="1127"/>
      <c r="P146" s="1127"/>
      <c r="Q146" s="1127"/>
      <c r="R146" s="1127"/>
      <c r="S146" s="1127"/>
      <c r="T146" s="1127"/>
      <c r="U146" s="1127"/>
      <c r="V146" s="1127"/>
      <c r="W146" s="1127"/>
      <c r="X146" s="1127"/>
      <c r="Y146" s="1284"/>
      <c r="Z146" s="1130"/>
      <c r="AA146" s="1133"/>
      <c r="AB146" s="1130"/>
      <c r="AC146" s="1130"/>
      <c r="AD146" s="1130"/>
    </row>
    <row customHeight="1" ht="9">
      <c r="A147" s="1129"/>
      <c r="B147" s="1129"/>
      <c r="C147" s="1129"/>
      <c r="D147" s="1129"/>
      <c r="E147" s="1129"/>
      <c r="F147" s="1129"/>
      <c r="G147" s="1129"/>
      <c r="H147" s="1129"/>
      <c r="I147" s="1129"/>
      <c r="J147" s="1129"/>
      <c r="K147" s="1129"/>
      <c r="L147" s="1129"/>
      <c r="M147" s="1129"/>
      <c r="N147" s="1129"/>
      <c r="O147" s="1129"/>
      <c r="P147" s="1129"/>
      <c r="Q147" s="1129"/>
      <c r="R147" s="1129"/>
      <c r="S147" s="1129"/>
      <c r="T147" s="1129"/>
      <c r="U147" s="1129"/>
      <c r="V147" s="1129"/>
      <c r="W147" s="1129"/>
      <c r="X147" s="1129"/>
      <c r="Y147" s="1129"/>
      <c r="Z147" s="1129"/>
      <c r="AA147" s="1129"/>
      <c r="AB147" s="1129"/>
      <c r="AC147" s="1129"/>
      <c r="AD147" s="1129"/>
    </row>
    <row customHeight="1" ht="90">
      <c r="A148" s="1129" t="s">
        <v>1671</v>
      </c>
      <c r="B148" s="1129"/>
      <c r="C148" s="1127" t="s">
        <v>2233</v>
      </c>
      <c r="D148" s="1127" t="s">
        <v>1573</v>
      </c>
      <c r="E148" s="1127" t="s">
        <v>1673</v>
      </c>
      <c r="F148" s="1127" t="s">
        <v>2234</v>
      </c>
      <c r="G148" s="1127"/>
      <c r="H148" s="1127"/>
      <c r="I148" s="1247"/>
      <c r="J148" s="1247"/>
      <c r="K148" s="1247"/>
      <c r="L148" s="1247"/>
      <c r="M148" s="1177" t="str">
        <f>IF(TEMPLATE_SPHERE="HEAT",T148,IF(TEMPLATE_SPHERE="TKO",X148,U148))</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N148" s="1132"/>
      <c r="O148" s="1127"/>
      <c r="P148" s="1128"/>
      <c r="Q148" s="1128"/>
      <c r="R148" s="1128"/>
      <c r="S148" s="1127"/>
      <c r="T148" s="1127" t="s">
        <v>2235</v>
      </c>
      <c r="U148" s="1128"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теплоснабжения</v>
      </c>
      <c r="V148" s="1128"/>
      <c r="W148" s="1128"/>
      <c r="X148" s="1127" t="s">
        <v>2236</v>
      </c>
      <c r="Y148" s="1284"/>
      <c r="Z148" s="1130"/>
      <c r="AA148" s="1133"/>
      <c r="AB148" s="1130"/>
      <c r="AC148" s="1130"/>
      <c r="AD148" s="1130"/>
    </row>
    <row customHeight="1" ht="9">
      <c r="A149" s="1129"/>
      <c r="B149" s="1129"/>
      <c r="C149" s="1129"/>
      <c r="D149" s="1129"/>
      <c r="E149" s="1129"/>
      <c r="F149" s="1129"/>
      <c r="G149" s="1129"/>
      <c r="H149" s="1129"/>
      <c r="I149" s="1129"/>
      <c r="J149" s="1129"/>
      <c r="K149" s="1129"/>
      <c r="L149" s="1129"/>
      <c r="M149" s="1129"/>
      <c r="N149" s="1129"/>
      <c r="O149" s="1129"/>
      <c r="P149" s="1129"/>
      <c r="Q149" s="1129"/>
      <c r="R149" s="1129"/>
      <c r="S149" s="1129"/>
      <c r="T149" s="1129"/>
      <c r="U149" s="1129"/>
      <c r="V149" s="1129"/>
      <c r="W149" s="1129"/>
      <c r="X149" s="1129"/>
      <c r="Y149" s="1129"/>
      <c r="Z149" s="1129"/>
      <c r="AA149" s="1129"/>
      <c r="AB149" s="1129"/>
      <c r="AC149" s="1129"/>
      <c r="AD149" s="1129"/>
    </row>
    <row customHeight="1" ht="9">
      <c r="A150" s="1129" t="s">
        <v>1675</v>
      </c>
      <c r="B150" s="1129"/>
      <c r="C150" s="1127"/>
      <c r="D150" s="1127"/>
      <c r="E150" s="1127"/>
      <c r="F150" s="1127"/>
      <c r="G150" s="1127"/>
      <c r="H150" s="1127"/>
      <c r="I150" s="1127"/>
      <c r="J150" s="1127"/>
      <c r="K150" s="1127"/>
      <c r="L150" s="1127"/>
      <c r="M150" s="1127"/>
      <c r="N150" s="1127"/>
      <c r="O150" s="1127"/>
      <c r="P150" s="1127"/>
      <c r="Q150" s="1127"/>
      <c r="R150" s="1127"/>
      <c r="S150" s="1127"/>
      <c r="T150" s="1127"/>
      <c r="U150" s="1127"/>
      <c r="V150" s="1127"/>
      <c r="W150" s="1127"/>
      <c r="X150" s="1127"/>
      <c r="Y150" s="1284"/>
      <c r="Z150" s="1130"/>
      <c r="AA150" s="1133"/>
      <c r="AB150" s="1130"/>
      <c r="AC150" s="1130"/>
      <c r="AD150" s="1130"/>
    </row>
    <row customHeight="1" ht="9">
      <c r="A151" s="1129"/>
      <c r="B151" s="1129"/>
      <c r="C151" s="1129"/>
      <c r="D151" s="1129"/>
      <c r="E151" s="1129"/>
      <c r="F151" s="1129"/>
      <c r="G151" s="1129"/>
      <c r="H151" s="1129"/>
      <c r="I151" s="1129"/>
      <c r="J151" s="1129"/>
      <c r="K151" s="1129"/>
      <c r="L151" s="1129"/>
      <c r="M151" s="1129"/>
      <c r="N151" s="1129"/>
      <c r="O151" s="1129"/>
      <c r="P151" s="1129"/>
      <c r="Q151" s="1129"/>
      <c r="R151" s="1129"/>
      <c r="S151" s="1129"/>
      <c r="T151" s="1129"/>
      <c r="U151" s="1129"/>
      <c r="V151" s="1129"/>
      <c r="W151" s="1129"/>
      <c r="X151" s="1129"/>
      <c r="Y151" s="1129"/>
      <c r="Z151" s="1129"/>
      <c r="AA151" s="1129"/>
      <c r="AB151" s="1129"/>
      <c r="AC151" s="1129"/>
      <c r="AD151" s="1129"/>
    </row>
    <row customHeight="1" ht="9">
      <c r="A152" s="1129" t="s">
        <v>1678</v>
      </c>
      <c r="B152" s="1129"/>
      <c r="C152" s="1127"/>
      <c r="D152" s="1127"/>
      <c r="E152" s="1127"/>
      <c r="F152" s="1127"/>
      <c r="G152" s="1127"/>
      <c r="H152" s="1127"/>
      <c r="I152" s="1127"/>
      <c r="J152" s="1127"/>
      <c r="K152" s="1127"/>
      <c r="L152" s="1127"/>
      <c r="M152" s="1127"/>
      <c r="N152" s="1127"/>
      <c r="O152" s="1127"/>
      <c r="P152" s="1127"/>
      <c r="Q152" s="1127"/>
      <c r="R152" s="1127"/>
      <c r="S152" s="1127"/>
      <c r="T152" s="1127"/>
      <c r="U152" s="1127"/>
      <c r="V152" s="1127"/>
      <c r="W152" s="1127"/>
      <c r="X152" s="1127"/>
      <c r="Y152" s="1284"/>
      <c r="Z152" s="1130"/>
      <c r="AA152" s="1133"/>
      <c r="AB152" s="1130"/>
      <c r="AC152" s="1130"/>
      <c r="AD152" s="1130"/>
    </row>
    <row customHeight="1" ht="9">
      <c r="A153" s="1129"/>
      <c r="B153" s="1129"/>
      <c r="C153" s="1129"/>
      <c r="D153" s="1129"/>
      <c r="E153" s="1129"/>
      <c r="F153" s="1129"/>
      <c r="G153" s="1129"/>
      <c r="H153" s="1129"/>
      <c r="I153" s="1129"/>
      <c r="J153" s="1129"/>
      <c r="K153" s="1129"/>
      <c r="L153" s="1129"/>
      <c r="M153" s="1129"/>
      <c r="N153" s="1129"/>
      <c r="O153" s="1129"/>
      <c r="P153" s="1129"/>
      <c r="Q153" s="1129"/>
      <c r="R153" s="1129"/>
      <c r="S153" s="1129"/>
      <c r="T153" s="1129"/>
      <c r="U153" s="1129"/>
      <c r="V153" s="1129"/>
      <c r="W153" s="1129"/>
      <c r="X153" s="1129"/>
      <c r="Y153" s="1129"/>
      <c r="Z153" s="1129"/>
      <c r="AA153" s="1129"/>
      <c r="AB153" s="1129"/>
      <c r="AC153" s="1129"/>
      <c r="AD153" s="1129"/>
    </row>
    <row customHeight="1" ht="9">
      <c r="A154" s="1129" t="s">
        <v>1682</v>
      </c>
      <c r="B154" s="1129"/>
      <c r="C154" s="1127"/>
      <c r="D154" s="1127"/>
      <c r="E154" s="1127"/>
      <c r="F154" s="1127"/>
      <c r="G154" s="1127"/>
      <c r="H154" s="1127"/>
      <c r="I154" s="1127"/>
      <c r="J154" s="1127"/>
      <c r="K154" s="1127"/>
      <c r="L154" s="1127"/>
      <c r="M154" s="1127"/>
      <c r="N154" s="1127"/>
      <c r="O154" s="1127"/>
      <c r="P154" s="1127"/>
      <c r="Q154" s="1127"/>
      <c r="R154" s="1127"/>
      <c r="S154" s="1127"/>
      <c r="T154" s="1127"/>
      <c r="U154" s="1127"/>
      <c r="V154" s="1127"/>
      <c r="W154" s="1127"/>
      <c r="X154" s="1127"/>
      <c r="Y154" s="1284"/>
      <c r="Z154" s="1130"/>
      <c r="AA154" s="1133"/>
      <c r="AB154" s="1130"/>
      <c r="AC154" s="1130"/>
      <c r="AD154" s="1130"/>
    </row>
  </sheetData>
  <sheetProtection sort="0" autoFilter="0" insertRows="0" insertColumns="1" deleteRows="0" deleteColumns="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680BF26-E475-B34B-C273-CE9B4C8D3A69}" mc:Ignorable="x14ac xr xr2 xr3">
  <sheetPr>
    <tabColor theme="6" tint="0.4"/>
  </sheetPr>
  <dimension ref="A1:AD41"/>
  <sheetViews>
    <sheetView topLeftCell="A1" showGridLines="0" workbookViewId="0">
      <selection activeCell="A1" sqref="A1"/>
    </sheetView>
  </sheetViews>
  <sheetFormatPr defaultColWidth="10.57421875" customHeight="1" defaultRowHeight="14.25"/>
  <cols>
    <col min="1" max="1" style="14157" width="10.57421875" hidden="1"/>
    <col min="2" max="2" style="14157" width="11.00390625" hidden="1" customWidth="1"/>
    <col min="3" max="3" style="14157" width="10.57421875" hidden="1"/>
    <col min="4" max="4" style="14157" width="11.8515625" hidden="1" customWidth="1"/>
    <col min="5" max="5" style="14157" width="12.28125" hidden="1" customWidth="1"/>
    <col min="6" max="8" style="14975" width="12.28125" hidden="1" customWidth="1"/>
    <col min="9" max="9" style="14976" width="3.00390625" customWidth="1"/>
    <col min="10" max="11" style="14977" width="3.00390625" customWidth="1"/>
    <col min="12" max="12" style="14978" width="12.00390625" customWidth="1"/>
    <col min="13" max="13" style="14077" width="31.00390625" customWidth="1"/>
    <col min="14" max="14" style="14077" width="1.00390625" customWidth="1"/>
    <col min="15" max="18" style="14077" width="24.00390625" customWidth="1"/>
    <col min="19" max="19" style="14077" width="11.00390625" customWidth="1"/>
    <col min="20" max="20" style="14077" width="3.7109375" customWidth="1"/>
    <col min="21" max="21" style="14077" width="11.00390625" customWidth="1"/>
    <col min="22" max="22" style="14077" width="8.57421875" customWidth="1"/>
    <col min="23" max="23" style="14077" width="4.00390625" customWidth="1"/>
    <col min="24" max="24" style="14077" width="115.00390625" customWidth="1"/>
    <col min="25" max="29" style="14158" width="10.00390625" customWidth="1"/>
    <col min="30" max="30" style="14077" width="10.57421875" hidden="1"/>
  </cols>
  <sheetData>
    <row customHeight="1" ht="22.5" hidden="1">
      <c r="R1" s="611"/>
      <c r="S1" s="611"/>
      <c r="AD1" s="1439" t="s">
        <v>14</v>
      </c>
    </row>
    <row customHeight="1" ht="14.25" hidden="1">
      <c r="V2" s="611"/>
      <c r="AD2" s="1439">
        <v>0</v>
      </c>
    </row>
    <row customHeight="1" ht="14.25" hidden="1">
      <c r="AD3" s="1439">
        <v>0</v>
      </c>
    </row>
    <row customHeight="1" ht="14.699999999999998">
      <c r="J4" s="660"/>
      <c r="K4" s="660"/>
      <c r="L4" s="1559"/>
      <c r="M4" s="647"/>
      <c r="N4" s="647"/>
      <c r="O4" s="793"/>
      <c r="P4" s="793"/>
      <c r="Q4" s="793"/>
      <c r="R4" s="793"/>
      <c r="S4" s="793"/>
      <c r="T4" s="793"/>
      <c r="U4" s="793"/>
      <c r="V4" s="793"/>
      <c r="AD4" s="1439">
        <v>14</v>
      </c>
    </row>
    <row customHeight="1" ht="67.2">
      <c r="J5" s="660"/>
      <c r="K5" s="660"/>
      <c r="L5" s="2887" t="s">
        <v>2237</v>
      </c>
      <c r="M5" s="2887"/>
      <c r="N5" s="2887"/>
      <c r="O5" s="2887"/>
      <c r="P5" s="2887"/>
      <c r="Q5" s="2887"/>
      <c r="R5" s="2887"/>
      <c r="S5" s="2887"/>
      <c r="T5" s="2887"/>
      <c r="U5" s="2887"/>
      <c r="V5" s="1527"/>
      <c r="AD5" s="1439">
        <v>64</v>
      </c>
    </row>
    <row customHeight="1" ht="14.699999999999998">
      <c r="J6" s="660"/>
      <c r="K6" s="660"/>
      <c r="L6" s="2888" t="str">
        <f>IF(org=0,"Не определено",org)</f>
        <v>МУП г. Азова "Теплоэнерго"</v>
      </c>
      <c r="M6" s="2888"/>
      <c r="N6" s="2888"/>
      <c r="O6" s="2888"/>
      <c r="P6" s="2888"/>
      <c r="Q6" s="2888"/>
      <c r="R6" s="2888"/>
      <c r="S6" s="2888"/>
      <c r="T6" s="2888"/>
      <c r="U6" s="2888"/>
      <c r="V6" s="1527"/>
      <c r="AD6" s="1439">
        <v>14</v>
      </c>
    </row>
    <row customHeight="1" ht="14.699999999999998">
      <c r="J7" s="660"/>
      <c r="K7" s="660"/>
      <c r="L7" s="1559"/>
      <c r="M7" s="647"/>
      <c r="N7" s="647"/>
      <c r="O7" s="606"/>
      <c r="P7" s="606"/>
      <c r="Q7" s="606"/>
      <c r="R7" s="606"/>
      <c r="S7" s="606"/>
      <c r="T7" s="606"/>
      <c r="U7" s="606"/>
      <c r="V7" s="606"/>
      <c r="W7" s="793"/>
      <c r="AD7" s="1439">
        <v>14</v>
      </c>
    </row>
    <row s="14284" customFormat="1" customHeight="1" ht="48.29999999999999">
      <c r="A8" s="1652"/>
      <c r="B8" s="1652"/>
      <c r="C8" s="1652"/>
      <c r="D8" s="1652"/>
      <c r="E8" s="1652"/>
      <c r="F8" s="1652"/>
      <c r="G8" s="1652"/>
      <c r="H8" s="1652"/>
      <c r="L8" s="1560"/>
      <c r="M8" s="579" t="s">
        <v>42</v>
      </c>
      <c r="N8" s="588"/>
      <c r="O8" s="2535" t="str">
        <f>IF(TITLE_NAME_OR_PR_CHANGE="",IF(TITLE_NAME_OR_PR="","",TITLE_NAME_OR_PR),TITLE_NAME_OR_PR_CHANGE)</f>
        <v/>
      </c>
      <c r="P8" s="2535"/>
      <c r="Q8" s="2535"/>
      <c r="R8" s="2535"/>
      <c r="S8" s="2535"/>
      <c r="T8" s="2535"/>
      <c r="U8" s="2535"/>
      <c r="V8" s="610"/>
      <c r="W8" s="610"/>
      <c r="X8" s="564"/>
      <c r="Y8" s="652"/>
      <c r="Z8" s="652"/>
      <c r="AA8" s="652"/>
      <c r="AB8" s="652"/>
      <c r="AC8" s="652"/>
      <c r="AD8" s="702">
        <v>46</v>
      </c>
    </row>
    <row s="14284" customFormat="1" customHeight="1" ht="24">
      <c r="A9" s="1652"/>
      <c r="B9" s="1652"/>
      <c r="C9" s="1652"/>
      <c r="D9" s="1652"/>
      <c r="E9" s="1652"/>
      <c r="F9" s="1652"/>
      <c r="G9" s="1652"/>
      <c r="H9" s="1652"/>
      <c r="L9" s="1560"/>
      <c r="M9" s="579" t="s">
        <v>425</v>
      </c>
      <c r="N9" s="588"/>
      <c r="O9" s="2535" t="str">
        <f>IF(TITLE_DATE_CHANGE_PERIOD="",IF(TITLE_DATE_PR="","",TITLE_DATE_PR),TITLE_DATE_CHANGE_PERIOD)</f>
        <v>45658.56019675926</v>
      </c>
      <c r="P9" s="2535"/>
      <c r="Q9" s="2535"/>
      <c r="R9" s="2535"/>
      <c r="S9" s="2535"/>
      <c r="T9" s="2535"/>
      <c r="U9" s="2535"/>
      <c r="V9" s="610"/>
      <c r="W9" s="610"/>
      <c r="X9" s="564"/>
      <c r="Y9" s="652"/>
      <c r="Z9" s="652"/>
      <c r="AA9" s="652"/>
      <c r="AB9" s="652"/>
      <c r="AC9" s="652"/>
      <c r="AD9" s="702">
        <v>23</v>
      </c>
    </row>
    <row s="14284" customFormat="1" customHeight="1" ht="24">
      <c r="A10" s="1652"/>
      <c r="B10" s="1652"/>
      <c r="C10" s="1652"/>
      <c r="D10" s="1652"/>
      <c r="E10" s="1652"/>
      <c r="F10" s="1652"/>
      <c r="G10" s="1652"/>
      <c r="H10" s="1652"/>
      <c r="L10" s="1534"/>
      <c r="M10" s="579" t="s">
        <v>426</v>
      </c>
      <c r="N10" s="588"/>
      <c r="O10" s="2535" t="str">
        <f>IF(TITLE_NUMBER_PR_CHANGE="",IF(TITLE_NUMBER_PR="","",TITLE_NUMBER_PR),TITLE_NUMBER_PR_CHANGE)</f>
        <v>50/18-01/261</v>
      </c>
      <c r="P10" s="2535"/>
      <c r="Q10" s="2535"/>
      <c r="R10" s="2535"/>
      <c r="S10" s="2535"/>
      <c r="T10" s="2535"/>
      <c r="U10" s="2535"/>
      <c r="V10" s="610"/>
      <c r="W10" s="610"/>
      <c r="X10" s="564"/>
      <c r="Y10" s="652"/>
      <c r="Z10" s="652"/>
      <c r="AA10" s="652"/>
      <c r="AB10" s="652"/>
      <c r="AC10" s="652"/>
      <c r="AD10" s="702">
        <v>23</v>
      </c>
    </row>
    <row s="14284" customFormat="1" customHeight="1" ht="24">
      <c r="A11" s="1652"/>
      <c r="B11" s="1652"/>
      <c r="C11" s="1652"/>
      <c r="D11" s="1652"/>
      <c r="E11" s="1652"/>
      <c r="F11" s="1652"/>
      <c r="G11" s="1652"/>
      <c r="H11" s="1652"/>
      <c r="L11" s="1534"/>
      <c r="M11" s="579" t="s">
        <v>43</v>
      </c>
      <c r="N11" s="588"/>
      <c r="O11" s="2535" t="str">
        <f>IF(TITLE_IST_PUB_CHANGE="",IF(TITLE_IST_PUB="","",TITLE_IST_PUB),TITLE_IST_PUB_CHANGE)</f>
        <v/>
      </c>
      <c r="P11" s="2535"/>
      <c r="Q11" s="2535"/>
      <c r="R11" s="2535"/>
      <c r="S11" s="2535"/>
      <c r="T11" s="2535"/>
      <c r="U11" s="2535"/>
      <c r="V11" s="610"/>
      <c r="W11" s="610"/>
      <c r="X11" s="564"/>
      <c r="Y11" s="652"/>
      <c r="Z11" s="652"/>
      <c r="AA11" s="652"/>
      <c r="AB11" s="652"/>
      <c r="AC11" s="652"/>
      <c r="AD11" s="702">
        <v>23</v>
      </c>
    </row>
    <row s="14284" customFormat="1" customHeight="1" ht="11.25" hidden="1">
      <c r="A12" s="1652"/>
      <c r="B12" s="1652"/>
      <c r="C12" s="1652"/>
      <c r="D12" s="1652"/>
      <c r="E12" s="1652"/>
      <c r="F12" s="1652"/>
      <c r="G12" s="1652"/>
      <c r="H12" s="1652"/>
      <c r="L12" s="2889"/>
      <c r="M12" s="2889"/>
      <c r="N12" s="1571"/>
      <c r="O12" s="610"/>
      <c r="P12" s="610"/>
      <c r="Q12" s="610"/>
      <c r="R12" s="610"/>
      <c r="S12" s="610"/>
      <c r="T12" s="610"/>
      <c r="U12" s="610"/>
      <c r="V12" s="562" t="s">
        <v>429</v>
      </c>
      <c r="Y12" s="652"/>
      <c r="Z12" s="652"/>
      <c r="AA12" s="652"/>
      <c r="AB12" s="652"/>
      <c r="AC12" s="652"/>
      <c r="AD12" s="702">
        <v>0</v>
      </c>
    </row>
    <row customHeight="1" ht="14.699999999999998">
      <c r="J13" s="660"/>
      <c r="K13" s="660"/>
      <c r="L13" s="1559"/>
      <c r="M13" s="647"/>
      <c r="N13" s="1528"/>
      <c r="O13" s="2536"/>
      <c r="P13" s="2536"/>
      <c r="Q13" s="2536"/>
      <c r="R13" s="2536"/>
      <c r="S13" s="2536"/>
      <c r="T13" s="2536"/>
      <c r="U13" s="2536"/>
      <c r="V13" s="2536"/>
      <c r="AD13" s="1439">
        <v>14</v>
      </c>
    </row>
    <row customHeight="1" ht="14.699999999999998">
      <c r="J14" s="660"/>
      <c r="K14" s="660"/>
      <c r="L14" s="2411" t="s">
        <v>305</v>
      </c>
      <c r="M14" s="2411"/>
      <c r="N14" s="2411"/>
      <c r="O14" s="2411"/>
      <c r="P14" s="2411"/>
      <c r="Q14" s="2411"/>
      <c r="R14" s="2411"/>
      <c r="S14" s="2411"/>
      <c r="T14" s="2411"/>
      <c r="U14" s="2411"/>
      <c r="V14" s="2411"/>
      <c r="W14" s="2411"/>
      <c r="X14" s="2411" t="s">
        <v>306</v>
      </c>
      <c r="AD14" s="1439">
        <v>14</v>
      </c>
    </row>
    <row customHeight="1" ht="14.699999999999998">
      <c r="J15" s="660"/>
      <c r="K15" s="660"/>
      <c r="L15" s="2557" t="s">
        <v>89</v>
      </c>
      <c r="M15" s="2493" t="s">
        <v>430</v>
      </c>
      <c r="N15" s="585"/>
      <c r="O15" s="2558" t="s">
        <v>2238</v>
      </c>
      <c r="P15" s="2559"/>
      <c r="Q15" s="2559"/>
      <c r="R15" s="2559"/>
      <c r="S15" s="2559"/>
      <c r="T15" s="2559"/>
      <c r="U15" s="2560"/>
      <c r="V15" s="2561" t="s">
        <v>432</v>
      </c>
      <c r="W15" s="2564" t="s">
        <v>1152</v>
      </c>
      <c r="X15" s="2411"/>
      <c r="AD15" s="1439">
        <v>14</v>
      </c>
    </row>
    <row customHeight="1" ht="35.699999999999996">
      <c r="J16" s="660"/>
      <c r="K16" s="660"/>
      <c r="L16" s="2557"/>
      <c r="M16" s="2493"/>
      <c r="N16" s="1315"/>
      <c r="O16" s="2544" t="s">
        <v>435</v>
      </c>
      <c r="P16" s="2544" t="s">
        <v>436</v>
      </c>
      <c r="Q16" s="2546" t="s">
        <v>437</v>
      </c>
      <c r="R16" s="2547"/>
      <c r="S16" s="2546" t="s">
        <v>450</v>
      </c>
      <c r="T16" s="2553"/>
      <c r="U16" s="2547"/>
      <c r="V16" s="2562"/>
      <c r="W16" s="2565"/>
      <c r="X16" s="2411"/>
      <c r="AD16" s="1439">
        <v>34</v>
      </c>
    </row>
    <row customHeight="1" ht="35.699999999999996">
      <c r="A17" s="1654" t="s">
        <v>135</v>
      </c>
      <c r="B17" s="1654" t="s">
        <v>136</v>
      </c>
      <c r="C17" s="1654" t="s">
        <v>137</v>
      </c>
      <c r="D17" s="1654" t="s">
        <v>138</v>
      </c>
      <c r="E17" s="1654"/>
      <c r="J17" s="660"/>
      <c r="K17" s="660"/>
      <c r="L17" s="2557"/>
      <c r="M17" s="2493"/>
      <c r="N17" s="586"/>
      <c r="O17" s="2545"/>
      <c r="P17" s="2545"/>
      <c r="Q17" s="1506" t="s">
        <v>446</v>
      </c>
      <c r="R17" s="1506" t="s">
        <v>447</v>
      </c>
      <c r="S17" s="1576" t="s">
        <v>448</v>
      </c>
      <c r="T17" s="2554" t="s">
        <v>449</v>
      </c>
      <c r="U17" s="2555"/>
      <c r="V17" s="2563"/>
      <c r="W17" s="2566"/>
      <c r="X17" s="2411"/>
      <c r="AD17" s="1439">
        <v>34</v>
      </c>
    </row>
    <row s="14730" customFormat="1" customHeight="1" ht="11.549999999999999">
      <c r="A18" s="1654"/>
      <c r="B18" s="1654"/>
      <c r="C18" s="1654"/>
      <c r="D18" s="1654"/>
      <c r="E18" s="1654"/>
      <c r="F18" s="1646"/>
      <c r="G18" s="1646"/>
      <c r="H18" s="1646"/>
      <c r="I18" s="1530"/>
      <c r="J18" s="1531"/>
      <c r="K18" s="1538">
        <v>1</v>
      </c>
      <c r="L18" s="1561" t="s">
        <v>110</v>
      </c>
      <c r="M18" s="1539" t="s">
        <v>111</v>
      </c>
      <c r="N18" s="1529" t="str">
        <f>OFFSET(N18,0,-1)</f>
        <v>2</v>
      </c>
      <c r="O18" s="1573">
        <f>OFFSET(O18,0,-1)+1</f>
        <v>3</v>
      </c>
      <c r="P18" s="1573"/>
      <c r="Q18" s="1573">
        <f>OFFSET(Q18,0,-1)+1</f>
        <v>1</v>
      </c>
      <c r="R18" s="1573">
        <f>OFFSET(R18,0,-1)+1</f>
        <v>2</v>
      </c>
      <c r="S18" s="1573">
        <f>OFFSET(S18,0,-1)+1</f>
        <v>3</v>
      </c>
      <c r="T18" s="2556">
        <f>OFFSET(T18,0,-1)+1</f>
        <v>4</v>
      </c>
      <c r="U18" s="2556"/>
      <c r="V18" s="1573">
        <f>OFFSET(V18,0,-2)+1</f>
        <v>5</v>
      </c>
      <c r="W18" s="1529">
        <f>OFFSET(W18,0,-1)</f>
        <v>5</v>
      </c>
      <c r="X18" s="1573">
        <f>OFFSET(X18,0,-1)+1</f>
        <v>6</v>
      </c>
      <c r="Y18" s="795"/>
      <c r="Z18" s="795"/>
      <c r="AA18" s="795"/>
      <c r="AB18" s="795"/>
      <c r="AC18" s="795"/>
      <c r="AD18" s="780">
        <v>11</v>
      </c>
    </row>
    <row customHeight="1" ht="21">
      <c r="A19" s="1647" t="s">
        <v>175</v>
      </c>
      <c r="B19" s="1647" t="s">
        <v>176</v>
      </c>
      <c r="C19" s="1647" t="s">
        <v>177</v>
      </c>
      <c r="D19" s="1647" t="s">
        <v>178</v>
      </c>
      <c r="E19" s="1647"/>
      <c r="F19" s="1649"/>
      <c r="G19" s="1649"/>
      <c r="H19" s="1649"/>
      <c r="I19" s="645"/>
      <c r="J19" s="644"/>
      <c r="K19" s="639"/>
      <c r="L19" s="1577">
        <f>INDEX(PT_DIFFERENTIATION_NUM_NTAR,MATCH(A19,PT_DIFFERENTIATION_NTAR_ID,0))</f>
        <v>0</v>
      </c>
      <c r="M19" s="582" t="s">
        <v>124</v>
      </c>
      <c r="N19" s="584"/>
      <c r="O19" s="2890" t="str">
        <f>INDEX(PT_DIFFERENTIATION_NTAR,MATCH(A19,PT_DIFFERENTIATION_NTAR_ID,0))</f>
        <v/>
      </c>
      <c r="P19" s="2890"/>
      <c r="Q19" s="2890"/>
      <c r="R19" s="2890"/>
      <c r="S19" s="2890"/>
      <c r="T19" s="2890"/>
      <c r="U19" s="2890"/>
      <c r="V19" s="2890"/>
      <c r="W19" s="2890"/>
      <c r="X19" s="1542" t="s">
        <v>401</v>
      </c>
      <c r="Z19" s="784"/>
      <c r="AA19" s="784" t="str">
        <f>IF(M19="","",M19)</f>
        <v>Наименование тарифа</v>
      </c>
      <c r="AB19" s="784"/>
      <c r="AC19" s="784"/>
      <c r="AD19" s="1439">
        <v>20</v>
      </c>
    </row>
    <row customHeight="1" ht="21">
      <c r="A20" s="1647" t="s">
        <v>175</v>
      </c>
      <c r="B20" s="1647" t="s">
        <v>176</v>
      </c>
      <c r="C20" s="1647" t="s">
        <v>177</v>
      </c>
      <c r="D20" s="1647" t="s">
        <v>178</v>
      </c>
      <c r="E20" s="1647"/>
      <c r="F20" s="1649"/>
      <c r="G20" s="1649"/>
      <c r="H20" s="1649"/>
      <c r="I20" s="1574"/>
      <c r="J20" s="636"/>
      <c r="K20" s="637"/>
      <c r="L20" s="1577" t="str">
        <f>INDEX(PT_DIFFERENTIATION_NUM_TER,MATCH(B19,PT_DIFFERENTIATION_TER_ID,0))</f>
        <v>.</v>
      </c>
      <c r="M20" s="592" t="s">
        <v>402</v>
      </c>
      <c r="N20" s="584"/>
      <c r="O20" s="2890" t="str">
        <f>INDEX(PT_DIFFERENTIATION_TER,MATCH(B19,PT_DIFFERENTIATION_TER_ID,0))</f>
        <v/>
      </c>
      <c r="P20" s="2890"/>
      <c r="Q20" s="2890"/>
      <c r="R20" s="2890"/>
      <c r="S20" s="2890"/>
      <c r="T20" s="2890"/>
      <c r="U20" s="2890"/>
      <c r="V20" s="2890"/>
      <c r="W20" s="2890"/>
      <c r="X20" s="1542" t="s">
        <v>403</v>
      </c>
      <c r="Z20" s="784"/>
      <c r="AA20" s="784" t="str">
        <f>IF(M20="","",M20)</f>
        <v>Территория действия тарифа</v>
      </c>
      <c r="AB20" s="784"/>
      <c r="AC20" s="784"/>
      <c r="AD20" s="1439">
        <v>20</v>
      </c>
    </row>
    <row customHeight="1" ht="24">
      <c r="A21" s="1647" t="s">
        <v>175</v>
      </c>
      <c r="B21" s="1647" t="s">
        <v>176</v>
      </c>
      <c r="C21" s="1647" t="s">
        <v>177</v>
      </c>
      <c r="D21" s="1647" t="s">
        <v>178</v>
      </c>
      <c r="E21" s="1647"/>
      <c r="F21" s="1649"/>
      <c r="G21" s="1649"/>
      <c r="H21" s="1649"/>
      <c r="I21" s="638"/>
      <c r="J21" s="636"/>
      <c r="K21" s="637"/>
      <c r="L21" s="1577" t="str">
        <f>INDEX(PT_DIFFERENTIATION_NUM_CS,MATCH(C19,PT_DIFFERENTIATION_CS_ID,0))</f>
        <v>..</v>
      </c>
      <c r="M21" s="593" t="s">
        <v>404</v>
      </c>
      <c r="N21" s="584"/>
      <c r="O21" s="2890" t="str">
        <f>INDEX(PT_DIFFERENTIATION_CS,MATCH(C19,PT_DIFFERENTIATION_CS_ID,0))</f>
        <v/>
      </c>
      <c r="P21" s="2890"/>
      <c r="Q21" s="2890"/>
      <c r="R21" s="2890"/>
      <c r="S21" s="2890"/>
      <c r="T21" s="2890"/>
      <c r="U21" s="2890"/>
      <c r="V21" s="2890"/>
      <c r="W21" s="2890"/>
      <c r="X21" s="1542" t="s">
        <v>405</v>
      </c>
      <c r="Z21" s="784"/>
      <c r="AA21" s="784" t="str">
        <f>IF(M21="","",M21)</f>
        <v>Наименование системы теплоснабжения </v>
      </c>
      <c r="AB21" s="784"/>
      <c r="AC21" s="784"/>
      <c r="AD21" s="1439">
        <v>23</v>
      </c>
    </row>
    <row customHeight="1" ht="21">
      <c r="A22" s="1647" t="s">
        <v>175</v>
      </c>
      <c r="B22" s="1647" t="s">
        <v>176</v>
      </c>
      <c r="C22" s="1647" t="s">
        <v>177</v>
      </c>
      <c r="D22" s="1647" t="s">
        <v>178</v>
      </c>
      <c r="E22" s="1647"/>
      <c r="F22" s="1649"/>
      <c r="G22" s="1649"/>
      <c r="H22" s="1649"/>
      <c r="I22" s="638"/>
      <c r="J22" s="636"/>
      <c r="K22" s="637"/>
      <c r="L22" s="1577" t="str">
        <f>INDEX(PT_DIFFERENTIATION_NUM_IST_TE,MATCH(D19,PT_DIFFERENTIATION_IST_TE_ID,0))</f>
        <v>...</v>
      </c>
      <c r="M22" s="594" t="s">
        <v>406</v>
      </c>
      <c r="N22" s="584"/>
      <c r="O22" s="2890" t="str">
        <f>INDEX(PT_DIFFERENTIATION_IST_TE,MATCH(D19,PT_DIFFERENTIATION_IST_TE_ID,0))</f>
        <v/>
      </c>
      <c r="P22" s="2890"/>
      <c r="Q22" s="2890"/>
      <c r="R22" s="2890"/>
      <c r="S22" s="2890"/>
      <c r="T22" s="2890"/>
      <c r="U22" s="2890"/>
      <c r="V22" s="2890"/>
      <c r="W22" s="2890"/>
      <c r="X22" s="1542" t="s">
        <v>407</v>
      </c>
      <c r="Z22" s="784"/>
      <c r="AA22" s="784" t="str">
        <f>IF(M22="","",M22)</f>
        <v>Источник тепловой энергии  </v>
      </c>
      <c r="AB22" s="784"/>
      <c r="AC22" s="784"/>
      <c r="AD22" s="1439">
        <v>20</v>
      </c>
    </row>
    <row customHeight="1" ht="96.75">
      <c r="A23" s="1647" t="s">
        <v>175</v>
      </c>
      <c r="B23" s="1647" t="s">
        <v>176</v>
      </c>
      <c r="C23" s="1647" t="s">
        <v>177</v>
      </c>
      <c r="D23" s="1647" t="s">
        <v>178</v>
      </c>
      <c r="E23" s="1647"/>
      <c r="F23" s="2891" t="str">
        <f>L22&amp;".1"</f>
        <v>....1</v>
      </c>
      <c r="I23" s="2541">
        <v>1</v>
      </c>
      <c r="J23" s="1575"/>
      <c r="K23" s="640"/>
      <c r="L23" s="1577" t="str">
        <f>$F$23</f>
        <v>....1</v>
      </c>
      <c r="M23" s="569" t="s">
        <v>409</v>
      </c>
      <c r="N23" s="584"/>
      <c r="O23" s="2589"/>
      <c r="P23" s="2589"/>
      <c r="Q23" s="2589"/>
      <c r="R23" s="2589"/>
      <c r="S23" s="2589"/>
      <c r="T23" s="2589"/>
      <c r="U23" s="2589"/>
      <c r="V23" s="2589"/>
      <c r="W23" s="2589"/>
      <c r="X23" s="1542" t="s">
        <v>410</v>
      </c>
      <c r="Z23" s="784"/>
      <c r="AA23" s="784" t="str">
        <f>IF(M23="","",M23)</f>
        <v>Схема подключения теплопотребляющей установки к коллектору источника тепловой энергии</v>
      </c>
      <c r="AB23" s="784"/>
      <c r="AC23" s="784"/>
      <c r="AD23" s="1439">
        <v>92</v>
      </c>
    </row>
    <row customHeight="1" ht="86.25">
      <c r="A24" s="1647" t="s">
        <v>175</v>
      </c>
      <c r="B24" s="1647" t="s">
        <v>176</v>
      </c>
      <c r="C24" s="1647" t="s">
        <v>177</v>
      </c>
      <c r="D24" s="1647" t="s">
        <v>178</v>
      </c>
      <c r="E24" s="1647"/>
      <c r="F24" s="2891"/>
      <c r="G24" s="2501" t="str">
        <f>F23&amp;".1"</f>
        <v>....1.1</v>
      </c>
      <c r="I24" s="2541"/>
      <c r="J24" s="2541">
        <v>1</v>
      </c>
      <c r="K24" s="641"/>
      <c r="L24" s="1577" t="str">
        <f>$G$24</f>
        <v>....1.1</v>
      </c>
      <c r="M24" s="570" t="s">
        <v>412</v>
      </c>
      <c r="N24" s="584"/>
      <c r="O24" s="2529"/>
      <c r="P24" s="2530"/>
      <c r="Q24" s="2530"/>
      <c r="R24" s="2530"/>
      <c r="S24" s="2530"/>
      <c r="T24" s="2530"/>
      <c r="U24" s="2530"/>
      <c r="V24" s="2530"/>
      <c r="W24" s="2531"/>
      <c r="X24" s="1542" t="s">
        <v>413</v>
      </c>
      <c r="Z24" s="784"/>
      <c r="AA24" s="784" t="str">
        <f>IF(M24="","",M24)</f>
        <v>Группа потребителей</v>
      </c>
      <c r="AB24" s="784"/>
      <c r="AC24" s="784"/>
      <c r="AD24" s="1439">
        <v>82</v>
      </c>
    </row>
    <row customHeight="1" ht="11.549999999999999">
      <c r="A25" s="1647" t="s">
        <v>175</v>
      </c>
      <c r="B25" s="1647" t="s">
        <v>176</v>
      </c>
      <c r="C25" s="1647" t="s">
        <v>177</v>
      </c>
      <c r="D25" s="1647" t="s">
        <v>178</v>
      </c>
      <c r="E25" s="1647"/>
      <c r="F25" s="2891"/>
      <c r="G25" s="2501"/>
      <c r="H25" s="2501" t="str">
        <f>G24&amp;".1"</f>
        <v>....1.1.1</v>
      </c>
      <c r="I25" s="2541"/>
      <c r="J25" s="2541"/>
      <c r="K25" s="641">
        <v>1</v>
      </c>
      <c r="L25" s="1577" t="str">
        <f>$H$25</f>
        <v>....1.1.1</v>
      </c>
      <c r="M25" s="1631"/>
      <c r="N25" s="584"/>
      <c r="O25" s="1035"/>
      <c r="P25" s="609"/>
      <c r="Q25" s="1035"/>
      <c r="R25" s="1541"/>
      <c r="S25" s="2886"/>
      <c r="T25" s="2391" t="s">
        <v>67</v>
      </c>
      <c r="U25" s="2886"/>
      <c r="V25" s="2391" t="s">
        <v>19</v>
      </c>
      <c r="W25" s="609"/>
      <c r="X25" s="2537" t="s">
        <v>415</v>
      </c>
      <c r="Y25" s="795">
        <f>STRCHECKDATE(O26:W26)</f>
      </c>
      <c r="Z25" s="784"/>
      <c r="AA25" s="784" t="str">
        <f>IF(M25="","",M25)</f>
        <v/>
      </c>
      <c r="AB25" s="784"/>
      <c r="AC25" s="784"/>
      <c r="AD25" s="1439">
        <v>11</v>
      </c>
    </row>
    <row customHeight="1" ht="11.549999999999999">
      <c r="A26" s="1647" t="s">
        <v>175</v>
      </c>
      <c r="B26" s="1647" t="s">
        <v>176</v>
      </c>
      <c r="C26" s="1647" t="s">
        <v>177</v>
      </c>
      <c r="D26" s="1647" t="s">
        <v>178</v>
      </c>
      <c r="E26" s="1647"/>
      <c r="F26" s="2891"/>
      <c r="G26" s="2501"/>
      <c r="H26" s="2501"/>
      <c r="I26" s="2541"/>
      <c r="J26" s="2541"/>
      <c r="K26" s="641"/>
      <c r="L26" s="1578"/>
      <c r="M26" s="584"/>
      <c r="N26" s="584"/>
      <c r="O26" s="609"/>
      <c r="P26" s="609"/>
      <c r="Q26" s="609"/>
      <c r="R26" s="612" t="str">
        <f>S25&amp;"-"&amp;U25</f>
        <v>-</v>
      </c>
      <c r="S26" s="2550"/>
      <c r="T26" s="2391"/>
      <c r="U26" s="2550"/>
      <c r="V26" s="2391"/>
      <c r="W26" s="609"/>
      <c r="X26" s="2538"/>
      <c r="Z26" s="784"/>
      <c r="AA26" s="784" t="str">
        <f>IF(M26="","",M26)</f>
        <v/>
      </c>
      <c r="AB26" s="784"/>
      <c r="AC26" s="784"/>
      <c r="AD26" s="1439">
        <v>11</v>
      </c>
    </row>
    <row customHeight="1" ht="15.75">
      <c r="A27" s="1647" t="s">
        <v>175</v>
      </c>
      <c r="B27" s="1647" t="s">
        <v>176</v>
      </c>
      <c r="C27" s="1647" t="s">
        <v>177</v>
      </c>
      <c r="D27" s="1647" t="s">
        <v>178</v>
      </c>
      <c r="E27" s="1647"/>
      <c r="F27" s="2891"/>
      <c r="G27" s="2501"/>
      <c r="I27" s="2541"/>
      <c r="J27" s="2541"/>
      <c r="K27" s="640"/>
      <c r="L27" s="1562"/>
      <c r="M27" s="572" t="s">
        <v>416</v>
      </c>
      <c r="N27" s="651"/>
      <c r="O27" s="651"/>
      <c r="P27" s="651"/>
      <c r="Q27" s="651"/>
      <c r="R27" s="651"/>
      <c r="S27" s="651"/>
      <c r="T27" s="651"/>
      <c r="U27" s="651"/>
      <c r="V27" s="651"/>
      <c r="W27" s="608"/>
      <c r="X27" s="2539"/>
      <c r="Z27" s="784"/>
      <c r="AA27" s="784" t="str">
        <f>IF(M27="","",M27)</f>
        <v>Добавить вид теплоносителя (параметры теплоносителя)</v>
      </c>
      <c r="AB27" s="784"/>
      <c r="AC27" s="784"/>
      <c r="AD27" s="1439">
        <v>15</v>
      </c>
    </row>
    <row customHeight="1" ht="15.75">
      <c r="A28" s="1647" t="s">
        <v>175</v>
      </c>
      <c r="B28" s="1647" t="s">
        <v>176</v>
      </c>
      <c r="C28" s="1647" t="s">
        <v>177</v>
      </c>
      <c r="D28" s="1647" t="s">
        <v>178</v>
      </c>
      <c r="E28" s="1647"/>
      <c r="F28" s="2891"/>
      <c r="I28" s="2541"/>
      <c r="J28" s="1575"/>
      <c r="K28" s="640"/>
      <c r="L28" s="1562"/>
      <c r="M28" s="571" t="s">
        <v>417</v>
      </c>
      <c r="N28" s="651"/>
      <c r="O28" s="651"/>
      <c r="P28" s="651"/>
      <c r="Q28" s="651"/>
      <c r="R28" s="651"/>
      <c r="S28" s="651"/>
      <c r="T28" s="651"/>
      <c r="U28" s="651"/>
      <c r="V28" s="650"/>
      <c r="W28" s="651"/>
      <c r="X28" s="587"/>
      <c r="Z28" s="784"/>
      <c r="AA28" s="784" t="str">
        <f>IF(M28="","",M28)</f>
        <v>Добавить группу потребителей</v>
      </c>
      <c r="AB28" s="784"/>
      <c r="AC28" s="784"/>
      <c r="AD28" s="1439">
        <v>15</v>
      </c>
    </row>
    <row customHeight="1" ht="14.699999999999998">
      <c r="A29" s="1647" t="s">
        <v>175</v>
      </c>
      <c r="B29" s="1647" t="s">
        <v>176</v>
      </c>
      <c r="C29" s="1647" t="s">
        <v>177</v>
      </c>
      <c r="D29" s="1647" t="s">
        <v>178</v>
      </c>
      <c r="E29" s="1647"/>
      <c r="F29" s="1649"/>
      <c r="G29" s="1649"/>
      <c r="H29" s="821"/>
      <c r="I29" s="644"/>
      <c r="J29" s="659"/>
      <c r="K29" s="639"/>
      <c r="L29" s="1562"/>
      <c r="M29" s="649" t="s">
        <v>418</v>
      </c>
      <c r="N29" s="651"/>
      <c r="O29" s="651"/>
      <c r="P29" s="651"/>
      <c r="Q29" s="651"/>
      <c r="R29" s="651"/>
      <c r="S29" s="651"/>
      <c r="T29" s="651"/>
      <c r="U29" s="651"/>
      <c r="V29" s="650"/>
      <c r="W29" s="651"/>
      <c r="X29" s="587"/>
      <c r="Z29" s="784"/>
      <c r="AA29" s="784" t="str">
        <f>IF(M29="","",M29)</f>
        <v>Добавить схему подключения</v>
      </c>
      <c r="AB29" s="784"/>
      <c r="AC29" s="784"/>
      <c r="AD29" s="1439">
        <v>14</v>
      </c>
    </row>
    <row customHeight="1" ht="14.699999999999998">
      <c r="A30" s="1647" t="s">
        <v>175</v>
      </c>
      <c r="B30" s="1647" t="s">
        <v>176</v>
      </c>
      <c r="C30" s="1647" t="s">
        <v>177</v>
      </c>
      <c r="D30" s="1647"/>
      <c r="E30" s="1647" t="s">
        <v>594</v>
      </c>
      <c r="F30" s="1649"/>
      <c r="G30" s="1649"/>
      <c r="H30" s="821"/>
      <c r="I30" s="644"/>
      <c r="J30" s="659"/>
      <c r="K30" s="639"/>
      <c r="L30" s="1563"/>
      <c r="M30" s="1552"/>
      <c r="N30" s="1553"/>
      <c r="O30" s="1553"/>
      <c r="P30" s="1553"/>
      <c r="Q30" s="1553"/>
      <c r="R30" s="1553"/>
      <c r="S30" s="1553"/>
      <c r="T30" s="1553"/>
      <c r="U30" s="1553"/>
      <c r="V30" s="1554"/>
      <c r="W30" s="1553"/>
      <c r="X30" s="1555"/>
      <c r="Z30" s="784"/>
      <c r="AA30" s="784" t="str">
        <f>IF(M30="","",M30)</f>
        <v/>
      </c>
      <c r="AB30" s="784"/>
      <c r="AC30" s="784"/>
      <c r="AD30" s="1439">
        <v>14</v>
      </c>
    </row>
    <row customHeight="1" ht="14.699999999999998">
      <c r="A31" s="1647" t="s">
        <v>175</v>
      </c>
      <c r="B31" s="1647" t="s">
        <v>176</v>
      </c>
      <c r="C31" s="1647"/>
      <c r="D31" s="1647"/>
      <c r="E31" s="1647" t="s">
        <v>2239</v>
      </c>
      <c r="F31" s="1801"/>
      <c r="G31" s="1801"/>
      <c r="H31" s="821"/>
      <c r="I31" s="642"/>
      <c r="J31" s="659"/>
      <c r="K31" s="643"/>
      <c r="L31" s="1563"/>
      <c r="M31" s="1556"/>
      <c r="N31" s="1553"/>
      <c r="O31" s="1553"/>
      <c r="P31" s="1553"/>
      <c r="Q31" s="1553"/>
      <c r="R31" s="1553"/>
      <c r="S31" s="1553"/>
      <c r="T31" s="1553"/>
      <c r="U31" s="1553"/>
      <c r="V31" s="1554"/>
      <c r="W31" s="1553"/>
      <c r="X31" s="1555"/>
      <c r="Z31" s="784"/>
      <c r="AA31" s="784" t="str">
        <f>IF(M31="","",M31)</f>
        <v/>
      </c>
      <c r="AB31" s="784"/>
      <c r="AC31" s="784"/>
      <c r="AD31" s="1439">
        <v>14</v>
      </c>
    </row>
    <row customHeight="1" ht="14.699999999999998">
      <c r="A32" s="1647" t="s">
        <v>2240</v>
      </c>
      <c r="B32" s="1647"/>
      <c r="C32" s="1647"/>
      <c r="D32" s="1647"/>
      <c r="E32" s="1647" t="s">
        <v>105</v>
      </c>
      <c r="F32" s="1801"/>
      <c r="G32" s="1801"/>
      <c r="H32" s="821"/>
      <c r="I32" s="644"/>
      <c r="J32" s="659"/>
      <c r="K32" s="639"/>
      <c r="L32" s="1563"/>
      <c r="M32" s="1557"/>
      <c r="N32" s="1553"/>
      <c r="O32" s="1553"/>
      <c r="P32" s="1553"/>
      <c r="Q32" s="1553"/>
      <c r="R32" s="1553"/>
      <c r="S32" s="1553"/>
      <c r="T32" s="1553"/>
      <c r="U32" s="1553"/>
      <c r="V32" s="1554"/>
      <c r="W32" s="1553"/>
      <c r="X32" s="1555"/>
      <c r="Z32" s="784"/>
      <c r="AA32" s="784" t="str">
        <f>IF(M32="","",M32)</f>
        <v/>
      </c>
      <c r="AB32" s="784"/>
      <c r="AC32" s="784"/>
      <c r="AD32" s="1439">
        <v>14</v>
      </c>
    </row>
    <row s="14218" customFormat="1" customHeight="1" ht="11.549999999999999">
      <c r="A33" s="1647"/>
      <c r="B33" s="1647"/>
      <c r="C33" s="1647"/>
      <c r="D33" s="1647"/>
      <c r="E33" s="1647" t="s">
        <v>172</v>
      </c>
      <c r="F33" s="1802"/>
      <c r="G33" s="1803"/>
      <c r="H33" s="821"/>
      <c r="L33" s="1564"/>
      <c r="M33" s="1558"/>
      <c r="N33" s="1553"/>
      <c r="O33" s="1553"/>
      <c r="P33" s="1553"/>
      <c r="Q33" s="1553"/>
      <c r="R33" s="1553"/>
      <c r="S33" s="1553"/>
      <c r="T33" s="1553"/>
      <c r="U33" s="1553"/>
      <c r="V33" s="1554"/>
      <c r="W33" s="1553"/>
      <c r="X33" s="1555"/>
      <c r="Y33" s="663"/>
      <c r="Z33" s="663"/>
      <c r="AA33" s="663"/>
      <c r="AB33" s="663"/>
      <c r="AC33" s="663"/>
      <c r="AD33" s="657">
        <v>11</v>
      </c>
    </row>
    <row customHeight="1" ht="11.549999999999999">
      <c r="F34" s="1444"/>
      <c r="G34" s="1444"/>
      <c r="H34" s="821"/>
      <c r="I34" s="1439"/>
      <c r="J34" s="1439"/>
      <c r="K34" s="1439"/>
      <c r="Y34" s="1439"/>
      <c r="Z34" s="1439"/>
      <c r="AA34" s="1439"/>
      <c r="AB34" s="1439"/>
      <c r="AC34" s="1439"/>
      <c r="AD34" s="1439">
        <v>11</v>
      </c>
    </row>
    <row customHeight="1" ht="28.5">
      <c r="H35" s="821"/>
      <c r="L35" s="1572" t="s">
        <v>811</v>
      </c>
      <c r="M35" s="2569" t="s">
        <v>2241</v>
      </c>
      <c r="N35" s="2569"/>
      <c r="O35" s="2569"/>
      <c r="P35" s="2569"/>
      <c r="Q35" s="2569"/>
      <c r="R35" s="2569"/>
      <c r="S35" s="2569"/>
      <c r="T35" s="2569"/>
      <c r="U35" s="2569"/>
      <c r="V35" s="2569"/>
      <c r="W35" s="2569"/>
      <c r="X35" s="2569"/>
      <c r="AD35" s="1439">
        <v>27</v>
      </c>
    </row>
    <row customHeight="1" ht="109.19999999999999">
      <c r="H36" s="821"/>
      <c r="I36" s="1587"/>
      <c r="M36" s="2569" t="s">
        <v>2242</v>
      </c>
      <c r="N36" s="2569"/>
      <c r="O36" s="2569"/>
      <c r="P36" s="2569"/>
      <c r="Q36" s="2569"/>
      <c r="R36" s="2569"/>
      <c r="S36" s="2569"/>
      <c r="T36" s="2569"/>
      <c r="U36" s="2569"/>
      <c r="V36" s="2569"/>
      <c r="W36" s="2569"/>
      <c r="X36" s="2569"/>
      <c r="AD36" s="1439">
        <v>104</v>
      </c>
    </row>
    <row customHeight="1" ht="14.699999999999998">
      <c r="H37" s="821"/>
      <c r="AD37" s="1439">
        <v>14</v>
      </c>
    </row>
    <row customHeight="1" ht="14.699999999999998">
      <c r="H38" s="821"/>
      <c r="AD38" s="1439">
        <v>14</v>
      </c>
    </row>
    <row customHeight="1" ht="14.699999999999998">
      <c r="H39" s="821"/>
      <c r="AD39" s="1439">
        <v>14</v>
      </c>
    </row>
    <row customHeight="1" ht="14.699999999999998">
      <c r="H40" s="821"/>
      <c r="AD40" s="1439">
        <v>14</v>
      </c>
    </row>
    <row customHeight="1" ht="22.5" hidden="1">
      <c r="A41" s="1444" t="s">
        <v>83</v>
      </c>
      <c r="B41" s="1444">
        <v>0</v>
      </c>
      <c r="C41" s="1444">
        <v>0</v>
      </c>
      <c r="D41" s="1444">
        <v>0</v>
      </c>
      <c r="E41" s="1444">
        <v>0</v>
      </c>
      <c r="F41" s="1646">
        <v>0</v>
      </c>
      <c r="G41" s="1646">
        <v>0</v>
      </c>
      <c r="H41" s="1646">
        <v>0</v>
      </c>
      <c r="I41" s="1570">
        <v>3</v>
      </c>
      <c r="J41" s="628">
        <v>3</v>
      </c>
      <c r="K41" s="628">
        <v>3</v>
      </c>
      <c r="L41" s="865">
        <v>12</v>
      </c>
      <c r="M41" s="1439">
        <v>31</v>
      </c>
      <c r="N41" s="1439">
        <v>1</v>
      </c>
      <c r="O41" s="1439">
        <v>24</v>
      </c>
      <c r="P41" s="1439">
        <v>24</v>
      </c>
      <c r="Q41" s="1439">
        <v>24</v>
      </c>
      <c r="R41" s="1439">
        <v>24</v>
      </c>
      <c r="S41" s="1439">
        <v>11</v>
      </c>
      <c r="T41" s="1439">
        <v>3</v>
      </c>
      <c r="U41" s="1439">
        <v>11</v>
      </c>
      <c r="V41" s="1439">
        <v>8</v>
      </c>
      <c r="W41" s="1439">
        <v>4</v>
      </c>
      <c r="X41" s="1439">
        <v>115</v>
      </c>
      <c r="Y41" s="795">
        <v>10</v>
      </c>
      <c r="Z41" s="795">
        <v>10</v>
      </c>
      <c r="AA41" s="795">
        <v>10</v>
      </c>
      <c r="AB41" s="795">
        <v>10</v>
      </c>
      <c r="AC41" s="795">
        <v>10</v>
      </c>
      <c r="AD41" s="1439">
        <v>23</v>
      </c>
    </row>
  </sheetData>
  <sheetProtection formatColumns="0" formatRows="0" autoFilter="0" sort="0" insertRows="0" insertColumns="1" deleteRows="0" deleteColumns="0"/>
  <mergeCells count="39">
    <mergeCell ref="O19:W19"/>
    <mergeCell ref="O20:W20"/>
    <mergeCell ref="O21:W21"/>
    <mergeCell ref="O22:W22"/>
    <mergeCell ref="F23:F28"/>
    <mergeCell ref="I23:I28"/>
    <mergeCell ref="O23:W23"/>
    <mergeCell ref="G24:G27"/>
    <mergeCell ref="J24:J27"/>
    <mergeCell ref="O24:W24"/>
    <mergeCell ref="O11:U11"/>
    <mergeCell ref="L12:M12"/>
    <mergeCell ref="O13:V13"/>
    <mergeCell ref="L14:W14"/>
    <mergeCell ref="T18:U18"/>
    <mergeCell ref="L5:U5"/>
    <mergeCell ref="L6:U6"/>
    <mergeCell ref="O8:U8"/>
    <mergeCell ref="O9:U9"/>
    <mergeCell ref="O10:U10"/>
    <mergeCell ref="X14:X17"/>
    <mergeCell ref="L15:L17"/>
    <mergeCell ref="M15:M17"/>
    <mergeCell ref="O15:U15"/>
    <mergeCell ref="V15:V17"/>
    <mergeCell ref="W15:W17"/>
    <mergeCell ref="O16:O17"/>
    <mergeCell ref="P16:P17"/>
    <mergeCell ref="Q16:R16"/>
    <mergeCell ref="S16:U16"/>
    <mergeCell ref="T17:U17"/>
    <mergeCell ref="X25:X27"/>
    <mergeCell ref="M35:X35"/>
    <mergeCell ref="M36:X36"/>
    <mergeCell ref="H25:H26"/>
    <mergeCell ref="S25:S26"/>
    <mergeCell ref="T25:T26"/>
    <mergeCell ref="U25:U26"/>
    <mergeCell ref="V25:V26"/>
  </mergeCells>
  <dataValidations count="8">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promptTitle="checkPeriodRange" sqref="R26 R65562 R131098 R196634 R262170 R327706 R393242 R458778 R524314 R589850 R655386 R720922 R786458 R851994 R917530 R983066"/>
    <dataValidation allowBlank="1" sqref="L131099:X131105 L196635:X196641 L262171:X262177 L327707:X327713 L393243:X393249 L458779:X458785 L524315:X524321 L589851:X589857 L655387:X655393 L720923:X720929 L786459:X786465 L851995:X852001 L917531:X917537 L983067:X983073 L65563:X6556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E49FD08-3AB3-F388-D28F-CDAC562550B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22602EA-53B3-6D07-8FA6-3EDF0702F2D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771FD11-E018-A319-2CB8-78073F3D3924}"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B8DFA08-68D8-C0B8-80BD-863C06CC6FE7}"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974B568-9A5B-6753-4058-5FEFFD76EFF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3E4C488-8838-A538-1DD3-B5763CFEF8A1}" mc:Ignorable="x14ac xr xr2 xr3">
  <sheetPr>
    <tabColor theme="3" tint="0.6"/>
  </sheetPr>
  <dimension ref="A1:J60"/>
  <sheetViews>
    <sheetView topLeftCell="A1" showGridLines="0" zoomScale="90" workbookViewId="0">
      <selection activeCell="A1" sqref="A1"/>
    </sheetView>
  </sheetViews>
  <sheetFormatPr defaultColWidth="9.140625" customHeight="1" defaultRowHeight="11.25"/>
  <cols>
    <col min="1" max="1" style="14684" width="15.00390625" hidden="1" customWidth="1"/>
    <col min="2" max="2" style="14641" width="15.00390625" hidden="1" customWidth="1"/>
    <col min="3" max="3" style="14685" width="3.00390625" customWidth="1"/>
    <col min="4" max="4" style="14686" width="6.00390625" customWidth="1"/>
    <col min="5" max="5" style="14685" width="52.00390625" customWidth="1"/>
    <col min="6" max="6" style="14685" width="48.00390625" customWidth="1"/>
    <col min="7" max="7" style="14685" width="121.00390625" customWidth="1"/>
    <col min="8" max="8" style="14685" width="8.00390625" customWidth="1"/>
    <col min="9" max="9" style="14685" width="64.00390625" customWidth="1"/>
    <col min="10" max="10" style="14685" width="9.140625" hidden="1"/>
  </cols>
  <sheetData>
    <row customHeight="1" ht="11.25" hidden="1">
      <c r="A1" s="1970" t="s">
        <v>304</v>
      </c>
      <c r="J1" s="739" t="s">
        <v>14</v>
      </c>
    </row>
    <row customHeight="1" ht="11.25" hidden="1">
      <c r="J2" s="739">
        <v>0</v>
      </c>
    </row>
    <row s="14599" customFormat="1" customHeight="1" ht="11.549999999999999">
      <c r="A3" s="1970"/>
      <c r="B3" s="785"/>
      <c r="D3" s="762"/>
      <c r="J3" s="761">
        <v>11</v>
      </c>
    </row>
    <row customHeight="1" ht="27.299999999999997">
      <c r="D4" s="2441" t="str">
        <f>ORG_INFO_NAME_FORM</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E4" s="2442"/>
      <c r="F4" s="2443"/>
      <c r="I4" s="999"/>
      <c r="J4" s="739">
        <v>26</v>
      </c>
    </row>
    <row customHeight="1" ht="18">
      <c r="D5" s="2460" t="str">
        <f>IF(org=0,"Не определено",org)</f>
        <v>МУП г. Азова "Теплоэнерго"</v>
      </c>
      <c r="E5" s="2460"/>
      <c r="F5" s="2460"/>
      <c r="I5" s="999"/>
      <c r="J5" s="739">
        <v>17</v>
      </c>
    </row>
    <row s="14599" customFormat="1" customHeight="1" ht="11.549999999999999">
      <c r="A6" s="1970"/>
      <c r="B6" s="785"/>
      <c r="D6" s="998"/>
      <c r="E6" s="998"/>
      <c r="F6" s="1036"/>
      <c r="G6" s="998"/>
      <c r="J6" s="761">
        <v>11</v>
      </c>
    </row>
    <row customHeight="1" ht="11.25" hidden="1">
      <c r="A7" s="741"/>
      <c r="B7" s="786"/>
      <c r="C7" s="741"/>
      <c r="D7" s="747"/>
      <c r="E7" s="2491"/>
      <c r="F7" s="2491"/>
      <c r="J7" s="739">
        <v>0</v>
      </c>
    </row>
    <row customHeight="1" ht="11.549999999999999">
      <c r="A8" s="741"/>
      <c r="B8" s="786"/>
      <c r="C8" s="741"/>
      <c r="D8" s="2488" t="s">
        <v>305</v>
      </c>
      <c r="E8" s="2489"/>
      <c r="F8" s="2489"/>
      <c r="G8" s="2492" t="s">
        <v>306</v>
      </c>
      <c r="J8" s="739">
        <v>11</v>
      </c>
    </row>
    <row customHeight="1" ht="11.549999999999999">
      <c r="A9" s="741"/>
      <c r="B9" s="786"/>
      <c r="C9" s="741"/>
      <c r="D9" s="756" t="s">
        <v>89</v>
      </c>
      <c r="E9" s="730" t="s">
        <v>307</v>
      </c>
      <c r="F9" s="730" t="s">
        <v>308</v>
      </c>
      <c r="G9" s="2493"/>
      <c r="J9" s="739">
        <v>11</v>
      </c>
    </row>
    <row customHeight="1" ht="12" hidden="1">
      <c r="A10" s="741"/>
      <c r="B10" s="786"/>
      <c r="C10" s="741"/>
      <c r="D10" s="748"/>
      <c r="E10" s="748"/>
      <c r="F10" s="748"/>
      <c r="G10" s="748"/>
      <c r="J10" s="739">
        <v>0</v>
      </c>
    </row>
    <row customHeight="1" ht="22.5" hidden="1">
      <c r="A11" s="741"/>
      <c r="B11" s="786"/>
      <c r="C11" s="741"/>
      <c r="D11" s="1293" t="s">
        <v>110</v>
      </c>
      <c r="E11" s="1296" t="s">
        <v>309</v>
      </c>
      <c r="F11" s="1295" t="str">
        <f>IF(region_name="","",region_name)</f>
        <v>Ростовская область</v>
      </c>
      <c r="G11" s="1296" t="s">
        <v>310</v>
      </c>
      <c r="H11" s="759"/>
      <c r="J11" s="739">
        <v>0</v>
      </c>
    </row>
    <row customHeight="1" ht="22.5" hidden="1">
      <c r="A12" s="741"/>
      <c r="B12" s="786"/>
      <c r="C12" s="741"/>
      <c r="D12" s="729" t="s">
        <v>110</v>
      </c>
      <c r="E12" s="728"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Данные о регулируемой организации,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v>
      </c>
      <c r="F12" s="727" t="s">
        <v>311</v>
      </c>
      <c r="G12" s="758"/>
      <c r="H12" s="759"/>
      <c r="J12" s="739">
        <v>0</v>
      </c>
    </row>
    <row customHeight="1" ht="23.25">
      <c r="A13" s="741"/>
      <c r="B13" s="786"/>
      <c r="C13" s="741"/>
      <c r="D13" s="729" t="s">
        <v>110</v>
      </c>
      <c r="E13" s="726" t="str">
        <f>"Наименование юридического лица"&amp;IF(TEMPLATE_SPHERE="TKO"," (индивидуального предпринимателя)","")</f>
        <v>Наименование юридического лица</v>
      </c>
      <c r="F13" s="725"/>
      <c r="G13" s="728"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(согласно уставу регулируемой организации)</v>
      </c>
      <c r="H13" s="759"/>
      <c r="J13" s="739">
        <v>22</v>
      </c>
    </row>
    <row customHeight="1" ht="22.5" hidden="1">
      <c r="A14" s="741"/>
      <c r="B14" s="786"/>
      <c r="C14" s="741"/>
      <c r="D14" s="1293" t="s">
        <v>312</v>
      </c>
      <c r="E14" s="1294" t="s">
        <v>313</v>
      </c>
      <c r="F14" s="1295" t="str">
        <f>IF(inn="","",inn)</f>
        <v>6140028670</v>
      </c>
      <c r="G14" s="1296" t="s">
        <v>314</v>
      </c>
      <c r="H14" s="759"/>
      <c r="J14" s="739">
        <v>0</v>
      </c>
    </row>
    <row customHeight="1" ht="22.5" hidden="1">
      <c r="A15" s="741"/>
      <c r="B15" s="786"/>
      <c r="C15" s="741"/>
      <c r="D15" s="1293" t="s">
        <v>315</v>
      </c>
      <c r="E15" s="1294" t="s">
        <v>316</v>
      </c>
      <c r="F15" s="1295" t="str">
        <f>IF(kpp="","",kpp)</f>
        <v>614001001</v>
      </c>
      <c r="G15" s="1296" t="s">
        <v>317</v>
      </c>
      <c r="H15" s="759"/>
      <c r="J15" s="739">
        <v>0</v>
      </c>
    </row>
    <row customHeight="1" ht="39">
      <c r="A16" s="741"/>
      <c r="B16" s="786"/>
      <c r="C16" s="741"/>
      <c r="D16" s="729" t="s">
        <v>111</v>
      </c>
      <c r="E16" s="726"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725"/>
      <c r="G16" s="728"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759"/>
      <c r="J16" s="739">
        <v>37</v>
      </c>
    </row>
    <row customHeight="1" ht="23.25">
      <c r="A17" s="741"/>
      <c r="B17" s="786"/>
      <c r="C17" s="741"/>
      <c r="D17" s="729" t="s">
        <v>91</v>
      </c>
      <c r="E17" s="726" t="str">
        <f>"Дата присвоения ОГРН"&amp;IF(TEMPLATE_SPHERE="TKO",""," (ОГРНИП)")</f>
        <v>Дата присвоения ОГРН (ОГРНИП)</v>
      </c>
      <c r="F17" s="2016" t="s">
        <v>28</v>
      </c>
      <c r="G17" s="728" t="str">
        <f>"Дата присвоения ОГРН"&amp;IF(TEMPLATE_SPHERE="TKO",""," (ОГРНИП)")&amp;" указывается в виде «ДД.ММ.ГГГГ»."</f>
        <v>Дата присвоения ОГРН (ОГРНИП) указывается в виде «ДД.ММ.ГГГГ».</v>
      </c>
      <c r="H17" s="759"/>
      <c r="J17" s="739">
        <v>22</v>
      </c>
    </row>
    <row customHeight="1" ht="71.25">
      <c r="A18" s="741"/>
      <c r="B18" s="786"/>
      <c r="C18" s="741"/>
      <c r="D18" s="729" t="s">
        <v>92</v>
      </c>
      <c r="E18" s="726"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725"/>
      <c r="G18" s="758"/>
      <c r="H18" s="759"/>
      <c r="J18" s="739">
        <v>68</v>
      </c>
    </row>
    <row customHeight="1" ht="22.5" hidden="1">
      <c r="A19" s="2486" t="s">
        <v>318</v>
      </c>
      <c r="B19" s="786"/>
      <c r="C19" s="2497"/>
      <c r="D19" s="729" t="str">
        <f>A19</f>
        <v>5.1</v>
      </c>
      <c r="E19" s="726" t="s">
        <v>319</v>
      </c>
      <c r="F19" s="727" t="s">
        <v>311</v>
      </c>
      <c r="G19" s="728" t="s">
        <v>320</v>
      </c>
      <c r="H19" s="759"/>
      <c r="I19" s="1136"/>
      <c r="J19" s="739">
        <v>0</v>
      </c>
    </row>
    <row customHeight="1" ht="24" hidden="1">
      <c r="A20" s="2486"/>
      <c r="B20" s="786"/>
      <c r="C20" s="2497"/>
      <c r="D20" s="724" t="str">
        <f>D19&amp;".1"</f>
        <v>5.1.1</v>
      </c>
      <c r="E20" s="723" t="s">
        <v>321</v>
      </c>
      <c r="F20" s="1165" t="s">
        <v>28</v>
      </c>
      <c r="G20" s="758"/>
      <c r="H20" s="759"/>
      <c r="I20" s="1136"/>
      <c r="J20" s="739">
        <v>0</v>
      </c>
    </row>
    <row customHeight="1" ht="22.5" hidden="1">
      <c r="A21" s="2486"/>
      <c r="B21" s="786"/>
      <c r="C21" s="2497"/>
      <c r="D21" s="724" t="str">
        <f>D19&amp;".2"</f>
        <v>5.1.2</v>
      </c>
      <c r="E21" s="723" t="s">
        <v>322</v>
      </c>
      <c r="F21" s="2017" t="s">
        <v>28</v>
      </c>
      <c r="G21" s="728" t="s">
        <v>323</v>
      </c>
      <c r="H21" s="759"/>
      <c r="I21" s="1136"/>
      <c r="J21" s="739">
        <v>0</v>
      </c>
    </row>
    <row customHeight="1" ht="22.5" hidden="1">
      <c r="A22" s="2486"/>
      <c r="B22" s="786"/>
      <c r="C22" s="2497"/>
      <c r="D22" s="724" t="str">
        <f>D19&amp;".3"</f>
        <v>5.1.3</v>
      </c>
      <c r="E22" s="723" t="s">
        <v>324</v>
      </c>
      <c r="F22" s="1165" t="s">
        <v>28</v>
      </c>
      <c r="G22" s="758"/>
      <c r="H22" s="759"/>
      <c r="I22" s="1136"/>
      <c r="J22" s="739">
        <v>0</v>
      </c>
    </row>
    <row customHeight="1" ht="22.5" hidden="1">
      <c r="A23" s="2486"/>
      <c r="B23" s="786"/>
      <c r="C23" s="2497"/>
      <c r="D23" s="724" t="str">
        <f>D19&amp;".4"</f>
        <v>5.1.4</v>
      </c>
      <c r="E23" s="723" t="s">
        <v>325</v>
      </c>
      <c r="F23" s="1165" t="s">
        <v>28</v>
      </c>
      <c r="G23" s="728" t="s">
        <v>326</v>
      </c>
      <c r="H23" s="759"/>
      <c r="I23" s="1136"/>
      <c r="J23" s="739">
        <v>0</v>
      </c>
    </row>
    <row customHeight="1" ht="22.5" hidden="1">
      <c r="A24" s="2262"/>
      <c r="B24" s="786"/>
      <c r="C24" s="776"/>
      <c r="D24" s="751"/>
      <c r="E24" s="1452" t="s">
        <v>327</v>
      </c>
      <c r="F24" s="752"/>
      <c r="G24" s="753"/>
      <c r="H24" s="759"/>
      <c r="I24" s="1136"/>
      <c r="J24" s="739">
        <v>0</v>
      </c>
    </row>
    <row s="14641" customFormat="1" customHeight="1" ht="24.75" hidden="1">
      <c r="A25" s="741"/>
      <c r="B25" s="786"/>
      <c r="C25" s="786"/>
      <c r="D25" s="1290" t="s">
        <v>91</v>
      </c>
      <c r="E25" s="1292" t="s">
        <v>328</v>
      </c>
      <c r="F25" s="1297" t="s">
        <v>311</v>
      </c>
      <c r="G25" s="1292"/>
      <c r="J25" s="785">
        <v>0</v>
      </c>
    </row>
    <row s="14641" customFormat="1" customHeight="1" ht="11.25" hidden="1">
      <c r="A26" s="741"/>
      <c r="B26" s="786"/>
      <c r="C26" s="786"/>
      <c r="D26" s="1290" t="s">
        <v>329</v>
      </c>
      <c r="E26" s="1291" t="s">
        <v>330</v>
      </c>
      <c r="F26" s="1297" t="s">
        <v>311</v>
      </c>
      <c r="G26" s="1292"/>
      <c r="J26" s="785">
        <v>0</v>
      </c>
    </row>
    <row s="14641" customFormat="1" customHeight="1" ht="11.25" hidden="1">
      <c r="A27" s="741"/>
      <c r="B27" s="786"/>
      <c r="C27" s="786"/>
      <c r="D27" s="1290" t="s">
        <v>331</v>
      </c>
      <c r="E27" s="1298" t="s">
        <v>332</v>
      </c>
      <c r="F27" s="1299"/>
      <c r="G27" s="1292"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регулируемой организации, ответственного за размещение данных, в соответствии с паспортными данными физического лица.</v>
      </c>
      <c r="J27" s="785">
        <v>0</v>
      </c>
    </row>
    <row s="14641" customFormat="1" customHeight="1" ht="11.25" hidden="1">
      <c r="A28" s="741"/>
      <c r="B28" s="786"/>
      <c r="C28" s="786"/>
      <c r="D28" s="1290" t="s">
        <v>333</v>
      </c>
      <c r="E28" s="1298" t="s">
        <v>334</v>
      </c>
      <c r="F28" s="1299"/>
      <c r="G28" s="1292"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регулируемой организации, ответственного за размещение данных, в соответствии с паспортными данными физического лица.</v>
      </c>
      <c r="J28" s="785">
        <v>0</v>
      </c>
    </row>
    <row s="14641" customFormat="1" customHeight="1" ht="11.25" hidden="1">
      <c r="A29" s="741"/>
      <c r="B29" s="786"/>
      <c r="C29" s="786"/>
      <c r="D29" s="1290" t="s">
        <v>335</v>
      </c>
      <c r="E29" s="1298" t="s">
        <v>336</v>
      </c>
      <c r="F29" s="1299"/>
      <c r="G29" s="1292"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регулируемой организации, ответственного за размещение данных, в соответствии с паспортными данными физического лица (при наличии).</v>
      </c>
      <c r="J29" s="785">
        <v>0</v>
      </c>
    </row>
    <row s="14641" customFormat="1" customHeight="1" ht="11.25" hidden="1">
      <c r="A30" s="741"/>
      <c r="B30" s="786"/>
      <c r="C30" s="786"/>
      <c r="D30" s="1290" t="s">
        <v>337</v>
      </c>
      <c r="E30" s="1291" t="s">
        <v>338</v>
      </c>
      <c r="F30" s="1299"/>
      <c r="G30" s="1292"/>
      <c r="J30" s="785">
        <v>0</v>
      </c>
    </row>
    <row s="14641" customFormat="1" customHeight="1" ht="11.25" hidden="1">
      <c r="A31" s="741"/>
      <c r="B31" s="786"/>
      <c r="C31" s="786"/>
      <c r="D31" s="1290" t="s">
        <v>339</v>
      </c>
      <c r="E31" s="1291" t="s">
        <v>340</v>
      </c>
      <c r="F31" s="1299"/>
      <c r="G31" s="1292"/>
      <c r="J31" s="785">
        <v>0</v>
      </c>
    </row>
    <row s="14641" customFormat="1" customHeight="1" ht="11.25" hidden="1">
      <c r="A32" s="741"/>
      <c r="B32" s="786"/>
      <c r="C32" s="786"/>
      <c r="D32" s="1290" t="s">
        <v>341</v>
      </c>
      <c r="E32" s="1291" t="s">
        <v>342</v>
      </c>
      <c r="F32" s="1300"/>
      <c r="G32" s="1292"/>
      <c r="J32" s="785">
        <v>0</v>
      </c>
    </row>
    <row customHeight="1" ht="24">
      <c r="A33" s="741" t="str">
        <f>IF(TEMPLATE_SPHERE="HEAT","6","5")</f>
        <v>6</v>
      </c>
      <c r="B33" s="786"/>
      <c r="C33" s="741"/>
      <c r="D33" s="724" t="str">
        <f>A33</f>
        <v>6</v>
      </c>
      <c r="E33" s="722"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ЕТО, ТО  (индивидуального предпринимателя):</v>
      </c>
      <c r="F33" s="727" t="s">
        <v>311</v>
      </c>
      <c r="G33" s="758"/>
      <c r="H33" s="759"/>
      <c r="J33" s="739">
        <v>23</v>
      </c>
    </row>
    <row customHeight="1" ht="23.25">
      <c r="A34" s="741"/>
      <c r="B34" s="786"/>
      <c r="C34" s="741"/>
      <c r="D34" s="724" t="str">
        <f>D33&amp;".1"</f>
        <v>6.1</v>
      </c>
      <c r="E34" s="726" t="str">
        <f>"фамилия"&amp;IF(TEMPLATE_SPHERE&lt;&gt;"HEAT"," руководителя","")</f>
        <v>фамилия</v>
      </c>
      <c r="F34" s="725"/>
      <c r="G34" s="728"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ЕТО, ТО в соответствии с паспортными данными физического лица.</v>
      </c>
      <c r="H34" s="759"/>
      <c r="J34" s="739">
        <v>22</v>
      </c>
    </row>
    <row customHeight="1" ht="23.25">
      <c r="A35" s="741"/>
      <c r="B35" s="786"/>
      <c r="C35" s="741"/>
      <c r="D35" s="724" t="str">
        <f>D33&amp;".2"</f>
        <v>6.2</v>
      </c>
      <c r="E35" s="726" t="str">
        <f>"имя"&amp;IF(TEMPLATE_SPHERE&lt;&gt;"HEAT"," руководителя","")</f>
        <v>имя</v>
      </c>
      <c r="F35" s="725"/>
      <c r="G35" s="728"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ЕТО, ТО в соответствии с паспортными данными физического лица.</v>
      </c>
      <c r="H35" s="759"/>
      <c r="J35" s="739">
        <v>22</v>
      </c>
    </row>
    <row customHeight="1" ht="24">
      <c r="A36" s="741"/>
      <c r="B36" s="786"/>
      <c r="C36" s="741"/>
      <c r="D36" s="724" t="str">
        <f>D33&amp;".3"</f>
        <v>6.3</v>
      </c>
      <c r="E36" s="726" t="str">
        <f>"отчество"&amp;IF(TEMPLATE_SPHERE&lt;&gt;"HEAT"," руководителя","")</f>
        <v>отчество</v>
      </c>
      <c r="F36" s="982"/>
      <c r="G36" s="728"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ЕТО, ТО в соответствии с паспортными данными физического лица (при наличии).</v>
      </c>
      <c r="H36" s="759"/>
      <c r="J36" s="739">
        <v>23</v>
      </c>
    </row>
    <row customHeight="1" ht="35.699999999999996">
      <c r="A37" s="741"/>
      <c r="B37" s="786"/>
      <c r="C37" s="741"/>
      <c r="D37" s="724">
        <f>D33+1</f>
        <v>7</v>
      </c>
      <c r="E37" s="722"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 ЕТО, ТО</v>
      </c>
      <c r="F37" s="725"/>
      <c r="G37" s="728" t="s">
        <v>343</v>
      </c>
      <c r="H37" s="759"/>
      <c r="J37" s="739">
        <v>34</v>
      </c>
    </row>
    <row customHeight="1" ht="35.699999999999996">
      <c r="A38" s="741"/>
      <c r="B38" s="786"/>
      <c r="C38" s="741"/>
      <c r="D38" s="724">
        <f>D37+1</f>
        <v>8</v>
      </c>
      <c r="E38" s="722"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 ЕТО, ТО</v>
      </c>
      <c r="F38" s="725"/>
      <c r="G38" s="728" t="s">
        <v>343</v>
      </c>
      <c r="H38" s="759"/>
      <c r="J38" s="739">
        <v>34</v>
      </c>
    </row>
    <row customHeight="1" ht="23.25">
      <c r="A39" s="741"/>
      <c r="B39" s="786"/>
      <c r="C39" s="741"/>
      <c r="D39" s="724">
        <f>D38+1</f>
        <v>9</v>
      </c>
      <c r="E39" s="721"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 ЕТО, ТО</v>
      </c>
      <c r="F39" s="727" t="s">
        <v>311</v>
      </c>
      <c r="G39" s="2494"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759"/>
      <c r="J39" s="739">
        <v>22</v>
      </c>
    </row>
    <row customHeight="1" ht="22.5" hidden="1">
      <c r="A40" s="741"/>
      <c r="B40" s="786"/>
      <c r="C40" s="741"/>
      <c r="D40" s="724" t="str">
        <f>D39&amp;".0"</f>
        <v>9.0</v>
      </c>
      <c r="E40" s="1889"/>
      <c r="F40" s="1165"/>
      <c r="G40" s="2495"/>
      <c r="H40" s="759"/>
      <c r="J40" s="739">
        <v>0</v>
      </c>
    </row>
    <row customHeight="1" ht="23.25">
      <c r="A41" s="741"/>
      <c r="B41" s="741"/>
      <c r="C41" s="1972"/>
      <c r="D41" s="724" t="str">
        <f>D39&amp;".1"</f>
        <v>9.1</v>
      </c>
      <c r="E41" s="1144"/>
      <c r="F41" s="1145"/>
      <c r="G41" s="2495"/>
      <c r="H41" s="759"/>
      <c r="J41" s="739">
        <v>22</v>
      </c>
    </row>
    <row customHeight="1" ht="15.75">
      <c r="A42" s="741"/>
      <c r="B42" s="786"/>
      <c r="C42" s="741"/>
      <c r="D42" s="751"/>
      <c r="E42" s="699" t="s">
        <v>344</v>
      </c>
      <c r="F42" s="753"/>
      <c r="G42" s="2496"/>
      <c r="H42" s="760"/>
      <c r="J42" s="739">
        <v>15</v>
      </c>
    </row>
    <row customHeight="1" ht="27.299999999999997">
      <c r="A43" s="741"/>
      <c r="B43" s="786"/>
      <c r="C43" s="741"/>
      <c r="D43" s="724">
        <f>D39+1</f>
        <v>10</v>
      </c>
      <c r="E43" s="722"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ЕТО, ТО в сети «Интернет»</v>
      </c>
      <c r="F43" s="1146"/>
      <c r="G43" s="728"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759"/>
      <c r="J43" s="739">
        <v>26</v>
      </c>
    </row>
    <row customHeight="1" ht="23.25">
      <c r="A44" s="741"/>
      <c r="B44" s="786"/>
      <c r="C44" s="741"/>
      <c r="D44" s="724">
        <f>D43+1</f>
        <v>11</v>
      </c>
      <c r="E44" s="722"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 ЕТО, ТО</v>
      </c>
      <c r="F44" s="662"/>
      <c r="G44" s="758" t="s">
        <v>345</v>
      </c>
      <c r="H44" s="759"/>
      <c r="J44" s="739">
        <v>22</v>
      </c>
    </row>
    <row customHeight="1" ht="23.25">
      <c r="A45" s="741"/>
      <c r="B45" s="786"/>
      <c r="C45" s="741"/>
      <c r="D45" s="724">
        <f>D44+1</f>
        <v>12</v>
      </c>
      <c r="E45" s="722" t="s">
        <v>346</v>
      </c>
      <c r="F45" s="727" t="s">
        <v>311</v>
      </c>
      <c r="G45" s="721" t="str">
        <f>IF(TEMPLATE_SPHERE="TKO","Указывается режим работы организации.","")</f>
        <v/>
      </c>
      <c r="H45" s="759"/>
      <c r="J45" s="739">
        <v>22</v>
      </c>
    </row>
    <row customHeight="1" ht="24">
      <c r="A46" s="741"/>
      <c r="B46" s="786"/>
      <c r="C46" s="741"/>
      <c r="D46" s="724" t="str">
        <f>D45&amp;".1"</f>
        <v>12.1</v>
      </c>
      <c r="E46" s="726" t="str">
        <f>"режим работы регулируемой организации"&amp;IF(TEMPLATE_SPHERE="HEAT",", ЕТО, ТО","")</f>
        <v>режим работы регулируемой организации, ЕТО, ТО</v>
      </c>
      <c r="F46" s="1968"/>
      <c r="G46" s="721" t="s">
        <v>347</v>
      </c>
      <c r="H46" s="759"/>
      <c r="J46" s="739">
        <v>23</v>
      </c>
    </row>
    <row customHeight="1" ht="24">
      <c r="A47" s="2486"/>
      <c r="B47" s="786"/>
      <c r="C47" s="776"/>
      <c r="D47" s="724" t="str">
        <f>D45&amp;".2"</f>
        <v>12.2</v>
      </c>
      <c r="E47" s="726" t="s">
        <v>348</v>
      </c>
      <c r="F47" s="774"/>
      <c r="G47" s="721" t="s">
        <v>349</v>
      </c>
      <c r="H47" s="759"/>
      <c r="J47" s="739">
        <v>23</v>
      </c>
    </row>
    <row customHeight="1" ht="24">
      <c r="A48" s="2486"/>
      <c r="B48" s="786"/>
      <c r="C48" s="776"/>
      <c r="D48" s="724" t="str">
        <f>D45&amp;".3"</f>
        <v>12.3</v>
      </c>
      <c r="E48" s="726" t="s">
        <v>350</v>
      </c>
      <c r="F48" s="774"/>
      <c r="G48" s="721" t="s">
        <v>351</v>
      </c>
      <c r="H48" s="759"/>
      <c r="J48" s="739">
        <v>23</v>
      </c>
    </row>
    <row customHeight="1" ht="24">
      <c r="A49" s="2486"/>
      <c r="B49" s="786"/>
      <c r="C49" s="776"/>
      <c r="D49" s="724" t="str">
        <f>IF(TEMPLATE_SPHERE="TKO",D45&amp;".0",D45&amp;".4")</f>
        <v>12.4</v>
      </c>
      <c r="E49" s="720" t="s">
        <v>352</v>
      </c>
      <c r="F49" s="1969"/>
      <c r="G49" s="2046" t="s">
        <v>353</v>
      </c>
      <c r="H49" s="759"/>
      <c r="J49" s="739">
        <v>23</v>
      </c>
    </row>
    <row customHeight="1" ht="24">
      <c r="A50" s="741"/>
      <c r="B50" s="786"/>
      <c r="C50" s="741"/>
      <c r="D50" s="751"/>
      <c r="E50" s="699" t="s">
        <v>354</v>
      </c>
      <c r="F50" s="752"/>
      <c r="G50" s="2046" t="s">
        <v>355</v>
      </c>
      <c r="H50" s="760"/>
      <c r="J50" s="739">
        <v>23</v>
      </c>
    </row>
    <row customHeight="1" ht="24">
      <c r="A51" s="1142"/>
      <c r="B51" s="786"/>
      <c r="C51" s="776"/>
      <c r="D51" s="724">
        <f>D45+1</f>
        <v>13</v>
      </c>
      <c r="E51" s="812" t="s">
        <v>356</v>
      </c>
      <c r="F51" s="774"/>
      <c r="G51" s="1973"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v>
      </c>
      <c r="H51" s="759"/>
      <c r="J51" s="739">
        <v>23</v>
      </c>
    </row>
    <row customHeight="1" ht="11.549999999999999">
      <c r="A52" s="741"/>
      <c r="B52" s="786"/>
      <c r="C52" s="741"/>
      <c r="J52" s="739">
        <v>11</v>
      </c>
    </row>
    <row s="14670" customFormat="1" customHeight="1" ht="31.5">
      <c r="A53" s="1971"/>
      <c r="B53" s="787"/>
      <c r="C53" s="2487"/>
      <c r="D53" s="2490"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 осуществляет несколько видов деятельности в сфере теплоснабжения, информация о которых подлежит раскрытию в соответствии со Стандартами раскрытия информации в сфере теплоснабжения, утвержденными постановлением Правительства Российской Федерации от 26.01.2023 № 110, информация по каждому виду деятельности раскрывается отдельно.</v>
      </c>
      <c r="E53" s="2490"/>
      <c r="F53" s="2490"/>
      <c r="G53" s="2490"/>
      <c r="H53" s="738"/>
      <c r="I53" s="738"/>
      <c r="J53" s="744">
        <v>30</v>
      </c>
    </row>
    <row s="14670" customFormat="1" customHeight="1" ht="42">
      <c r="A54" s="741"/>
      <c r="B54" s="786"/>
      <c r="C54" s="2487"/>
      <c r="D54" s="2490" t="str">
        <f>IF(ORG_INFO_P_NOTE_MAIN=0,"",ORG_INFO_P_NOTE_MAIN)</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E54" s="2490"/>
      <c r="F54" s="2490"/>
      <c r="G54" s="2490"/>
      <c r="J54" s="744">
        <v>40</v>
      </c>
    </row>
    <row customHeight="1" ht="11.549999999999999">
      <c r="D55" s="742"/>
      <c r="E55" s="743"/>
      <c r="F55" s="743"/>
      <c r="G55" s="743"/>
      <c r="J55" s="739">
        <v>11</v>
      </c>
    </row>
    <row customHeight="1" ht="28.5">
      <c r="D56" s="745"/>
      <c r="E56" s="742"/>
      <c r="F56" s="754"/>
      <c r="G56" s="754"/>
      <c r="J56" s="739">
        <v>27</v>
      </c>
    </row>
    <row customHeight="1" ht="11.549999999999999">
      <c r="D57" s="742"/>
      <c r="E57" s="742"/>
      <c r="F57" s="743"/>
      <c r="G57" s="743"/>
      <c r="J57" s="739">
        <v>11</v>
      </c>
    </row>
    <row customHeight="1" ht="40.949999999999996">
      <c r="D58" s="746"/>
      <c r="E58" s="755"/>
      <c r="F58" s="755"/>
      <c r="G58" s="755"/>
      <c r="J58" s="739">
        <v>39</v>
      </c>
    </row>
    <row customHeight="1" ht="28.5">
      <c r="D59" s="746"/>
      <c r="E59" s="755"/>
      <c r="F59" s="755"/>
      <c r="G59" s="755"/>
      <c r="J59" s="739">
        <v>27</v>
      </c>
    </row>
    <row customHeight="1" ht="11.25" hidden="1">
      <c r="A60" s="1970" t="s">
        <v>83</v>
      </c>
      <c r="B60" s="785">
        <v>0</v>
      </c>
      <c r="C60" s="739">
        <v>3</v>
      </c>
      <c r="D60" s="740">
        <v>6</v>
      </c>
      <c r="E60" s="739">
        <v>52</v>
      </c>
      <c r="F60" s="739">
        <v>48</v>
      </c>
      <c r="G60" s="739">
        <v>121</v>
      </c>
      <c r="H60" s="739">
        <v>8</v>
      </c>
      <c r="I60" s="739">
        <v>64</v>
      </c>
      <c r="J60" s="739">
        <v>11</v>
      </c>
    </row>
  </sheetData>
  <sheetProtection formatColumns="0" formatRows="0" sort="0" autoFilter="0" insertRows="0" insertColumns="1" deleteRows="0" deleteColumns="0"/>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formula1>"a"</formula1>
    </dataValidation>
    <dataValidation type="textLength" operator="lessThanOrEqual" allowBlank="1" showInputMessage="1" showErrorMessage="1" errorTitle="Ошибка" error="Допускается ввод не более 900 символов!" sqref="F13 F43:F44 F27:F32 F16 E40:F41 F18 F20 F34:F38 F22:F2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D860848-D708-C8EB-02AF-E9806725417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1961604-1792-3484-42F8-5B2D27EB82AD}"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6F036D8-C8B8-9F38-D66E-645E612A9B78}" mc:Ignorable="x14ac xr xr2 xr3">
  <sheetPr>
    <tabColor rgb="FFFFCC99"/>
  </sheetPr>
  <dimension ref="A1:A1"/>
  <sheetViews>
    <sheetView topLeftCell="A1" showGridLines="0" workbookViewId="0">
      <selection activeCell="A1" sqref="A1"/>
    </sheetView>
  </sheetViews>
  <sheetFormatPr customHeight="1" defaultRowHeight="11.25"/>
  <sheetData>
    <row customHeight="1" ht="11.25">
      <c r="A1" s="350"/>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FEF9C68-2C9A-C128-3E08-C8F992534B0B}" mc:Ignorable="x14ac xr xr2 xr3">
  <dimension ref="A1:E8"/>
  <sheetViews>
    <sheetView topLeftCell="A1" showGridLines="0" workbookViewId="0">
      <selection activeCell="A1" sqref="A1"/>
    </sheetView>
  </sheetViews>
  <sheetFormatPr customHeight="1" defaultRowHeight="11.25"/>
  <cols>
    <col min="1" max="1" style="16753" width="10.57421875" customWidth="1"/>
    <col min="2" max="2" style="16753" width="8.7109375" customWidth="1"/>
    <col min="3" max="3" style="16753" width="18.140625" customWidth="1"/>
    <col min="4" max="4" style="16753" width="12.57421875" customWidth="1"/>
  </cols>
  <sheetData>
    <row customHeight="1" ht="11.25">
      <c r="A1" s="2899" t="s">
        <v>2243</v>
      </c>
      <c r="B1" s="2900" t="s">
        <v>2244</v>
      </c>
      <c r="C1" s="2901" t="s">
        <v>2245</v>
      </c>
      <c r="D1" s="2902"/>
      <c r="E1" s="1120" t="s">
        <v>2246</v>
      </c>
    </row>
    <row customHeight="1" ht="11.25">
      <c r="A2" s="2903"/>
      <c r="B2" s="1049" t="s">
        <v>26</v>
      </c>
      <c r="C2" s="1037"/>
      <c r="D2" s="1048"/>
      <c r="E2" s="1120"/>
    </row>
    <row customHeight="1" ht="11.25">
      <c r="A3" s="2904"/>
      <c r="B3" s="2905" t="s">
        <v>33</v>
      </c>
      <c r="C3" s="1037"/>
      <c r="D3" s="1048"/>
      <c r="E3" s="1120"/>
    </row>
    <row customHeight="1" ht="11.25">
      <c r="A4" s="2906"/>
      <c r="B4" s="1050" t="s">
        <v>1671</v>
      </c>
      <c r="C4" s="1037"/>
      <c r="D4" s="1048"/>
      <c r="E4" s="1120"/>
    </row>
    <row customHeight="1" ht="11.25">
      <c r="A5" s="2907"/>
      <c r="B5" s="1050" t="s">
        <v>1665</v>
      </c>
      <c r="C5" s="2908" t="s">
        <v>2010</v>
      </c>
      <c r="D5" s="2909" t="s">
        <v>2247</v>
      </c>
      <c r="E5" s="1120"/>
    </row>
    <row s="14218" customFormat="1" customHeight="1" ht="11.25">
      <c r="A6" s="2910"/>
      <c r="B6" s="1050" t="s">
        <v>1675</v>
      </c>
      <c r="C6" s="1037"/>
      <c r="D6" s="1048"/>
      <c r="E6" s="1120"/>
    </row>
    <row customHeight="1" ht="11.25">
      <c r="A7" s="2911"/>
      <c r="B7" s="1050" t="s">
        <v>1682</v>
      </c>
      <c r="C7" s="1037"/>
      <c r="D7" s="1048"/>
      <c r="E7" s="1120"/>
    </row>
    <row customHeight="1" ht="11.25">
      <c r="A8" s="1040"/>
      <c r="B8" s="1050" t="s">
        <v>1678</v>
      </c>
      <c r="C8" s="1037"/>
      <c r="D8" s="1048"/>
      <c r="E8" s="1120"/>
    </row>
  </sheetData>
  <sheetProtection formatColumns="0" formatRows="0" autoFilter="0" sort="0" insertRows="0" insertColumns="1" deleteRows="0" deleteColumns="0"/>
  <mergeCells count="1">
    <mergeCell ref="C1:D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A3079D8-0B58-2FD8-CBF8-A0E67228DDC5}"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C710418-2668-BBD8-A6FC-FC489E52B505}"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2CDA748-2BE8-5358-4899-EFB59FCBAFD8}" mc:Ignorable="x14ac xr xr2 xr3">
  <sheetPr>
    <tabColor rgb="FFFFCC99"/>
  </sheetPr>
  <dimension ref="A1:I422"/>
  <sheetViews>
    <sheetView topLeftCell="A1" showGridLines="0" workbookViewId="0">
      <selection activeCell="A1" sqref="A1"/>
    </sheetView>
  </sheetViews>
  <sheetFormatPr defaultColWidth="9.140625" customHeight="1" defaultRowHeight="11.25"/>
  <cols>
    <col min="1" max="2" style="14218" width="9.140625"/>
    <col min="3" max="3" style="14218" width="20.7109375" customWidth="1"/>
    <col min="4" max="4" style="14218" width="25.140625" customWidth="1"/>
    <col min="5" max="9" style="14218" width="9.140625"/>
  </cols>
  <sheetData>
    <row customHeight="1" ht="11.25">
      <c r="A1" s="352" t="s">
        <v>2248</v>
      </c>
      <c r="B1" s="352" t="s">
        <v>2249</v>
      </c>
      <c r="C1" s="352" t="s">
        <v>2250</v>
      </c>
      <c r="D1" s="352" t="s">
        <v>2251</v>
      </c>
      <c r="E1" s="352" t="s">
        <v>2252</v>
      </c>
      <c r="F1" s="352" t="s">
        <v>2253</v>
      </c>
      <c r="G1" s="352" t="s">
        <v>2254</v>
      </c>
      <c r="H1" s="352" t="s">
        <v>2255</v>
      </c>
      <c r="I1" s="352" t="s">
        <v>2256</v>
      </c>
    </row>
    <row customHeight="1" ht="11.25">
      <c r="A2" s="5610" t="s">
        <v>2257</v>
      </c>
      <c r="B2" s="5610" t="s">
        <v>16</v>
      </c>
      <c r="C2" s="5610" t="s">
        <v>2258</v>
      </c>
      <c r="D2" s="5610" t="s">
        <v>2259</v>
      </c>
      <c r="E2" s="5610" t="s">
        <v>2260</v>
      </c>
      <c r="F2" s="5610" t="s">
        <v>2261</v>
      </c>
      <c r="G2" s="5610" t="s">
        <v>28</v>
      </c>
      <c r="H2" s="5610" t="s">
        <v>28</v>
      </c>
      <c r="I2" s="5610" t="s">
        <v>815</v>
      </c>
    </row>
    <row customHeight="1" ht="11.25">
      <c r="A3" s="5610" t="s">
        <v>2257</v>
      </c>
      <c r="B3" s="5610" t="s">
        <v>16</v>
      </c>
      <c r="C3" s="5610" t="s">
        <v>2262</v>
      </c>
      <c r="D3" s="5610" t="s">
        <v>2263</v>
      </c>
      <c r="E3" s="5610" t="s">
        <v>2264</v>
      </c>
      <c r="F3" s="5610" t="s">
        <v>52</v>
      </c>
      <c r="G3" s="5610" t="s">
        <v>28</v>
      </c>
      <c r="H3" s="5610" t="s">
        <v>28</v>
      </c>
      <c r="I3" s="5610" t="s">
        <v>815</v>
      </c>
    </row>
    <row customHeight="1" ht="11.25">
      <c r="A4" s="5610" t="s">
        <v>2257</v>
      </c>
      <c r="B4" s="5610" t="s">
        <v>16</v>
      </c>
      <c r="C4" s="5610" t="s">
        <v>2265</v>
      </c>
      <c r="D4" s="5610" t="s">
        <v>2266</v>
      </c>
      <c r="E4" s="5610" t="s">
        <v>2267</v>
      </c>
      <c r="F4" s="5610" t="s">
        <v>2268</v>
      </c>
      <c r="G4" s="5610" t="s">
        <v>28</v>
      </c>
      <c r="H4" s="5610" t="s">
        <v>28</v>
      </c>
      <c r="I4" s="5610" t="s">
        <v>815</v>
      </c>
    </row>
    <row customHeight="1" ht="11.25">
      <c r="A5" s="5610" t="s">
        <v>2257</v>
      </c>
      <c r="B5" s="5610" t="s">
        <v>16</v>
      </c>
      <c r="C5" s="5610" t="s">
        <v>2269</v>
      </c>
      <c r="D5" s="5610" t="s">
        <v>2270</v>
      </c>
      <c r="E5" s="5610" t="s">
        <v>2271</v>
      </c>
      <c r="F5" s="5610" t="s">
        <v>2272</v>
      </c>
      <c r="G5" s="5610" t="s">
        <v>28</v>
      </c>
      <c r="H5" s="5610" t="s">
        <v>28</v>
      </c>
      <c r="I5" s="5610" t="s">
        <v>815</v>
      </c>
    </row>
    <row customHeight="1" ht="11.25">
      <c r="A6" s="5610" t="s">
        <v>2257</v>
      </c>
      <c r="B6" s="5610" t="s">
        <v>16</v>
      </c>
      <c r="C6" s="5610" t="s">
        <v>2273</v>
      </c>
      <c r="D6" s="5610" t="s">
        <v>2274</v>
      </c>
      <c r="E6" s="5610" t="s">
        <v>2275</v>
      </c>
      <c r="F6" s="5610" t="s">
        <v>2276</v>
      </c>
      <c r="G6" s="5610" t="s">
        <v>2277</v>
      </c>
      <c r="H6" s="5610" t="s">
        <v>28</v>
      </c>
      <c r="I6" s="5610" t="s">
        <v>815</v>
      </c>
    </row>
    <row customHeight="1" ht="11.25">
      <c r="A7" s="5610" t="s">
        <v>2257</v>
      </c>
      <c r="B7" s="5610" t="s">
        <v>16</v>
      </c>
      <c r="C7" s="5610" t="s">
        <v>2278</v>
      </c>
      <c r="D7" s="5610" t="s">
        <v>2279</v>
      </c>
      <c r="E7" s="5610" t="s">
        <v>2280</v>
      </c>
      <c r="F7" s="5610" t="s">
        <v>2281</v>
      </c>
      <c r="G7" s="5610" t="s">
        <v>28</v>
      </c>
      <c r="H7" s="5610" t="s">
        <v>28</v>
      </c>
      <c r="I7" s="5610" t="s">
        <v>815</v>
      </c>
    </row>
    <row customHeight="1" ht="11.25">
      <c r="A8" s="5610" t="s">
        <v>2257</v>
      </c>
      <c r="B8" s="5610" t="s">
        <v>16</v>
      </c>
      <c r="C8" s="5610" t="s">
        <v>2282</v>
      </c>
      <c r="D8" s="5610" t="s">
        <v>2283</v>
      </c>
      <c r="E8" s="5610" t="s">
        <v>2284</v>
      </c>
      <c r="F8" s="5610" t="s">
        <v>2285</v>
      </c>
      <c r="G8" s="5610" t="s">
        <v>2286</v>
      </c>
      <c r="H8" s="5610" t="s">
        <v>28</v>
      </c>
      <c r="I8" s="5610" t="s">
        <v>815</v>
      </c>
    </row>
    <row customHeight="1" ht="11.25">
      <c r="A9" s="5610" t="s">
        <v>2257</v>
      </c>
      <c r="B9" s="5610" t="s">
        <v>16</v>
      </c>
      <c r="C9" s="5610" t="s">
        <v>2287</v>
      </c>
      <c r="D9" s="5610" t="s">
        <v>2288</v>
      </c>
      <c r="E9" s="5610" t="s">
        <v>2289</v>
      </c>
      <c r="F9" s="5610" t="s">
        <v>2290</v>
      </c>
      <c r="G9" s="5610" t="s">
        <v>28</v>
      </c>
      <c r="H9" s="5610" t="s">
        <v>28</v>
      </c>
      <c r="I9" s="5610" t="s">
        <v>815</v>
      </c>
    </row>
    <row customHeight="1" ht="11.25">
      <c r="A10" s="5610" t="s">
        <v>2257</v>
      </c>
      <c r="B10" s="5610" t="s">
        <v>16</v>
      </c>
      <c r="C10" s="5610" t="s">
        <v>2291</v>
      </c>
      <c r="D10" s="5610" t="s">
        <v>2292</v>
      </c>
      <c r="E10" s="5610" t="s">
        <v>2293</v>
      </c>
      <c r="F10" s="5610" t="s">
        <v>2294</v>
      </c>
      <c r="G10" s="5610" t="s">
        <v>28</v>
      </c>
      <c r="H10" s="5610" t="s">
        <v>28</v>
      </c>
      <c r="I10" s="5610" t="s">
        <v>815</v>
      </c>
    </row>
    <row customHeight="1" ht="11.25">
      <c r="A11" s="5610" t="s">
        <v>2257</v>
      </c>
      <c r="B11" s="5610" t="s">
        <v>16</v>
      </c>
      <c r="C11" s="5610" t="s">
        <v>2295</v>
      </c>
      <c r="D11" s="5610" t="s">
        <v>2296</v>
      </c>
      <c r="E11" s="5610" t="s">
        <v>2297</v>
      </c>
      <c r="F11" s="5610" t="s">
        <v>2298</v>
      </c>
      <c r="G11" s="5610" t="s">
        <v>2299</v>
      </c>
      <c r="H11" s="5610" t="s">
        <v>28</v>
      </c>
      <c r="I11" s="5610" t="s">
        <v>815</v>
      </c>
    </row>
    <row customHeight="1" ht="11.25">
      <c r="A12" s="5610" t="s">
        <v>2257</v>
      </c>
      <c r="B12" s="5610" t="s">
        <v>16</v>
      </c>
      <c r="C12" s="5610" t="s">
        <v>2300</v>
      </c>
      <c r="D12" s="5610" t="s">
        <v>2301</v>
      </c>
      <c r="E12" s="5610" t="s">
        <v>2302</v>
      </c>
      <c r="F12" s="5610" t="s">
        <v>2303</v>
      </c>
      <c r="G12" s="5610" t="s">
        <v>28</v>
      </c>
      <c r="H12" s="5610" t="s">
        <v>28</v>
      </c>
      <c r="I12" s="5610" t="s">
        <v>815</v>
      </c>
    </row>
    <row customHeight="1" ht="11.25">
      <c r="A13" s="5610" t="s">
        <v>2257</v>
      </c>
      <c r="B13" s="5610" t="s">
        <v>16</v>
      </c>
      <c r="C13" s="5610" t="s">
        <v>2304</v>
      </c>
      <c r="D13" s="5610" t="s">
        <v>2305</v>
      </c>
      <c r="E13" s="5610" t="s">
        <v>2306</v>
      </c>
      <c r="F13" s="5610" t="s">
        <v>2307</v>
      </c>
      <c r="G13" s="5610" t="s">
        <v>28</v>
      </c>
      <c r="H13" s="5610" t="s">
        <v>28</v>
      </c>
      <c r="I13" s="5610" t="s">
        <v>815</v>
      </c>
    </row>
    <row customHeight="1" ht="11.25">
      <c r="A14" s="5610" t="s">
        <v>2257</v>
      </c>
      <c r="B14" s="5610" t="s">
        <v>16</v>
      </c>
      <c r="C14" s="5610" t="s">
        <v>2308</v>
      </c>
      <c r="D14" s="5610" t="s">
        <v>2309</v>
      </c>
      <c r="E14" s="5610" t="s">
        <v>2310</v>
      </c>
      <c r="F14" s="5610" t="s">
        <v>2311</v>
      </c>
      <c r="G14" s="5610" t="s">
        <v>28</v>
      </c>
      <c r="H14" s="5610" t="s">
        <v>28</v>
      </c>
      <c r="I14" s="5610" t="s">
        <v>815</v>
      </c>
    </row>
    <row customHeight="1" ht="11.25">
      <c r="A15" s="5610" t="s">
        <v>2257</v>
      </c>
      <c r="B15" s="5610" t="s">
        <v>16</v>
      </c>
      <c r="C15" s="5610" t="s">
        <v>2312</v>
      </c>
      <c r="D15" s="5610" t="s">
        <v>2313</v>
      </c>
      <c r="E15" s="5610" t="s">
        <v>2314</v>
      </c>
      <c r="F15" s="5610" t="s">
        <v>2315</v>
      </c>
      <c r="G15" s="5610" t="s">
        <v>28</v>
      </c>
      <c r="H15" s="5610" t="s">
        <v>28</v>
      </c>
      <c r="I15" s="5610" t="s">
        <v>815</v>
      </c>
    </row>
    <row customHeight="1" ht="11.25">
      <c r="A16" s="5610" t="s">
        <v>2257</v>
      </c>
      <c r="B16" s="5610" t="s">
        <v>16</v>
      </c>
      <c r="C16" s="5610" t="s">
        <v>2316</v>
      </c>
      <c r="D16" s="5610" t="s">
        <v>2317</v>
      </c>
      <c r="E16" s="5610" t="s">
        <v>2318</v>
      </c>
      <c r="F16" s="5610" t="s">
        <v>2319</v>
      </c>
      <c r="G16" s="5610" t="s">
        <v>2320</v>
      </c>
      <c r="H16" s="5610" t="s">
        <v>28</v>
      </c>
      <c r="I16" s="5610" t="s">
        <v>815</v>
      </c>
    </row>
    <row customHeight="1" ht="11.25">
      <c r="A17" s="5610" t="s">
        <v>2257</v>
      </c>
      <c r="B17" s="5610" t="s">
        <v>16</v>
      </c>
      <c r="C17" s="5610" t="s">
        <v>2321</v>
      </c>
      <c r="D17" s="5610" t="s">
        <v>2322</v>
      </c>
      <c r="E17" s="5610" t="s">
        <v>2323</v>
      </c>
      <c r="F17" s="5610" t="s">
        <v>2324</v>
      </c>
      <c r="G17" s="5610" t="s">
        <v>28</v>
      </c>
      <c r="H17" s="5610" t="s">
        <v>28</v>
      </c>
      <c r="I17" s="5610" t="s">
        <v>815</v>
      </c>
    </row>
    <row customHeight="1" ht="11.25">
      <c r="A18" s="5610" t="s">
        <v>2257</v>
      </c>
      <c r="B18" s="5610" t="s">
        <v>16</v>
      </c>
      <c r="C18" s="5610" t="s">
        <v>2325</v>
      </c>
      <c r="D18" s="5610" t="s">
        <v>2326</v>
      </c>
      <c r="E18" s="5610" t="s">
        <v>2327</v>
      </c>
      <c r="F18" s="5610" t="s">
        <v>2328</v>
      </c>
      <c r="G18" s="5610" t="s">
        <v>28</v>
      </c>
      <c r="H18" s="5610" t="s">
        <v>28</v>
      </c>
      <c r="I18" s="5610" t="s">
        <v>815</v>
      </c>
    </row>
    <row customHeight="1" ht="11.25">
      <c r="A19" s="5610" t="s">
        <v>2257</v>
      </c>
      <c r="B19" s="5610" t="s">
        <v>16</v>
      </c>
      <c r="C19" s="5610" t="s">
        <v>2329</v>
      </c>
      <c r="D19" s="5610" t="s">
        <v>2330</v>
      </c>
      <c r="E19" s="5610" t="s">
        <v>2318</v>
      </c>
      <c r="F19" s="5610" t="s">
        <v>2331</v>
      </c>
      <c r="G19" s="5610" t="s">
        <v>28</v>
      </c>
      <c r="H19" s="5610" t="s">
        <v>28</v>
      </c>
      <c r="I19" s="5610" t="s">
        <v>815</v>
      </c>
    </row>
    <row customHeight="1" ht="11.25">
      <c r="A20" s="5610" t="s">
        <v>2257</v>
      </c>
      <c r="B20" s="5610" t="s">
        <v>16</v>
      </c>
      <c r="C20" s="5610" t="s">
        <v>2332</v>
      </c>
      <c r="D20" s="5610" t="s">
        <v>2333</v>
      </c>
      <c r="E20" s="5610" t="s">
        <v>2334</v>
      </c>
      <c r="F20" s="5610" t="s">
        <v>2335</v>
      </c>
      <c r="G20" s="5610" t="s">
        <v>28</v>
      </c>
      <c r="H20" s="5610" t="s">
        <v>28</v>
      </c>
      <c r="I20" s="5610" t="s">
        <v>815</v>
      </c>
    </row>
    <row customHeight="1" ht="11.25">
      <c r="A21" s="5610" t="s">
        <v>2257</v>
      </c>
      <c r="B21" s="5610" t="s">
        <v>16</v>
      </c>
      <c r="C21" s="5610" t="s">
        <v>2336</v>
      </c>
      <c r="D21" s="5610" t="s">
        <v>2337</v>
      </c>
      <c r="E21" s="5610" t="s">
        <v>2338</v>
      </c>
      <c r="F21" s="5610" t="s">
        <v>2315</v>
      </c>
      <c r="G21" s="5610" t="s">
        <v>28</v>
      </c>
      <c r="H21" s="5610" t="s">
        <v>28</v>
      </c>
      <c r="I21" s="5610" t="s">
        <v>815</v>
      </c>
    </row>
    <row customHeight="1" ht="11.25">
      <c r="A22" s="5610" t="s">
        <v>2257</v>
      </c>
      <c r="B22" s="5610" t="s">
        <v>16</v>
      </c>
      <c r="C22" s="5610" t="s">
        <v>2339</v>
      </c>
      <c r="D22" s="5610" t="s">
        <v>2340</v>
      </c>
      <c r="E22" s="5610" t="s">
        <v>2341</v>
      </c>
      <c r="F22" s="5610" t="s">
        <v>52</v>
      </c>
      <c r="G22" s="5610" t="s">
        <v>2342</v>
      </c>
      <c r="H22" s="5610" t="s">
        <v>28</v>
      </c>
      <c r="I22" s="5610" t="s">
        <v>815</v>
      </c>
    </row>
    <row customHeight="1" ht="11.25">
      <c r="A23" s="5610" t="s">
        <v>2257</v>
      </c>
      <c r="B23" s="5610" t="s">
        <v>16</v>
      </c>
      <c r="C23" s="5610" t="s">
        <v>2343</v>
      </c>
      <c r="D23" s="5610" t="s">
        <v>2344</v>
      </c>
      <c r="E23" s="5610" t="s">
        <v>2345</v>
      </c>
      <c r="F23" s="5610" t="s">
        <v>2346</v>
      </c>
      <c r="G23" s="5610" t="s">
        <v>28</v>
      </c>
      <c r="H23" s="5610" t="s">
        <v>28</v>
      </c>
      <c r="I23" s="5610" t="s">
        <v>815</v>
      </c>
    </row>
    <row customHeight="1" ht="11.25">
      <c r="A24" s="5610" t="s">
        <v>2257</v>
      </c>
      <c r="B24" s="5610" t="s">
        <v>16</v>
      </c>
      <c r="C24" s="5610" t="s">
        <v>2347</v>
      </c>
      <c r="D24" s="5610" t="s">
        <v>2348</v>
      </c>
      <c r="E24" s="5610" t="s">
        <v>2349</v>
      </c>
      <c r="F24" s="5610" t="s">
        <v>2303</v>
      </c>
      <c r="G24" s="5610" t="s">
        <v>28</v>
      </c>
      <c r="H24" s="5610" t="s">
        <v>28</v>
      </c>
      <c r="I24" s="5610" t="s">
        <v>815</v>
      </c>
    </row>
    <row customHeight="1" ht="11.25">
      <c r="A25" s="5610" t="s">
        <v>2257</v>
      </c>
      <c r="B25" s="5610" t="s">
        <v>16</v>
      </c>
      <c r="C25" s="5610" t="s">
        <v>2350</v>
      </c>
      <c r="D25" s="5610" t="s">
        <v>2351</v>
      </c>
      <c r="E25" s="5610" t="s">
        <v>2352</v>
      </c>
      <c r="F25" s="5610" t="s">
        <v>2353</v>
      </c>
      <c r="G25" s="5610" t="s">
        <v>28</v>
      </c>
      <c r="H25" s="5610" t="s">
        <v>28</v>
      </c>
      <c r="I25" s="5610" t="s">
        <v>815</v>
      </c>
    </row>
    <row customHeight="1" ht="11.25">
      <c r="A26" s="5610" t="s">
        <v>2257</v>
      </c>
      <c r="B26" s="5610" t="s">
        <v>16</v>
      </c>
      <c r="C26" s="5610" t="s">
        <v>2354</v>
      </c>
      <c r="D26" s="5610" t="s">
        <v>2355</v>
      </c>
      <c r="E26" s="5610" t="s">
        <v>2356</v>
      </c>
      <c r="F26" s="5610" t="s">
        <v>2303</v>
      </c>
      <c r="G26" s="5610" t="s">
        <v>28</v>
      </c>
      <c r="H26" s="5610" t="s">
        <v>28</v>
      </c>
      <c r="I26" s="5610" t="s">
        <v>815</v>
      </c>
    </row>
    <row customHeight="1" ht="11.25">
      <c r="A27" s="5610" t="s">
        <v>2257</v>
      </c>
      <c r="B27" s="5610" t="s">
        <v>16</v>
      </c>
      <c r="C27" s="5610" t="s">
        <v>2357</v>
      </c>
      <c r="D27" s="5610" t="s">
        <v>2358</v>
      </c>
      <c r="E27" s="5610" t="s">
        <v>2359</v>
      </c>
      <c r="F27" s="5610" t="s">
        <v>2311</v>
      </c>
      <c r="G27" s="5610" t="s">
        <v>28</v>
      </c>
      <c r="H27" s="5610" t="s">
        <v>28</v>
      </c>
      <c r="I27" s="5610" t="s">
        <v>815</v>
      </c>
    </row>
    <row customHeight="1" ht="11.25">
      <c r="A28" s="5610" t="s">
        <v>2257</v>
      </c>
      <c r="B28" s="5610" t="s">
        <v>16</v>
      </c>
      <c r="C28" s="5610" t="s">
        <v>2360</v>
      </c>
      <c r="D28" s="5610" t="s">
        <v>2361</v>
      </c>
      <c r="E28" s="5610" t="s">
        <v>2362</v>
      </c>
      <c r="F28" s="5610" t="s">
        <v>2311</v>
      </c>
      <c r="G28" s="5610" t="s">
        <v>28</v>
      </c>
      <c r="H28" s="5610" t="s">
        <v>28</v>
      </c>
      <c r="I28" s="5610" t="s">
        <v>815</v>
      </c>
    </row>
    <row customHeight="1" ht="11.25">
      <c r="A29" s="5610" t="s">
        <v>2257</v>
      </c>
      <c r="B29" s="5610" t="s">
        <v>16</v>
      </c>
      <c r="C29" s="5610" t="s">
        <v>2363</v>
      </c>
      <c r="D29" s="5610" t="s">
        <v>2364</v>
      </c>
      <c r="E29" s="5610" t="s">
        <v>2365</v>
      </c>
      <c r="F29" s="5610" t="s">
        <v>2303</v>
      </c>
      <c r="G29" s="5610" t="s">
        <v>28</v>
      </c>
      <c r="H29" s="5610" t="s">
        <v>28</v>
      </c>
      <c r="I29" s="5610" t="s">
        <v>815</v>
      </c>
    </row>
    <row customHeight="1" ht="11.25">
      <c r="A30" s="5610" t="s">
        <v>2257</v>
      </c>
      <c r="B30" s="5610" t="s">
        <v>16</v>
      </c>
      <c r="C30" s="5610" t="s">
        <v>2366</v>
      </c>
      <c r="D30" s="5610" t="s">
        <v>2367</v>
      </c>
      <c r="E30" s="5610" t="s">
        <v>2368</v>
      </c>
      <c r="F30" s="5610" t="s">
        <v>2369</v>
      </c>
      <c r="G30" s="5610" t="s">
        <v>28</v>
      </c>
      <c r="H30" s="5610" t="s">
        <v>28</v>
      </c>
      <c r="I30" s="5610" t="s">
        <v>815</v>
      </c>
    </row>
    <row customHeight="1" ht="11.25">
      <c r="A31" s="5610" t="s">
        <v>2257</v>
      </c>
      <c r="B31" s="5610" t="s">
        <v>16</v>
      </c>
      <c r="C31" s="5610" t="s">
        <v>2370</v>
      </c>
      <c r="D31" s="5610" t="s">
        <v>2371</v>
      </c>
      <c r="E31" s="5610" t="s">
        <v>2372</v>
      </c>
      <c r="F31" s="5610" t="s">
        <v>52</v>
      </c>
      <c r="G31" s="5610" t="s">
        <v>28</v>
      </c>
      <c r="H31" s="5610" t="s">
        <v>28</v>
      </c>
      <c r="I31" s="5610" t="s">
        <v>815</v>
      </c>
    </row>
    <row customHeight="1" ht="11.25">
      <c r="A32" s="5610" t="s">
        <v>2257</v>
      </c>
      <c r="B32" s="5610" t="s">
        <v>16</v>
      </c>
      <c r="C32" s="5610" t="s">
        <v>2373</v>
      </c>
      <c r="D32" s="5610" t="s">
        <v>2374</v>
      </c>
      <c r="E32" s="5610" t="s">
        <v>2375</v>
      </c>
      <c r="F32" s="5610" t="s">
        <v>2376</v>
      </c>
      <c r="G32" s="5610" t="s">
        <v>28</v>
      </c>
      <c r="H32" s="5610" t="s">
        <v>28</v>
      </c>
      <c r="I32" s="5610" t="s">
        <v>815</v>
      </c>
    </row>
    <row customHeight="1" ht="11.25">
      <c r="A33" s="5610" t="s">
        <v>2257</v>
      </c>
      <c r="B33" s="5610" t="s">
        <v>16</v>
      </c>
      <c r="C33" s="5610" t="s">
        <v>2377</v>
      </c>
      <c r="D33" s="5610" t="s">
        <v>2378</v>
      </c>
      <c r="E33" s="5610" t="s">
        <v>2379</v>
      </c>
      <c r="F33" s="5610" t="s">
        <v>2380</v>
      </c>
      <c r="G33" s="5610" t="s">
        <v>28</v>
      </c>
      <c r="H33" s="5610" t="s">
        <v>28</v>
      </c>
      <c r="I33" s="5610" t="s">
        <v>815</v>
      </c>
    </row>
    <row customHeight="1" ht="11.25">
      <c r="A34" s="5610" t="s">
        <v>2257</v>
      </c>
      <c r="B34" s="5610" t="s">
        <v>16</v>
      </c>
      <c r="C34" s="5610" t="s">
        <v>2381</v>
      </c>
      <c r="D34" s="5610" t="s">
        <v>2382</v>
      </c>
      <c r="E34" s="5610" t="s">
        <v>2383</v>
      </c>
      <c r="F34" s="5610" t="s">
        <v>2384</v>
      </c>
      <c r="G34" s="5610" t="s">
        <v>28</v>
      </c>
      <c r="H34" s="5610" t="s">
        <v>28</v>
      </c>
      <c r="I34" s="5610" t="s">
        <v>815</v>
      </c>
    </row>
    <row customHeight="1" ht="11.25">
      <c r="A35" s="5610" t="s">
        <v>2257</v>
      </c>
      <c r="B35" s="5610" t="s">
        <v>16</v>
      </c>
      <c r="C35" s="5610" t="s">
        <v>2385</v>
      </c>
      <c r="D35" s="5610" t="s">
        <v>2386</v>
      </c>
      <c r="E35" s="5610" t="s">
        <v>2387</v>
      </c>
      <c r="F35" s="5610" t="s">
        <v>2388</v>
      </c>
      <c r="G35" s="5610" t="s">
        <v>28</v>
      </c>
      <c r="H35" s="5610" t="s">
        <v>28</v>
      </c>
      <c r="I35" s="5610" t="s">
        <v>815</v>
      </c>
    </row>
    <row customHeight="1" ht="11.25">
      <c r="A36" s="5610" t="s">
        <v>2257</v>
      </c>
      <c r="B36" s="5610" t="s">
        <v>16</v>
      </c>
      <c r="C36" s="5610" t="s">
        <v>2389</v>
      </c>
      <c r="D36" s="5610" t="s">
        <v>2390</v>
      </c>
      <c r="E36" s="5610" t="s">
        <v>2391</v>
      </c>
      <c r="F36" s="5610" t="s">
        <v>2392</v>
      </c>
      <c r="G36" s="5610" t="s">
        <v>28</v>
      </c>
      <c r="H36" s="5610" t="s">
        <v>28</v>
      </c>
      <c r="I36" s="5610" t="s">
        <v>815</v>
      </c>
    </row>
    <row customHeight="1" ht="11.25">
      <c r="A37" s="5610" t="s">
        <v>2257</v>
      </c>
      <c r="B37" s="5610" t="s">
        <v>16</v>
      </c>
      <c r="C37" s="5610" t="s">
        <v>2393</v>
      </c>
      <c r="D37" s="5610" t="s">
        <v>2394</v>
      </c>
      <c r="E37" s="5610" t="s">
        <v>2395</v>
      </c>
      <c r="F37" s="5610" t="s">
        <v>2396</v>
      </c>
      <c r="G37" s="5610" t="s">
        <v>28</v>
      </c>
      <c r="H37" s="5610" t="s">
        <v>28</v>
      </c>
      <c r="I37" s="5610" t="s">
        <v>815</v>
      </c>
    </row>
    <row customHeight="1" ht="11.25">
      <c r="A38" s="5610" t="s">
        <v>2257</v>
      </c>
      <c r="B38" s="5610" t="s">
        <v>16</v>
      </c>
      <c r="C38" s="5610" t="s">
        <v>2397</v>
      </c>
      <c r="D38" s="5610" t="s">
        <v>2398</v>
      </c>
      <c r="E38" s="5610" t="s">
        <v>2399</v>
      </c>
      <c r="F38" s="5610" t="s">
        <v>2315</v>
      </c>
      <c r="G38" s="5610" t="s">
        <v>2400</v>
      </c>
      <c r="H38" s="5610" t="s">
        <v>28</v>
      </c>
      <c r="I38" s="5610" t="s">
        <v>815</v>
      </c>
    </row>
    <row customHeight="1" ht="11.25">
      <c r="A39" s="5610" t="s">
        <v>2257</v>
      </c>
      <c r="B39" s="5610" t="s">
        <v>16</v>
      </c>
      <c r="C39" s="5610" t="s">
        <v>2401</v>
      </c>
      <c r="D39" s="5610" t="s">
        <v>2402</v>
      </c>
      <c r="E39" s="5610" t="s">
        <v>2403</v>
      </c>
      <c r="F39" s="5610" t="s">
        <v>2376</v>
      </c>
      <c r="G39" s="5610" t="s">
        <v>2404</v>
      </c>
      <c r="H39" s="5610" t="s">
        <v>28</v>
      </c>
      <c r="I39" s="5610" t="s">
        <v>815</v>
      </c>
    </row>
    <row customHeight="1" ht="11.25">
      <c r="A40" s="5610" t="s">
        <v>2257</v>
      </c>
      <c r="B40" s="5610" t="s">
        <v>16</v>
      </c>
      <c r="C40" s="5610" t="s">
        <v>2405</v>
      </c>
      <c r="D40" s="5610" t="s">
        <v>2406</v>
      </c>
      <c r="E40" s="5610" t="s">
        <v>2407</v>
      </c>
      <c r="F40" s="5610" t="s">
        <v>2369</v>
      </c>
      <c r="G40" s="5610" t="s">
        <v>2408</v>
      </c>
      <c r="H40" s="5610" t="s">
        <v>28</v>
      </c>
      <c r="I40" s="5610" t="s">
        <v>815</v>
      </c>
    </row>
    <row customHeight="1" ht="11.25">
      <c r="A41" s="5610" t="s">
        <v>2257</v>
      </c>
      <c r="B41" s="5610" t="s">
        <v>16</v>
      </c>
      <c r="C41" s="5610" t="s">
        <v>2409</v>
      </c>
      <c r="D41" s="5610" t="s">
        <v>2410</v>
      </c>
      <c r="E41" s="5610" t="s">
        <v>2411</v>
      </c>
      <c r="F41" s="5610" t="s">
        <v>2315</v>
      </c>
      <c r="G41" s="5610" t="s">
        <v>28</v>
      </c>
      <c r="H41" s="5610" t="s">
        <v>28</v>
      </c>
      <c r="I41" s="5610" t="s">
        <v>815</v>
      </c>
    </row>
    <row customHeight="1" ht="11.25">
      <c r="A42" s="5610" t="s">
        <v>2257</v>
      </c>
      <c r="B42" s="5610" t="s">
        <v>16</v>
      </c>
      <c r="C42" s="5610" t="s">
        <v>2412</v>
      </c>
      <c r="D42" s="5610" t="s">
        <v>2413</v>
      </c>
      <c r="E42" s="5610" t="s">
        <v>2414</v>
      </c>
      <c r="F42" s="5610" t="s">
        <v>2392</v>
      </c>
      <c r="G42" s="5610" t="s">
        <v>28</v>
      </c>
      <c r="H42" s="5610" t="s">
        <v>28</v>
      </c>
      <c r="I42" s="5610" t="s">
        <v>815</v>
      </c>
    </row>
    <row customHeight="1" ht="11.25">
      <c r="A43" s="5610" t="s">
        <v>2257</v>
      </c>
      <c r="B43" s="5610" t="s">
        <v>16</v>
      </c>
      <c r="C43" s="5610" t="s">
        <v>2415</v>
      </c>
      <c r="D43" s="5610" t="s">
        <v>2416</v>
      </c>
      <c r="E43" s="5610" t="s">
        <v>2417</v>
      </c>
      <c r="F43" s="5610" t="s">
        <v>2418</v>
      </c>
      <c r="G43" s="5610" t="s">
        <v>28</v>
      </c>
      <c r="H43" s="5610" t="s">
        <v>28</v>
      </c>
      <c r="I43" s="5610" t="s">
        <v>815</v>
      </c>
    </row>
    <row customHeight="1" ht="11.25">
      <c r="A44" s="5610" t="s">
        <v>2257</v>
      </c>
      <c r="B44" s="5610" t="s">
        <v>16</v>
      </c>
      <c r="C44" s="5610" t="s">
        <v>2419</v>
      </c>
      <c r="D44" s="5610" t="s">
        <v>2420</v>
      </c>
      <c r="E44" s="5610" t="s">
        <v>2421</v>
      </c>
      <c r="F44" s="5610" t="s">
        <v>2376</v>
      </c>
      <c r="G44" s="5610" t="s">
        <v>2422</v>
      </c>
      <c r="H44" s="5610" t="s">
        <v>28</v>
      </c>
      <c r="I44" s="5610" t="s">
        <v>815</v>
      </c>
    </row>
    <row customHeight="1" ht="11.25">
      <c r="A45" s="5610" t="s">
        <v>2257</v>
      </c>
      <c r="B45" s="5610" t="s">
        <v>16</v>
      </c>
      <c r="C45" s="5610" t="s">
        <v>2423</v>
      </c>
      <c r="D45" s="5610" t="s">
        <v>2424</v>
      </c>
      <c r="E45" s="5610" t="s">
        <v>2425</v>
      </c>
      <c r="F45" s="5610" t="s">
        <v>2426</v>
      </c>
      <c r="G45" s="5610" t="s">
        <v>28</v>
      </c>
      <c r="H45" s="5610" t="s">
        <v>28</v>
      </c>
      <c r="I45" s="5610" t="s">
        <v>815</v>
      </c>
    </row>
    <row customHeight="1" ht="11.25">
      <c r="A46" s="5610" t="s">
        <v>2257</v>
      </c>
      <c r="B46" s="5610" t="s">
        <v>16</v>
      </c>
      <c r="C46" s="5610" t="s">
        <v>2427</v>
      </c>
      <c r="D46" s="5610" t="s">
        <v>2428</v>
      </c>
      <c r="E46" s="5610" t="s">
        <v>2429</v>
      </c>
      <c r="F46" s="5610" t="s">
        <v>2418</v>
      </c>
      <c r="G46" s="5610" t="s">
        <v>2430</v>
      </c>
      <c r="H46" s="5610" t="s">
        <v>28</v>
      </c>
      <c r="I46" s="5610" t="s">
        <v>815</v>
      </c>
    </row>
    <row customHeight="1" ht="11.25">
      <c r="A47" s="5610" t="s">
        <v>2257</v>
      </c>
      <c r="B47" s="5610" t="s">
        <v>16</v>
      </c>
      <c r="C47" s="5610" t="s">
        <v>2431</v>
      </c>
      <c r="D47" s="5610" t="s">
        <v>2432</v>
      </c>
      <c r="E47" s="5610" t="s">
        <v>2433</v>
      </c>
      <c r="F47" s="5610" t="s">
        <v>2346</v>
      </c>
      <c r="G47" s="5610" t="s">
        <v>28</v>
      </c>
      <c r="H47" s="5610" t="s">
        <v>28</v>
      </c>
      <c r="I47" s="5610" t="s">
        <v>815</v>
      </c>
    </row>
    <row customHeight="1" ht="11.25">
      <c r="A48" s="5610" t="s">
        <v>2257</v>
      </c>
      <c r="B48" s="5610" t="s">
        <v>16</v>
      </c>
      <c r="C48" s="5610" t="s">
        <v>2434</v>
      </c>
      <c r="D48" s="5610" t="s">
        <v>2435</v>
      </c>
      <c r="E48" s="5610" t="s">
        <v>2436</v>
      </c>
      <c r="F48" s="5610" t="s">
        <v>2437</v>
      </c>
      <c r="G48" s="5610" t="s">
        <v>28</v>
      </c>
      <c r="H48" s="5610" t="s">
        <v>28</v>
      </c>
      <c r="I48" s="5610" t="s">
        <v>815</v>
      </c>
    </row>
    <row customHeight="1" ht="11.25">
      <c r="A49" s="5610" t="s">
        <v>2257</v>
      </c>
      <c r="B49" s="5610" t="s">
        <v>16</v>
      </c>
      <c r="C49" s="5610" t="s">
        <v>2438</v>
      </c>
      <c r="D49" s="5610" t="s">
        <v>2439</v>
      </c>
      <c r="E49" s="5610" t="s">
        <v>2440</v>
      </c>
      <c r="F49" s="5610" t="s">
        <v>2392</v>
      </c>
      <c r="G49" s="5610" t="s">
        <v>2441</v>
      </c>
      <c r="H49" s="5610" t="s">
        <v>28</v>
      </c>
      <c r="I49" s="5610" t="s">
        <v>815</v>
      </c>
    </row>
    <row customHeight="1" ht="11.25">
      <c r="A50" s="5610" t="s">
        <v>2257</v>
      </c>
      <c r="B50" s="5610" t="s">
        <v>16</v>
      </c>
      <c r="C50" s="5610" t="s">
        <v>2442</v>
      </c>
      <c r="D50" s="5610" t="s">
        <v>2443</v>
      </c>
      <c r="E50" s="5610" t="s">
        <v>2444</v>
      </c>
      <c r="F50" s="5610" t="s">
        <v>2315</v>
      </c>
      <c r="G50" s="5610" t="s">
        <v>28</v>
      </c>
      <c r="H50" s="5610" t="s">
        <v>28</v>
      </c>
      <c r="I50" s="5610" t="s">
        <v>815</v>
      </c>
    </row>
    <row customHeight="1" ht="11.25">
      <c r="A51" s="5610" t="s">
        <v>2257</v>
      </c>
      <c r="B51" s="5610" t="s">
        <v>16</v>
      </c>
      <c r="C51" s="5610" t="s">
        <v>2445</v>
      </c>
      <c r="D51" s="5610" t="s">
        <v>2446</v>
      </c>
      <c r="E51" s="5610" t="s">
        <v>2447</v>
      </c>
      <c r="F51" s="5610" t="s">
        <v>2448</v>
      </c>
      <c r="G51" s="5610" t="s">
        <v>28</v>
      </c>
      <c r="H51" s="5610" t="s">
        <v>28</v>
      </c>
      <c r="I51" s="5610" t="s">
        <v>815</v>
      </c>
    </row>
    <row customHeight="1" ht="11.25">
      <c r="A52" s="5610" t="s">
        <v>2257</v>
      </c>
      <c r="B52" s="5610" t="s">
        <v>16</v>
      </c>
      <c r="C52" s="5610" t="s">
        <v>2449</v>
      </c>
      <c r="D52" s="5610" t="s">
        <v>2450</v>
      </c>
      <c r="E52" s="5610" t="s">
        <v>2451</v>
      </c>
      <c r="F52" s="5610" t="s">
        <v>2452</v>
      </c>
      <c r="G52" s="5610" t="s">
        <v>28</v>
      </c>
      <c r="H52" s="5610" t="s">
        <v>28</v>
      </c>
      <c r="I52" s="5610" t="s">
        <v>815</v>
      </c>
    </row>
    <row customHeight="1" ht="11.25">
      <c r="A53" s="5610" t="s">
        <v>2257</v>
      </c>
      <c r="B53" s="5610" t="s">
        <v>16</v>
      </c>
      <c r="C53" s="5610" t="s">
        <v>2453</v>
      </c>
      <c r="D53" s="5610" t="s">
        <v>2454</v>
      </c>
      <c r="E53" s="5610" t="s">
        <v>2455</v>
      </c>
      <c r="F53" s="5610" t="s">
        <v>2315</v>
      </c>
      <c r="G53" s="5610" t="s">
        <v>28</v>
      </c>
      <c r="H53" s="5610" t="s">
        <v>28</v>
      </c>
      <c r="I53" s="5610" t="s">
        <v>815</v>
      </c>
    </row>
    <row customHeight="1" ht="11.25">
      <c r="A54" s="5610" t="s">
        <v>2257</v>
      </c>
      <c r="B54" s="5610" t="s">
        <v>16</v>
      </c>
      <c r="C54" s="5610" t="s">
        <v>2456</v>
      </c>
      <c r="D54" s="5610" t="s">
        <v>2457</v>
      </c>
      <c r="E54" s="5610" t="s">
        <v>2458</v>
      </c>
      <c r="F54" s="5610" t="s">
        <v>2315</v>
      </c>
      <c r="G54" s="5610" t="s">
        <v>28</v>
      </c>
      <c r="H54" s="5610" t="s">
        <v>28</v>
      </c>
      <c r="I54" s="5610" t="s">
        <v>815</v>
      </c>
    </row>
    <row customHeight="1" ht="11.25">
      <c r="A55" s="5610" t="s">
        <v>2257</v>
      </c>
      <c r="B55" s="5610" t="s">
        <v>16</v>
      </c>
      <c r="C55" s="5610" t="s">
        <v>2459</v>
      </c>
      <c r="D55" s="5610" t="s">
        <v>2460</v>
      </c>
      <c r="E55" s="5610" t="s">
        <v>2461</v>
      </c>
      <c r="F55" s="5610" t="s">
        <v>2298</v>
      </c>
      <c r="G55" s="5610" t="s">
        <v>28</v>
      </c>
      <c r="H55" s="5610" t="s">
        <v>28</v>
      </c>
      <c r="I55" s="5610" t="s">
        <v>815</v>
      </c>
    </row>
    <row customHeight="1" ht="11.25">
      <c r="A56" s="5610" t="s">
        <v>2257</v>
      </c>
      <c r="B56" s="5610" t="s">
        <v>16</v>
      </c>
      <c r="C56" s="5610" t="s">
        <v>2462</v>
      </c>
      <c r="D56" s="5610" t="s">
        <v>2463</v>
      </c>
      <c r="E56" s="5610" t="s">
        <v>2464</v>
      </c>
      <c r="F56" s="5610" t="s">
        <v>2465</v>
      </c>
      <c r="G56" s="5610" t="s">
        <v>28</v>
      </c>
      <c r="H56" s="5610" t="s">
        <v>28</v>
      </c>
      <c r="I56" s="5610" t="s">
        <v>815</v>
      </c>
    </row>
    <row customHeight="1" ht="11.25">
      <c r="A57" s="5610" t="s">
        <v>2257</v>
      </c>
      <c r="B57" s="5610" t="s">
        <v>16</v>
      </c>
      <c r="C57" s="5610" t="s">
        <v>2466</v>
      </c>
      <c r="D57" s="5610" t="s">
        <v>2467</v>
      </c>
      <c r="E57" s="5610" t="s">
        <v>2468</v>
      </c>
      <c r="F57" s="5610" t="s">
        <v>2469</v>
      </c>
      <c r="G57" s="5610" t="s">
        <v>28</v>
      </c>
      <c r="H57" s="5610" t="s">
        <v>28</v>
      </c>
      <c r="I57" s="5610" t="s">
        <v>815</v>
      </c>
    </row>
    <row customHeight="1" ht="11.25">
      <c r="A58" s="5610" t="s">
        <v>2257</v>
      </c>
      <c r="B58" s="5610" t="s">
        <v>16</v>
      </c>
      <c r="C58" s="5610" t="s">
        <v>2470</v>
      </c>
      <c r="D58" s="5610" t="s">
        <v>2471</v>
      </c>
      <c r="E58" s="5610" t="s">
        <v>2472</v>
      </c>
      <c r="F58" s="5610" t="s">
        <v>2473</v>
      </c>
      <c r="G58" s="5610" t="s">
        <v>28</v>
      </c>
      <c r="H58" s="5610" t="s">
        <v>28</v>
      </c>
      <c r="I58" s="5610" t="s">
        <v>815</v>
      </c>
    </row>
    <row customHeight="1" ht="11.25">
      <c r="A59" s="5610" t="s">
        <v>2257</v>
      </c>
      <c r="B59" s="5610" t="s">
        <v>16</v>
      </c>
      <c r="C59" s="5610" t="s">
        <v>2474</v>
      </c>
      <c r="D59" s="5610" t="s">
        <v>2475</v>
      </c>
      <c r="E59" s="5610" t="s">
        <v>2476</v>
      </c>
      <c r="F59" s="5610" t="s">
        <v>2477</v>
      </c>
      <c r="G59" s="5610" t="s">
        <v>28</v>
      </c>
      <c r="H59" s="5610" t="s">
        <v>28</v>
      </c>
      <c r="I59" s="5610" t="s">
        <v>815</v>
      </c>
    </row>
    <row customHeight="1" ht="11.25">
      <c r="A60" s="5610" t="s">
        <v>2257</v>
      </c>
      <c r="B60" s="5610" t="s">
        <v>16</v>
      </c>
      <c r="C60" s="5610" t="s">
        <v>2478</v>
      </c>
      <c r="D60" s="5610" t="s">
        <v>2479</v>
      </c>
      <c r="E60" s="5610" t="s">
        <v>2480</v>
      </c>
      <c r="F60" s="5610" t="s">
        <v>2481</v>
      </c>
      <c r="G60" s="5610" t="s">
        <v>28</v>
      </c>
      <c r="H60" s="5610" t="s">
        <v>28</v>
      </c>
      <c r="I60" s="5610" t="s">
        <v>815</v>
      </c>
    </row>
    <row customHeight="1" ht="11.25">
      <c r="A61" s="5610" t="s">
        <v>2257</v>
      </c>
      <c r="B61" s="5610" t="s">
        <v>16</v>
      </c>
      <c r="C61" s="5610" t="s">
        <v>2482</v>
      </c>
      <c r="D61" s="5610" t="s">
        <v>2483</v>
      </c>
      <c r="E61" s="5610" t="s">
        <v>2484</v>
      </c>
      <c r="F61" s="5610" t="s">
        <v>2485</v>
      </c>
      <c r="G61" s="5610" t="s">
        <v>28</v>
      </c>
      <c r="H61" s="5610" t="s">
        <v>28</v>
      </c>
      <c r="I61" s="5610" t="s">
        <v>815</v>
      </c>
    </row>
    <row customHeight="1" ht="11.25">
      <c r="A62" s="5610" t="s">
        <v>2257</v>
      </c>
      <c r="B62" s="5610" t="s">
        <v>16</v>
      </c>
      <c r="C62" s="5610" t="s">
        <v>2486</v>
      </c>
      <c r="D62" s="5610" t="s">
        <v>2487</v>
      </c>
      <c r="E62" s="5610" t="s">
        <v>2488</v>
      </c>
      <c r="F62" s="5610" t="s">
        <v>2489</v>
      </c>
      <c r="G62" s="5610" t="s">
        <v>28</v>
      </c>
      <c r="H62" s="5610" t="s">
        <v>28</v>
      </c>
      <c r="I62" s="5610" t="s">
        <v>815</v>
      </c>
    </row>
    <row customHeight="1" ht="11.25">
      <c r="A63" s="5610" t="s">
        <v>2257</v>
      </c>
      <c r="B63" s="5610" t="s">
        <v>16</v>
      </c>
      <c r="C63" s="5610" t="s">
        <v>2490</v>
      </c>
      <c r="D63" s="5610" t="s">
        <v>2491</v>
      </c>
      <c r="E63" s="5610" t="s">
        <v>2492</v>
      </c>
      <c r="F63" s="5610" t="s">
        <v>2465</v>
      </c>
      <c r="G63" s="5610" t="s">
        <v>28</v>
      </c>
      <c r="H63" s="5610" t="s">
        <v>28</v>
      </c>
      <c r="I63" s="5610" t="s">
        <v>815</v>
      </c>
    </row>
    <row customHeight="1" ht="11.25">
      <c r="A64" s="5610" t="s">
        <v>2257</v>
      </c>
      <c r="B64" s="5610" t="s">
        <v>16</v>
      </c>
      <c r="C64" s="5610" t="s">
        <v>13</v>
      </c>
      <c r="D64" s="5610" t="s">
        <v>47</v>
      </c>
      <c r="E64" s="5610" t="s">
        <v>50</v>
      </c>
      <c r="F64" s="5610" t="s">
        <v>52</v>
      </c>
      <c r="G64" s="5610" t="s">
        <v>28</v>
      </c>
      <c r="H64" s="5610" t="s">
        <v>28</v>
      </c>
      <c r="I64" s="5610" t="s">
        <v>815</v>
      </c>
    </row>
    <row customHeight="1" ht="11.25">
      <c r="A65" s="5610" t="s">
        <v>2257</v>
      </c>
      <c r="B65" s="5610" t="s">
        <v>16</v>
      </c>
      <c r="C65" s="5610" t="s">
        <v>2493</v>
      </c>
      <c r="D65" s="5610" t="s">
        <v>2494</v>
      </c>
      <c r="E65" s="5610" t="s">
        <v>2495</v>
      </c>
      <c r="F65" s="5610" t="s">
        <v>2496</v>
      </c>
      <c r="G65" s="5610" t="s">
        <v>28</v>
      </c>
      <c r="H65" s="5610" t="s">
        <v>28</v>
      </c>
      <c r="I65" s="5610" t="s">
        <v>815</v>
      </c>
    </row>
    <row customHeight="1" ht="11.25">
      <c r="A66" s="5610" t="s">
        <v>2257</v>
      </c>
      <c r="B66" s="5610" t="s">
        <v>16</v>
      </c>
      <c r="C66" s="5610" t="s">
        <v>2497</v>
      </c>
      <c r="D66" s="5610" t="s">
        <v>2498</v>
      </c>
      <c r="E66" s="5610" t="s">
        <v>2499</v>
      </c>
      <c r="F66" s="5610" t="s">
        <v>2500</v>
      </c>
      <c r="G66" s="5610" t="s">
        <v>28</v>
      </c>
      <c r="H66" s="5610" t="s">
        <v>28</v>
      </c>
      <c r="I66" s="5610" t="s">
        <v>815</v>
      </c>
    </row>
    <row customHeight="1" ht="11.25">
      <c r="A67" s="5610" t="s">
        <v>2257</v>
      </c>
      <c r="B67" s="5610" t="s">
        <v>16</v>
      </c>
      <c r="C67" s="5610" t="s">
        <v>2501</v>
      </c>
      <c r="D67" s="5610" t="s">
        <v>2502</v>
      </c>
      <c r="E67" s="5610" t="s">
        <v>2503</v>
      </c>
      <c r="F67" s="5610" t="s">
        <v>2346</v>
      </c>
      <c r="G67" s="5610" t="s">
        <v>28</v>
      </c>
      <c r="H67" s="5610" t="s">
        <v>28</v>
      </c>
      <c r="I67" s="5610" t="s">
        <v>815</v>
      </c>
    </row>
    <row customHeight="1" ht="11.25">
      <c r="A68" s="5610" t="s">
        <v>2257</v>
      </c>
      <c r="B68" s="5610" t="s">
        <v>16</v>
      </c>
      <c r="C68" s="5610" t="s">
        <v>2504</v>
      </c>
      <c r="D68" s="5610" t="s">
        <v>2505</v>
      </c>
      <c r="E68" s="5610" t="s">
        <v>2506</v>
      </c>
      <c r="F68" s="5610" t="s">
        <v>2507</v>
      </c>
      <c r="G68" s="5610" t="s">
        <v>28</v>
      </c>
      <c r="H68" s="5610" t="s">
        <v>28</v>
      </c>
      <c r="I68" s="5610" t="s">
        <v>815</v>
      </c>
    </row>
    <row customHeight="1" ht="11.25">
      <c r="A69" s="5610" t="s">
        <v>2257</v>
      </c>
      <c r="B69" s="5610" t="s">
        <v>16</v>
      </c>
      <c r="C69" s="5610" t="s">
        <v>2508</v>
      </c>
      <c r="D69" s="5610" t="s">
        <v>2509</v>
      </c>
      <c r="E69" s="5610" t="s">
        <v>2510</v>
      </c>
      <c r="F69" s="5610" t="s">
        <v>2511</v>
      </c>
      <c r="G69" s="5610" t="s">
        <v>28</v>
      </c>
      <c r="H69" s="5610" t="s">
        <v>28</v>
      </c>
      <c r="I69" s="5610" t="s">
        <v>815</v>
      </c>
    </row>
    <row customHeight="1" ht="11.25">
      <c r="A70" s="5610" t="s">
        <v>2257</v>
      </c>
      <c r="B70" s="5610" t="s">
        <v>16</v>
      </c>
      <c r="C70" s="5610" t="s">
        <v>2512</v>
      </c>
      <c r="D70" s="5610" t="s">
        <v>2513</v>
      </c>
      <c r="E70" s="5610" t="s">
        <v>2514</v>
      </c>
      <c r="F70" s="5610" t="s">
        <v>2515</v>
      </c>
      <c r="G70" s="5610" t="s">
        <v>28</v>
      </c>
      <c r="H70" s="5610" t="s">
        <v>28</v>
      </c>
      <c r="I70" s="5610" t="s">
        <v>815</v>
      </c>
    </row>
    <row customHeight="1" ht="11.25">
      <c r="A71" s="5610" t="s">
        <v>2257</v>
      </c>
      <c r="B71" s="5610" t="s">
        <v>16</v>
      </c>
      <c r="C71" s="5610" t="s">
        <v>2516</v>
      </c>
      <c r="D71" s="5610" t="s">
        <v>2517</v>
      </c>
      <c r="E71" s="5610" t="s">
        <v>2518</v>
      </c>
      <c r="F71" s="5610" t="s">
        <v>2519</v>
      </c>
      <c r="G71" s="5610" t="s">
        <v>28</v>
      </c>
      <c r="H71" s="5610" t="s">
        <v>28</v>
      </c>
      <c r="I71" s="5610" t="s">
        <v>815</v>
      </c>
    </row>
    <row customHeight="1" ht="11.25">
      <c r="A72" s="5610" t="s">
        <v>2257</v>
      </c>
      <c r="B72" s="5610" t="s">
        <v>16</v>
      </c>
      <c r="C72" s="5610" t="s">
        <v>2520</v>
      </c>
      <c r="D72" s="5610" t="s">
        <v>2521</v>
      </c>
      <c r="E72" s="5610" t="s">
        <v>2522</v>
      </c>
      <c r="F72" s="5610" t="s">
        <v>2523</v>
      </c>
      <c r="G72" s="5610" t="s">
        <v>28</v>
      </c>
      <c r="H72" s="5610" t="s">
        <v>28</v>
      </c>
      <c r="I72" s="5610" t="s">
        <v>815</v>
      </c>
    </row>
    <row customHeight="1" ht="11.25">
      <c r="A73" s="5610" t="s">
        <v>2257</v>
      </c>
      <c r="B73" s="5610" t="s">
        <v>16</v>
      </c>
      <c r="C73" s="5610" t="s">
        <v>2524</v>
      </c>
      <c r="D73" s="5610" t="s">
        <v>2525</v>
      </c>
      <c r="E73" s="5610" t="s">
        <v>2526</v>
      </c>
      <c r="F73" s="5610" t="s">
        <v>2527</v>
      </c>
      <c r="G73" s="5610" t="s">
        <v>28</v>
      </c>
      <c r="H73" s="5610" t="s">
        <v>28</v>
      </c>
      <c r="I73" s="5610" t="s">
        <v>815</v>
      </c>
    </row>
    <row customHeight="1" ht="11.25">
      <c r="A74" s="5610" t="s">
        <v>2257</v>
      </c>
      <c r="B74" s="5610" t="s">
        <v>16</v>
      </c>
      <c r="C74" s="5610" t="s">
        <v>2528</v>
      </c>
      <c r="D74" s="5610" t="s">
        <v>2529</v>
      </c>
      <c r="E74" s="5610" t="s">
        <v>2530</v>
      </c>
      <c r="F74" s="5610" t="s">
        <v>2346</v>
      </c>
      <c r="G74" s="5610" t="s">
        <v>28</v>
      </c>
      <c r="H74" s="5610" t="s">
        <v>28</v>
      </c>
      <c r="I74" s="5610" t="s">
        <v>815</v>
      </c>
    </row>
    <row customHeight="1" ht="11.25">
      <c r="A75" s="5610" t="s">
        <v>2257</v>
      </c>
      <c r="B75" s="5610" t="s">
        <v>16</v>
      </c>
      <c r="C75" s="5610" t="s">
        <v>2531</v>
      </c>
      <c r="D75" s="5610" t="s">
        <v>2532</v>
      </c>
      <c r="E75" s="5610" t="s">
        <v>2533</v>
      </c>
      <c r="F75" s="5610" t="s">
        <v>2261</v>
      </c>
      <c r="G75" s="5610" t="s">
        <v>28</v>
      </c>
      <c r="H75" s="5610" t="s">
        <v>28</v>
      </c>
      <c r="I75" s="5610" t="s">
        <v>815</v>
      </c>
    </row>
    <row customHeight="1" ht="11.25">
      <c r="A76" s="5610" t="s">
        <v>2257</v>
      </c>
      <c r="B76" s="5610" t="s">
        <v>16</v>
      </c>
      <c r="C76" s="5610" t="s">
        <v>2534</v>
      </c>
      <c r="D76" s="5610" t="s">
        <v>2535</v>
      </c>
      <c r="E76" s="5610" t="s">
        <v>2536</v>
      </c>
      <c r="F76" s="5610" t="s">
        <v>2452</v>
      </c>
      <c r="G76" s="5610" t="s">
        <v>28</v>
      </c>
      <c r="H76" s="5610" t="s">
        <v>28</v>
      </c>
      <c r="I76" s="5610" t="s">
        <v>815</v>
      </c>
    </row>
    <row customHeight="1" ht="11.25">
      <c r="A77" s="5610" t="s">
        <v>2257</v>
      </c>
      <c r="B77" s="5610" t="s">
        <v>16</v>
      </c>
      <c r="C77" s="5610" t="s">
        <v>2537</v>
      </c>
      <c r="D77" s="5610" t="s">
        <v>2538</v>
      </c>
      <c r="E77" s="5610" t="s">
        <v>2539</v>
      </c>
      <c r="F77" s="5610" t="s">
        <v>2315</v>
      </c>
      <c r="G77" s="5610" t="s">
        <v>28</v>
      </c>
      <c r="H77" s="5610" t="s">
        <v>28</v>
      </c>
      <c r="I77" s="5610" t="s">
        <v>815</v>
      </c>
    </row>
    <row customHeight="1" ht="11.25">
      <c r="A78" s="5610" t="s">
        <v>2257</v>
      </c>
      <c r="B78" s="5610" t="s">
        <v>16</v>
      </c>
      <c r="C78" s="5610" t="s">
        <v>2540</v>
      </c>
      <c r="D78" s="5610" t="s">
        <v>2541</v>
      </c>
      <c r="E78" s="5610" t="s">
        <v>2542</v>
      </c>
      <c r="F78" s="5610" t="s">
        <v>2311</v>
      </c>
      <c r="G78" s="5610" t="s">
        <v>28</v>
      </c>
      <c r="H78" s="5610" t="s">
        <v>28</v>
      </c>
      <c r="I78" s="5610" t="s">
        <v>815</v>
      </c>
    </row>
    <row customHeight="1" ht="11.25">
      <c r="A79" s="5610" t="s">
        <v>2257</v>
      </c>
      <c r="B79" s="5610" t="s">
        <v>16</v>
      </c>
      <c r="C79" s="5610" t="s">
        <v>2543</v>
      </c>
      <c r="D79" s="5610" t="s">
        <v>2544</v>
      </c>
      <c r="E79" s="5610" t="s">
        <v>2545</v>
      </c>
      <c r="F79" s="5610" t="s">
        <v>2546</v>
      </c>
      <c r="G79" s="5610" t="s">
        <v>2547</v>
      </c>
      <c r="H79" s="5610" t="s">
        <v>28</v>
      </c>
      <c r="I79" s="5610" t="s">
        <v>815</v>
      </c>
    </row>
    <row customHeight="1" ht="11.25">
      <c r="A80" s="5610" t="s">
        <v>2257</v>
      </c>
      <c r="B80" s="5610" t="s">
        <v>16</v>
      </c>
      <c r="C80" s="5610" t="s">
        <v>2548</v>
      </c>
      <c r="D80" s="5610" t="s">
        <v>2549</v>
      </c>
      <c r="E80" s="5610" t="s">
        <v>2550</v>
      </c>
      <c r="F80" s="5610" t="s">
        <v>2298</v>
      </c>
      <c r="G80" s="5610" t="s">
        <v>28</v>
      </c>
      <c r="H80" s="5610" t="s">
        <v>28</v>
      </c>
      <c r="I80" s="5610" t="s">
        <v>815</v>
      </c>
    </row>
    <row customHeight="1" ht="11.25">
      <c r="A81" s="5610" t="s">
        <v>2257</v>
      </c>
      <c r="B81" s="5610" t="s">
        <v>16</v>
      </c>
      <c r="C81" s="5610" t="s">
        <v>2551</v>
      </c>
      <c r="D81" s="5610" t="s">
        <v>2552</v>
      </c>
      <c r="E81" s="5610" t="s">
        <v>2553</v>
      </c>
      <c r="F81" s="5610" t="s">
        <v>52</v>
      </c>
      <c r="G81" s="5610" t="s">
        <v>28</v>
      </c>
      <c r="H81" s="5610" t="s">
        <v>28</v>
      </c>
      <c r="I81" s="5610" t="s">
        <v>815</v>
      </c>
    </row>
    <row customHeight="1" ht="11.25">
      <c r="A82" s="5610" t="s">
        <v>2257</v>
      </c>
      <c r="B82" s="5610" t="s">
        <v>16</v>
      </c>
      <c r="C82" s="5610" t="s">
        <v>2554</v>
      </c>
      <c r="D82" s="5610" t="s">
        <v>2555</v>
      </c>
      <c r="E82" s="5610" t="s">
        <v>2556</v>
      </c>
      <c r="F82" s="5610" t="s">
        <v>2557</v>
      </c>
      <c r="G82" s="5610" t="s">
        <v>28</v>
      </c>
      <c r="H82" s="5610" t="s">
        <v>28</v>
      </c>
      <c r="I82" s="5610" t="s">
        <v>815</v>
      </c>
    </row>
    <row customHeight="1" ht="11.25">
      <c r="A83" s="5610" t="s">
        <v>2257</v>
      </c>
      <c r="B83" s="5610" t="s">
        <v>16</v>
      </c>
      <c r="C83" s="5610" t="s">
        <v>2558</v>
      </c>
      <c r="D83" s="5610" t="s">
        <v>2559</v>
      </c>
      <c r="E83" s="5610" t="s">
        <v>2560</v>
      </c>
      <c r="F83" s="5610" t="s">
        <v>2561</v>
      </c>
      <c r="G83" s="5610" t="s">
        <v>28</v>
      </c>
      <c r="H83" s="5610" t="s">
        <v>28</v>
      </c>
      <c r="I83" s="5610" t="s">
        <v>815</v>
      </c>
    </row>
    <row customHeight="1" ht="11.25">
      <c r="A84" s="5610" t="s">
        <v>2257</v>
      </c>
      <c r="B84" s="5610" t="s">
        <v>16</v>
      </c>
      <c r="C84" s="5610" t="s">
        <v>2562</v>
      </c>
      <c r="D84" s="5610" t="s">
        <v>2563</v>
      </c>
      <c r="E84" s="5610" t="s">
        <v>2564</v>
      </c>
      <c r="F84" s="5610" t="s">
        <v>2557</v>
      </c>
      <c r="G84" s="5610" t="s">
        <v>2565</v>
      </c>
      <c r="H84" s="5610" t="s">
        <v>28</v>
      </c>
      <c r="I84" s="5610" t="s">
        <v>815</v>
      </c>
    </row>
    <row customHeight="1" ht="11.25">
      <c r="A85" s="5610" t="s">
        <v>2257</v>
      </c>
      <c r="B85" s="5610" t="s">
        <v>16</v>
      </c>
      <c r="C85" s="5610" t="s">
        <v>2566</v>
      </c>
      <c r="D85" s="5610" t="s">
        <v>2567</v>
      </c>
      <c r="E85" s="5610" t="s">
        <v>2568</v>
      </c>
      <c r="F85" s="5610" t="s">
        <v>2519</v>
      </c>
      <c r="G85" s="5610" t="s">
        <v>2569</v>
      </c>
      <c r="H85" s="5610" t="s">
        <v>28</v>
      </c>
      <c r="I85" s="5610" t="s">
        <v>815</v>
      </c>
    </row>
    <row customHeight="1" ht="11.25">
      <c r="A86" s="5610" t="s">
        <v>2257</v>
      </c>
      <c r="B86" s="5610" t="s">
        <v>16</v>
      </c>
      <c r="C86" s="5610" t="s">
        <v>2570</v>
      </c>
      <c r="D86" s="5610" t="s">
        <v>2571</v>
      </c>
      <c r="E86" s="5610" t="s">
        <v>2572</v>
      </c>
      <c r="F86" s="5610" t="s">
        <v>2261</v>
      </c>
      <c r="G86" s="5610" t="s">
        <v>2573</v>
      </c>
      <c r="H86" s="5610" t="s">
        <v>28</v>
      </c>
      <c r="I86" s="5610" t="s">
        <v>815</v>
      </c>
    </row>
    <row customHeight="1" ht="11.25">
      <c r="A87" s="5610" t="s">
        <v>2257</v>
      </c>
      <c r="B87" s="5610" t="s">
        <v>16</v>
      </c>
      <c r="C87" s="5610" t="s">
        <v>2574</v>
      </c>
      <c r="D87" s="5610" t="s">
        <v>2575</v>
      </c>
      <c r="E87" s="5610" t="s">
        <v>2576</v>
      </c>
      <c r="F87" s="5610" t="s">
        <v>2369</v>
      </c>
      <c r="G87" s="5610" t="s">
        <v>2577</v>
      </c>
      <c r="H87" s="5610" t="s">
        <v>28</v>
      </c>
      <c r="I87" s="5610" t="s">
        <v>815</v>
      </c>
    </row>
    <row customHeight="1" ht="11.25">
      <c r="A88" s="5610" t="s">
        <v>2257</v>
      </c>
      <c r="B88" s="5610" t="s">
        <v>16</v>
      </c>
      <c r="C88" s="5610" t="s">
        <v>2578</v>
      </c>
      <c r="D88" s="5610" t="s">
        <v>2579</v>
      </c>
      <c r="E88" s="5610" t="s">
        <v>2580</v>
      </c>
      <c r="F88" s="5610" t="s">
        <v>2369</v>
      </c>
      <c r="G88" s="5610" t="s">
        <v>2581</v>
      </c>
      <c r="H88" s="5610" t="s">
        <v>28</v>
      </c>
      <c r="I88" s="5610" t="s">
        <v>815</v>
      </c>
    </row>
    <row customHeight="1" ht="11.25">
      <c r="A89" s="5610" t="s">
        <v>2257</v>
      </c>
      <c r="B89" s="5610" t="s">
        <v>16</v>
      </c>
      <c r="C89" s="5610" t="s">
        <v>2582</v>
      </c>
      <c r="D89" s="5610" t="s">
        <v>2583</v>
      </c>
      <c r="E89" s="5610" t="s">
        <v>2584</v>
      </c>
      <c r="F89" s="5610" t="s">
        <v>2585</v>
      </c>
      <c r="G89" s="5610" t="s">
        <v>28</v>
      </c>
      <c r="H89" s="5610" t="s">
        <v>28</v>
      </c>
      <c r="I89" s="5610" t="s">
        <v>815</v>
      </c>
    </row>
    <row customHeight="1" ht="11.25">
      <c r="A90" s="5610" t="s">
        <v>2257</v>
      </c>
      <c r="B90" s="5610" t="s">
        <v>16</v>
      </c>
      <c r="C90" s="5610" t="s">
        <v>2586</v>
      </c>
      <c r="D90" s="5610" t="s">
        <v>2587</v>
      </c>
      <c r="E90" s="5610" t="s">
        <v>2588</v>
      </c>
      <c r="F90" s="5610" t="s">
        <v>2527</v>
      </c>
      <c r="G90" s="5610" t="s">
        <v>2299</v>
      </c>
      <c r="H90" s="5610" t="s">
        <v>28</v>
      </c>
      <c r="I90" s="5610" t="s">
        <v>815</v>
      </c>
    </row>
    <row customHeight="1" ht="11.25">
      <c r="A91" s="5610" t="s">
        <v>2257</v>
      </c>
      <c r="B91" s="5610" t="s">
        <v>16</v>
      </c>
      <c r="C91" s="5610" t="s">
        <v>2589</v>
      </c>
      <c r="D91" s="5610" t="s">
        <v>2590</v>
      </c>
      <c r="E91" s="5610" t="s">
        <v>2591</v>
      </c>
      <c r="F91" s="5610" t="s">
        <v>2307</v>
      </c>
      <c r="G91" s="5610" t="s">
        <v>28</v>
      </c>
      <c r="H91" s="5610" t="s">
        <v>28</v>
      </c>
      <c r="I91" s="5610" t="s">
        <v>815</v>
      </c>
    </row>
    <row customHeight="1" ht="11.25">
      <c r="A92" s="5610" t="s">
        <v>2257</v>
      </c>
      <c r="B92" s="5610" t="s">
        <v>16</v>
      </c>
      <c r="C92" s="5610" t="s">
        <v>2592</v>
      </c>
      <c r="D92" s="5610" t="s">
        <v>2593</v>
      </c>
      <c r="E92" s="5610" t="s">
        <v>2594</v>
      </c>
      <c r="F92" s="5610" t="s">
        <v>2465</v>
      </c>
      <c r="G92" s="5610" t="s">
        <v>28</v>
      </c>
      <c r="H92" s="5610" t="s">
        <v>28</v>
      </c>
      <c r="I92" s="5610" t="s">
        <v>815</v>
      </c>
    </row>
    <row customHeight="1" ht="11.25">
      <c r="A93" s="5610" t="s">
        <v>2257</v>
      </c>
      <c r="B93" s="5610" t="s">
        <v>16</v>
      </c>
      <c r="C93" s="5610" t="s">
        <v>2595</v>
      </c>
      <c r="D93" s="5610" t="s">
        <v>2596</v>
      </c>
      <c r="E93" s="5610" t="s">
        <v>2597</v>
      </c>
      <c r="F93" s="5610" t="s">
        <v>2561</v>
      </c>
      <c r="G93" s="5610" t="s">
        <v>2598</v>
      </c>
      <c r="H93" s="5610" t="s">
        <v>28</v>
      </c>
      <c r="I93" s="5610" t="s">
        <v>815</v>
      </c>
    </row>
    <row customHeight="1" ht="11.25">
      <c r="A94" s="5610" t="s">
        <v>2257</v>
      </c>
      <c r="B94" s="5610" t="s">
        <v>16</v>
      </c>
      <c r="C94" s="5610" t="s">
        <v>2599</v>
      </c>
      <c r="D94" s="5610" t="s">
        <v>2596</v>
      </c>
      <c r="E94" s="5610" t="s">
        <v>2600</v>
      </c>
      <c r="F94" s="5610" t="s">
        <v>2303</v>
      </c>
      <c r="G94" s="5610" t="s">
        <v>28</v>
      </c>
      <c r="H94" s="5610" t="s">
        <v>28</v>
      </c>
      <c r="I94" s="5610" t="s">
        <v>815</v>
      </c>
    </row>
    <row customHeight="1" ht="11.25">
      <c r="A95" s="5610" t="s">
        <v>2257</v>
      </c>
      <c r="B95" s="5610" t="s">
        <v>16</v>
      </c>
      <c r="C95" s="5610" t="s">
        <v>2601</v>
      </c>
      <c r="D95" s="5610" t="s">
        <v>2602</v>
      </c>
      <c r="E95" s="5610" t="s">
        <v>2603</v>
      </c>
      <c r="F95" s="5610" t="s">
        <v>2604</v>
      </c>
      <c r="G95" s="5610" t="s">
        <v>28</v>
      </c>
      <c r="H95" s="5610" t="s">
        <v>28</v>
      </c>
      <c r="I95" s="5610" t="s">
        <v>815</v>
      </c>
    </row>
    <row customHeight="1" ht="11.25">
      <c r="A96" s="5610" t="s">
        <v>2257</v>
      </c>
      <c r="B96" s="5610" t="s">
        <v>16</v>
      </c>
      <c r="C96" s="5610" t="s">
        <v>2605</v>
      </c>
      <c r="D96" s="5610" t="s">
        <v>2606</v>
      </c>
      <c r="E96" s="5610" t="s">
        <v>2607</v>
      </c>
      <c r="F96" s="5610" t="s">
        <v>2315</v>
      </c>
      <c r="G96" s="5610" t="s">
        <v>28</v>
      </c>
      <c r="H96" s="5610" t="s">
        <v>28</v>
      </c>
      <c r="I96" s="5610" t="s">
        <v>815</v>
      </c>
    </row>
    <row customHeight="1" ht="11.25">
      <c r="A97" s="5610" t="s">
        <v>2257</v>
      </c>
      <c r="B97" s="5610" t="s">
        <v>16</v>
      </c>
      <c r="C97" s="5610" t="s">
        <v>2608</v>
      </c>
      <c r="D97" s="5610" t="s">
        <v>2609</v>
      </c>
      <c r="E97" s="5610" t="s">
        <v>2610</v>
      </c>
      <c r="F97" s="5610" t="s">
        <v>2611</v>
      </c>
      <c r="G97" s="5610" t="s">
        <v>28</v>
      </c>
      <c r="H97" s="5610" t="s">
        <v>28</v>
      </c>
      <c r="I97" s="5610" t="s">
        <v>815</v>
      </c>
    </row>
    <row customHeight="1" ht="11.25">
      <c r="A98" s="5610" t="s">
        <v>2257</v>
      </c>
      <c r="B98" s="5610" t="s">
        <v>16</v>
      </c>
      <c r="C98" s="5610" t="s">
        <v>2612</v>
      </c>
      <c r="D98" s="5610" t="s">
        <v>2613</v>
      </c>
      <c r="E98" s="5610" t="s">
        <v>2614</v>
      </c>
      <c r="F98" s="5610" t="s">
        <v>2615</v>
      </c>
      <c r="G98" s="5610" t="s">
        <v>2616</v>
      </c>
      <c r="H98" s="5610" t="s">
        <v>28</v>
      </c>
      <c r="I98" s="5610" t="s">
        <v>815</v>
      </c>
    </row>
    <row customHeight="1" ht="11.25">
      <c r="A99" s="5610" t="s">
        <v>2257</v>
      </c>
      <c r="B99" s="5610" t="s">
        <v>16</v>
      </c>
      <c r="C99" s="5610" t="s">
        <v>2617</v>
      </c>
      <c r="D99" s="5610" t="s">
        <v>2618</v>
      </c>
      <c r="E99" s="5610" t="s">
        <v>2619</v>
      </c>
      <c r="F99" s="5610" t="s">
        <v>2261</v>
      </c>
      <c r="G99" s="5610" t="s">
        <v>28</v>
      </c>
      <c r="H99" s="5610" t="s">
        <v>28</v>
      </c>
      <c r="I99" s="5610" t="s">
        <v>815</v>
      </c>
    </row>
    <row customHeight="1" ht="11.25">
      <c r="A100" s="5610" t="s">
        <v>2257</v>
      </c>
      <c r="B100" s="5610" t="s">
        <v>16</v>
      </c>
      <c r="C100" s="5610" t="s">
        <v>2620</v>
      </c>
      <c r="D100" s="5610" t="s">
        <v>2621</v>
      </c>
      <c r="E100" s="5610" t="s">
        <v>2622</v>
      </c>
      <c r="F100" s="5610" t="s">
        <v>2324</v>
      </c>
      <c r="G100" s="5610" t="s">
        <v>2623</v>
      </c>
      <c r="H100" s="5610" t="s">
        <v>28</v>
      </c>
      <c r="I100" s="5610" t="s">
        <v>815</v>
      </c>
    </row>
    <row customHeight="1" ht="11.25">
      <c r="A101" s="5610" t="s">
        <v>2257</v>
      </c>
      <c r="B101" s="5610" t="s">
        <v>16</v>
      </c>
      <c r="C101" s="5610" t="s">
        <v>2624</v>
      </c>
      <c r="D101" s="5610" t="s">
        <v>2625</v>
      </c>
      <c r="E101" s="5610" t="s">
        <v>2626</v>
      </c>
      <c r="F101" s="5610" t="s">
        <v>2268</v>
      </c>
      <c r="G101" s="5610" t="s">
        <v>2627</v>
      </c>
      <c r="H101" s="5610" t="s">
        <v>28</v>
      </c>
      <c r="I101" s="5610" t="s">
        <v>815</v>
      </c>
    </row>
    <row customHeight="1" ht="11.25">
      <c r="A102" s="5610" t="s">
        <v>2257</v>
      </c>
      <c r="B102" s="5610" t="s">
        <v>16</v>
      </c>
      <c r="C102" s="5610" t="s">
        <v>2628</v>
      </c>
      <c r="D102" s="5610" t="s">
        <v>2629</v>
      </c>
      <c r="E102" s="5610" t="s">
        <v>2630</v>
      </c>
      <c r="F102" s="5610" t="s">
        <v>2561</v>
      </c>
      <c r="G102" s="5610" t="s">
        <v>28</v>
      </c>
      <c r="H102" s="5610" t="s">
        <v>28</v>
      </c>
      <c r="I102" s="5610" t="s">
        <v>815</v>
      </c>
    </row>
    <row customHeight="1" ht="11.25">
      <c r="A103" s="5610" t="s">
        <v>2257</v>
      </c>
      <c r="B103" s="5610" t="s">
        <v>16</v>
      </c>
      <c r="C103" s="5610" t="s">
        <v>2631</v>
      </c>
      <c r="D103" s="5610" t="s">
        <v>2632</v>
      </c>
      <c r="E103" s="5610" t="s">
        <v>2633</v>
      </c>
      <c r="F103" s="5610" t="s">
        <v>2527</v>
      </c>
      <c r="G103" s="5610" t="s">
        <v>28</v>
      </c>
      <c r="H103" s="5610" t="s">
        <v>28</v>
      </c>
      <c r="I103" s="5610" t="s">
        <v>815</v>
      </c>
    </row>
    <row customHeight="1" ht="11.25">
      <c r="A104" s="5610" t="s">
        <v>2257</v>
      </c>
      <c r="B104" s="5610" t="s">
        <v>16</v>
      </c>
      <c r="C104" s="5610" t="s">
        <v>2634</v>
      </c>
      <c r="D104" s="5610" t="s">
        <v>2635</v>
      </c>
      <c r="E104" s="5610" t="s">
        <v>2636</v>
      </c>
      <c r="F104" s="5610" t="s">
        <v>2637</v>
      </c>
      <c r="G104" s="5610" t="s">
        <v>28</v>
      </c>
      <c r="H104" s="5610" t="s">
        <v>28</v>
      </c>
      <c r="I104" s="5610" t="s">
        <v>815</v>
      </c>
    </row>
    <row customHeight="1" ht="11.25">
      <c r="A105" s="5610" t="s">
        <v>2257</v>
      </c>
      <c r="B105" s="5610" t="s">
        <v>16</v>
      </c>
      <c r="C105" s="5610" t="s">
        <v>2638</v>
      </c>
      <c r="D105" s="5610" t="s">
        <v>2639</v>
      </c>
      <c r="E105" s="5610" t="s">
        <v>2636</v>
      </c>
      <c r="F105" s="5610" t="s">
        <v>2437</v>
      </c>
      <c r="G105" s="5610" t="s">
        <v>28</v>
      </c>
      <c r="H105" s="5610" t="s">
        <v>28</v>
      </c>
      <c r="I105" s="5610" t="s">
        <v>815</v>
      </c>
    </row>
    <row customHeight="1" ht="11.25">
      <c r="A106" s="5610" t="s">
        <v>2257</v>
      </c>
      <c r="B106" s="5610" t="s">
        <v>16</v>
      </c>
      <c r="C106" s="5610" t="s">
        <v>2640</v>
      </c>
      <c r="D106" s="5610" t="s">
        <v>2641</v>
      </c>
      <c r="E106" s="5610" t="s">
        <v>2636</v>
      </c>
      <c r="F106" s="5610" t="s">
        <v>2642</v>
      </c>
      <c r="G106" s="5610" t="s">
        <v>28</v>
      </c>
      <c r="H106" s="5610" t="s">
        <v>28</v>
      </c>
      <c r="I106" s="5610" t="s">
        <v>815</v>
      </c>
    </row>
    <row customHeight="1" ht="11.25">
      <c r="A107" s="5610" t="s">
        <v>2257</v>
      </c>
      <c r="B107" s="5610" t="s">
        <v>16</v>
      </c>
      <c r="C107" s="5610" t="s">
        <v>2643</v>
      </c>
      <c r="D107" s="5610" t="s">
        <v>2644</v>
      </c>
      <c r="E107" s="5610" t="s">
        <v>2636</v>
      </c>
      <c r="F107" s="5610" t="s">
        <v>2645</v>
      </c>
      <c r="G107" s="5610" t="s">
        <v>28</v>
      </c>
      <c r="H107" s="5610" t="s">
        <v>28</v>
      </c>
      <c r="I107" s="5610" t="s">
        <v>815</v>
      </c>
    </row>
    <row customHeight="1" ht="11.25">
      <c r="A108" s="5610" t="s">
        <v>2257</v>
      </c>
      <c r="B108" s="5610" t="s">
        <v>16</v>
      </c>
      <c r="C108" s="5610" t="s">
        <v>2646</v>
      </c>
      <c r="D108" s="5610" t="s">
        <v>2647</v>
      </c>
      <c r="E108" s="5610" t="s">
        <v>2636</v>
      </c>
      <c r="F108" s="5610" t="s">
        <v>2648</v>
      </c>
      <c r="G108" s="5610" t="s">
        <v>28</v>
      </c>
      <c r="H108" s="5610" t="s">
        <v>28</v>
      </c>
      <c r="I108" s="5610" t="s">
        <v>815</v>
      </c>
    </row>
    <row customHeight="1" ht="11.25">
      <c r="A109" s="5610" t="s">
        <v>2257</v>
      </c>
      <c r="B109" s="5610" t="s">
        <v>16</v>
      </c>
      <c r="C109" s="5610" t="s">
        <v>2649</v>
      </c>
      <c r="D109" s="5610" t="s">
        <v>2650</v>
      </c>
      <c r="E109" s="5610" t="s">
        <v>2636</v>
      </c>
      <c r="F109" s="5610" t="s">
        <v>2651</v>
      </c>
      <c r="G109" s="5610" t="s">
        <v>28</v>
      </c>
      <c r="H109" s="5610" t="s">
        <v>28</v>
      </c>
      <c r="I109" s="5610" t="s">
        <v>815</v>
      </c>
    </row>
    <row customHeight="1" ht="11.25">
      <c r="A110" s="5610" t="s">
        <v>2257</v>
      </c>
      <c r="B110" s="5610" t="s">
        <v>16</v>
      </c>
      <c r="C110" s="5610" t="s">
        <v>2652</v>
      </c>
      <c r="D110" s="5610" t="s">
        <v>2653</v>
      </c>
      <c r="E110" s="5610" t="s">
        <v>2636</v>
      </c>
      <c r="F110" s="5610" t="s">
        <v>2654</v>
      </c>
      <c r="G110" s="5610" t="s">
        <v>28</v>
      </c>
      <c r="H110" s="5610" t="s">
        <v>28</v>
      </c>
      <c r="I110" s="5610" t="s">
        <v>815</v>
      </c>
    </row>
    <row customHeight="1" ht="11.25">
      <c r="A111" s="5610" t="s">
        <v>2257</v>
      </c>
      <c r="B111" s="5610" t="s">
        <v>16</v>
      </c>
      <c r="C111" s="5610" t="s">
        <v>2655</v>
      </c>
      <c r="D111" s="5610" t="s">
        <v>2656</v>
      </c>
      <c r="E111" s="5610" t="s">
        <v>2636</v>
      </c>
      <c r="F111" s="5610" t="s">
        <v>2657</v>
      </c>
      <c r="G111" s="5610" t="s">
        <v>28</v>
      </c>
      <c r="H111" s="5610" t="s">
        <v>28</v>
      </c>
      <c r="I111" s="5610" t="s">
        <v>815</v>
      </c>
    </row>
    <row customHeight="1" ht="11.25">
      <c r="A112" s="5610" t="s">
        <v>2257</v>
      </c>
      <c r="B112" s="5610" t="s">
        <v>16</v>
      </c>
      <c r="C112" s="5610" t="s">
        <v>2658</v>
      </c>
      <c r="D112" s="5610" t="s">
        <v>2659</v>
      </c>
      <c r="E112" s="5610" t="s">
        <v>2660</v>
      </c>
      <c r="F112" s="5610" t="s">
        <v>2661</v>
      </c>
      <c r="G112" s="5610" t="s">
        <v>28</v>
      </c>
      <c r="H112" s="5610" t="s">
        <v>28</v>
      </c>
      <c r="I112" s="5610" t="s">
        <v>815</v>
      </c>
    </row>
    <row customHeight="1" ht="11.25">
      <c r="A113" s="5610" t="s">
        <v>2257</v>
      </c>
      <c r="B113" s="5610" t="s">
        <v>16</v>
      </c>
      <c r="C113" s="5610" t="s">
        <v>2662</v>
      </c>
      <c r="D113" s="5610" t="s">
        <v>2663</v>
      </c>
      <c r="E113" s="5610" t="s">
        <v>2664</v>
      </c>
      <c r="F113" s="5610" t="s">
        <v>2527</v>
      </c>
      <c r="G113" s="5610" t="s">
        <v>28</v>
      </c>
      <c r="H113" s="5610" t="s">
        <v>28</v>
      </c>
      <c r="I113" s="5610" t="s">
        <v>815</v>
      </c>
    </row>
    <row customHeight="1" ht="11.25">
      <c r="A114" s="5610" t="s">
        <v>2257</v>
      </c>
      <c r="B114" s="5610" t="s">
        <v>16</v>
      </c>
      <c r="C114" s="5610" t="s">
        <v>2665</v>
      </c>
      <c r="D114" s="5610" t="s">
        <v>2666</v>
      </c>
      <c r="E114" s="5610" t="s">
        <v>2667</v>
      </c>
      <c r="F114" s="5610" t="s">
        <v>2376</v>
      </c>
      <c r="G114" s="5610" t="s">
        <v>28</v>
      </c>
      <c r="H114" s="5610" t="s">
        <v>28</v>
      </c>
      <c r="I114" s="5610" t="s">
        <v>815</v>
      </c>
    </row>
    <row customHeight="1" ht="11.25">
      <c r="A115" s="5610" t="s">
        <v>2257</v>
      </c>
      <c r="B115" s="5610" t="s">
        <v>16</v>
      </c>
      <c r="C115" s="5610" t="s">
        <v>2668</v>
      </c>
      <c r="D115" s="5610" t="s">
        <v>2669</v>
      </c>
      <c r="E115" s="5610" t="s">
        <v>2670</v>
      </c>
      <c r="F115" s="5610" t="s">
        <v>2671</v>
      </c>
      <c r="G115" s="5610" t="s">
        <v>2672</v>
      </c>
      <c r="H115" s="5610" t="s">
        <v>28</v>
      </c>
      <c r="I115" s="5610" t="s">
        <v>815</v>
      </c>
    </row>
    <row customHeight="1" ht="11.25">
      <c r="A116" s="5610" t="s">
        <v>2257</v>
      </c>
      <c r="B116" s="5610" t="s">
        <v>16</v>
      </c>
      <c r="C116" s="5610" t="s">
        <v>2673</v>
      </c>
      <c r="D116" s="5610" t="s">
        <v>2674</v>
      </c>
      <c r="E116" s="5610" t="s">
        <v>2675</v>
      </c>
      <c r="F116" s="5610" t="s">
        <v>2676</v>
      </c>
      <c r="G116" s="5610" t="s">
        <v>2677</v>
      </c>
      <c r="H116" s="5610" t="s">
        <v>28</v>
      </c>
      <c r="I116" s="5610" t="s">
        <v>815</v>
      </c>
    </row>
    <row customHeight="1" ht="11.25">
      <c r="A117" s="5610" t="s">
        <v>2257</v>
      </c>
      <c r="B117" s="5610" t="s">
        <v>16</v>
      </c>
      <c r="C117" s="5610" t="s">
        <v>2678</v>
      </c>
      <c r="D117" s="5610" t="s">
        <v>2679</v>
      </c>
      <c r="E117" s="5610" t="s">
        <v>2680</v>
      </c>
      <c r="F117" s="5610" t="s">
        <v>2324</v>
      </c>
      <c r="G117" s="5610" t="s">
        <v>2681</v>
      </c>
      <c r="H117" s="5610" t="s">
        <v>28</v>
      </c>
      <c r="I117" s="5610" t="s">
        <v>815</v>
      </c>
    </row>
    <row customHeight="1" ht="11.25">
      <c r="A118" s="5610" t="s">
        <v>2257</v>
      </c>
      <c r="B118" s="5610" t="s">
        <v>16</v>
      </c>
      <c r="C118" s="5610" t="s">
        <v>2682</v>
      </c>
      <c r="D118" s="5610" t="s">
        <v>2683</v>
      </c>
      <c r="E118" s="5610" t="s">
        <v>2684</v>
      </c>
      <c r="F118" s="5610" t="s">
        <v>2685</v>
      </c>
      <c r="G118" s="5610" t="s">
        <v>2686</v>
      </c>
      <c r="H118" s="5610" t="s">
        <v>28</v>
      </c>
      <c r="I118" s="5610" t="s">
        <v>815</v>
      </c>
    </row>
    <row customHeight="1" ht="11.25">
      <c r="A119" s="5610" t="s">
        <v>2257</v>
      </c>
      <c r="B119" s="5610" t="s">
        <v>16</v>
      </c>
      <c r="C119" s="5610" t="s">
        <v>2687</v>
      </c>
      <c r="D119" s="5610" t="s">
        <v>2688</v>
      </c>
      <c r="E119" s="5610" t="s">
        <v>2689</v>
      </c>
      <c r="F119" s="5610" t="s">
        <v>2557</v>
      </c>
      <c r="G119" s="5610" t="s">
        <v>28</v>
      </c>
      <c r="H119" s="5610" t="s">
        <v>28</v>
      </c>
      <c r="I119" s="5610" t="s">
        <v>815</v>
      </c>
    </row>
    <row customHeight="1" ht="11.25">
      <c r="A120" s="5610" t="s">
        <v>2257</v>
      </c>
      <c r="B120" s="5610" t="s">
        <v>16</v>
      </c>
      <c r="C120" s="5610" t="s">
        <v>2690</v>
      </c>
      <c r="D120" s="5610" t="s">
        <v>2691</v>
      </c>
      <c r="E120" s="5610" t="s">
        <v>2692</v>
      </c>
      <c r="F120" s="5610" t="s">
        <v>2315</v>
      </c>
      <c r="G120" s="5610" t="s">
        <v>28</v>
      </c>
      <c r="H120" s="5610" t="s">
        <v>28</v>
      </c>
      <c r="I120" s="5610" t="s">
        <v>815</v>
      </c>
    </row>
    <row customHeight="1" ht="11.25">
      <c r="A121" s="5610" t="s">
        <v>2257</v>
      </c>
      <c r="B121" s="5610" t="s">
        <v>16</v>
      </c>
      <c r="C121" s="5610" t="s">
        <v>2693</v>
      </c>
      <c r="D121" s="5610" t="s">
        <v>2694</v>
      </c>
      <c r="E121" s="5610" t="s">
        <v>2695</v>
      </c>
      <c r="F121" s="5610" t="s">
        <v>2315</v>
      </c>
      <c r="G121" s="5610" t="s">
        <v>28</v>
      </c>
      <c r="H121" s="5610" t="s">
        <v>28</v>
      </c>
      <c r="I121" s="5610" t="s">
        <v>815</v>
      </c>
    </row>
    <row customHeight="1" ht="11.25">
      <c r="A122" s="5610" t="s">
        <v>2257</v>
      </c>
      <c r="B122" s="5610" t="s">
        <v>16</v>
      </c>
      <c r="C122" s="5610" t="s">
        <v>2696</v>
      </c>
      <c r="D122" s="5610" t="s">
        <v>2697</v>
      </c>
      <c r="E122" s="5610" t="s">
        <v>2698</v>
      </c>
      <c r="F122" s="5610" t="s">
        <v>2699</v>
      </c>
      <c r="G122" s="5610" t="s">
        <v>28</v>
      </c>
      <c r="H122" s="5610" t="s">
        <v>28</v>
      </c>
      <c r="I122" s="5610" t="s">
        <v>815</v>
      </c>
    </row>
    <row customHeight="1" ht="11.25">
      <c r="A123" s="5610" t="s">
        <v>2257</v>
      </c>
      <c r="B123" s="5610" t="s">
        <v>16</v>
      </c>
      <c r="C123" s="5610" t="s">
        <v>2700</v>
      </c>
      <c r="D123" s="5610" t="s">
        <v>2701</v>
      </c>
      <c r="E123" s="5610" t="s">
        <v>2702</v>
      </c>
      <c r="F123" s="5610" t="s">
        <v>2384</v>
      </c>
      <c r="G123" s="5610" t="s">
        <v>2703</v>
      </c>
      <c r="H123" s="5610" t="s">
        <v>28</v>
      </c>
      <c r="I123" s="5610" t="s">
        <v>815</v>
      </c>
    </row>
    <row customHeight="1" ht="11.25">
      <c r="A124" s="5610" t="s">
        <v>2257</v>
      </c>
      <c r="B124" s="5610" t="s">
        <v>16</v>
      </c>
      <c r="C124" s="5610" t="s">
        <v>2704</v>
      </c>
      <c r="D124" s="5610" t="s">
        <v>2705</v>
      </c>
      <c r="E124" s="5610" t="s">
        <v>2706</v>
      </c>
      <c r="F124" s="5610" t="s">
        <v>2376</v>
      </c>
      <c r="G124" s="5610" t="s">
        <v>28</v>
      </c>
      <c r="H124" s="5610" t="s">
        <v>28</v>
      </c>
      <c r="I124" s="5610" t="s">
        <v>815</v>
      </c>
    </row>
    <row customHeight="1" ht="11.25">
      <c r="A125" s="5610" t="s">
        <v>2257</v>
      </c>
      <c r="B125" s="5610" t="s">
        <v>16</v>
      </c>
      <c r="C125" s="5610" t="s">
        <v>2707</v>
      </c>
      <c r="D125" s="5610" t="s">
        <v>2708</v>
      </c>
      <c r="E125" s="5610" t="s">
        <v>2709</v>
      </c>
      <c r="F125" s="5610" t="s">
        <v>2346</v>
      </c>
      <c r="G125" s="5610" t="s">
        <v>2710</v>
      </c>
      <c r="H125" s="5610" t="s">
        <v>28</v>
      </c>
      <c r="I125" s="5610" t="s">
        <v>815</v>
      </c>
    </row>
    <row customHeight="1" ht="11.25">
      <c r="A126" s="5610" t="s">
        <v>2257</v>
      </c>
      <c r="B126" s="5610" t="s">
        <v>16</v>
      </c>
      <c r="C126" s="5610" t="s">
        <v>2711</v>
      </c>
      <c r="D126" s="5610" t="s">
        <v>2712</v>
      </c>
      <c r="E126" s="5610" t="s">
        <v>2713</v>
      </c>
      <c r="F126" s="5610" t="s">
        <v>2661</v>
      </c>
      <c r="G126" s="5610" t="s">
        <v>28</v>
      </c>
      <c r="H126" s="5610" t="s">
        <v>28</v>
      </c>
      <c r="I126" s="5610" t="s">
        <v>815</v>
      </c>
    </row>
    <row customHeight="1" ht="11.25">
      <c r="A127" s="5610" t="s">
        <v>2257</v>
      </c>
      <c r="B127" s="5610" t="s">
        <v>16</v>
      </c>
      <c r="C127" s="5610" t="s">
        <v>2714</v>
      </c>
      <c r="D127" s="5610" t="s">
        <v>2715</v>
      </c>
      <c r="E127" s="5610" t="s">
        <v>2716</v>
      </c>
      <c r="F127" s="5610" t="s">
        <v>2699</v>
      </c>
      <c r="G127" s="5610" t="s">
        <v>28</v>
      </c>
      <c r="H127" s="5610" t="s">
        <v>28</v>
      </c>
      <c r="I127" s="5610" t="s">
        <v>815</v>
      </c>
    </row>
    <row customHeight="1" ht="11.25">
      <c r="A128" s="5610" t="s">
        <v>2257</v>
      </c>
      <c r="B128" s="5610" t="s">
        <v>16</v>
      </c>
      <c r="C128" s="5610" t="s">
        <v>2717</v>
      </c>
      <c r="D128" s="5610" t="s">
        <v>2718</v>
      </c>
      <c r="E128" s="5610" t="s">
        <v>2719</v>
      </c>
      <c r="F128" s="5610" t="s">
        <v>2720</v>
      </c>
      <c r="G128" s="5610" t="s">
        <v>28</v>
      </c>
      <c r="H128" s="5610" t="s">
        <v>28</v>
      </c>
      <c r="I128" s="5610" t="s">
        <v>815</v>
      </c>
    </row>
    <row customHeight="1" ht="11.25">
      <c r="A129" s="5610" t="s">
        <v>2257</v>
      </c>
      <c r="B129" s="5610" t="s">
        <v>16</v>
      </c>
      <c r="C129" s="5610" t="s">
        <v>2721</v>
      </c>
      <c r="D129" s="5610" t="s">
        <v>2722</v>
      </c>
      <c r="E129" s="5610" t="s">
        <v>2723</v>
      </c>
      <c r="F129" s="5610" t="s">
        <v>2346</v>
      </c>
      <c r="G129" s="5610" t="s">
        <v>28</v>
      </c>
      <c r="H129" s="5610" t="s">
        <v>28</v>
      </c>
      <c r="I129" s="5610" t="s">
        <v>815</v>
      </c>
    </row>
    <row customHeight="1" ht="11.25">
      <c r="A130" s="5610" t="s">
        <v>2257</v>
      </c>
      <c r="B130" s="5610" t="s">
        <v>16</v>
      </c>
      <c r="C130" s="5610" t="s">
        <v>2724</v>
      </c>
      <c r="D130" s="5610" t="s">
        <v>2725</v>
      </c>
      <c r="E130" s="5610" t="s">
        <v>2726</v>
      </c>
      <c r="F130" s="5610" t="s">
        <v>2519</v>
      </c>
      <c r="G130" s="5610" t="s">
        <v>28</v>
      </c>
      <c r="H130" s="5610" t="s">
        <v>28</v>
      </c>
      <c r="I130" s="5610" t="s">
        <v>815</v>
      </c>
    </row>
    <row customHeight="1" ht="11.25">
      <c r="A131" s="5610" t="s">
        <v>2257</v>
      </c>
      <c r="B131" s="5610" t="s">
        <v>16</v>
      </c>
      <c r="C131" s="5610" t="s">
        <v>2727</v>
      </c>
      <c r="D131" s="5610" t="s">
        <v>2728</v>
      </c>
      <c r="E131" s="5610" t="s">
        <v>2729</v>
      </c>
      <c r="F131" s="5610" t="s">
        <v>2730</v>
      </c>
      <c r="G131" s="5610" t="s">
        <v>28</v>
      </c>
      <c r="H131" s="5610" t="s">
        <v>28</v>
      </c>
      <c r="I131" s="5610" t="s">
        <v>815</v>
      </c>
    </row>
    <row customHeight="1" ht="11.25">
      <c r="A132" s="5610" t="s">
        <v>2257</v>
      </c>
      <c r="B132" s="5610" t="s">
        <v>16</v>
      </c>
      <c r="C132" s="5610" t="s">
        <v>2731</v>
      </c>
      <c r="D132" s="5610" t="s">
        <v>2732</v>
      </c>
      <c r="E132" s="5610" t="s">
        <v>2733</v>
      </c>
      <c r="F132" s="5610" t="s">
        <v>2661</v>
      </c>
      <c r="G132" s="5610" t="s">
        <v>28</v>
      </c>
      <c r="H132" s="5610" t="s">
        <v>28</v>
      </c>
      <c r="I132" s="5610" t="s">
        <v>815</v>
      </c>
    </row>
    <row customHeight="1" ht="11.25">
      <c r="A133" s="5610" t="s">
        <v>2257</v>
      </c>
      <c r="B133" s="5610" t="s">
        <v>16</v>
      </c>
      <c r="C133" s="5610" t="s">
        <v>2734</v>
      </c>
      <c r="D133" s="5610" t="s">
        <v>2735</v>
      </c>
      <c r="E133" s="5610" t="s">
        <v>2736</v>
      </c>
      <c r="F133" s="5610" t="s">
        <v>2507</v>
      </c>
      <c r="G133" s="5610" t="s">
        <v>28</v>
      </c>
      <c r="H133" s="5610" t="s">
        <v>28</v>
      </c>
      <c r="I133" s="5610" t="s">
        <v>815</v>
      </c>
    </row>
    <row customHeight="1" ht="11.25">
      <c r="A134" s="5610" t="s">
        <v>2257</v>
      </c>
      <c r="B134" s="5610" t="s">
        <v>16</v>
      </c>
      <c r="C134" s="5610" t="s">
        <v>2737</v>
      </c>
      <c r="D134" s="5610" t="s">
        <v>2738</v>
      </c>
      <c r="E134" s="5610" t="s">
        <v>2739</v>
      </c>
      <c r="F134" s="5610" t="s">
        <v>2324</v>
      </c>
      <c r="G134" s="5610" t="s">
        <v>28</v>
      </c>
      <c r="H134" s="5610" t="s">
        <v>28</v>
      </c>
      <c r="I134" s="5610" t="s">
        <v>815</v>
      </c>
    </row>
    <row customHeight="1" ht="11.25">
      <c r="A135" s="5610" t="s">
        <v>2257</v>
      </c>
      <c r="B135" s="5610" t="s">
        <v>16</v>
      </c>
      <c r="C135" s="5610" t="s">
        <v>2740</v>
      </c>
      <c r="D135" s="5610" t="s">
        <v>2741</v>
      </c>
      <c r="E135" s="5610" t="s">
        <v>2742</v>
      </c>
      <c r="F135" s="5610" t="s">
        <v>2311</v>
      </c>
      <c r="G135" s="5610" t="s">
        <v>28</v>
      </c>
      <c r="H135" s="5610" t="s">
        <v>28</v>
      </c>
      <c r="I135" s="5610" t="s">
        <v>815</v>
      </c>
    </row>
    <row customHeight="1" ht="11.25">
      <c r="A136" s="5610" t="s">
        <v>2257</v>
      </c>
      <c r="B136" s="5610" t="s">
        <v>16</v>
      </c>
      <c r="C136" s="5610" t="s">
        <v>2743</v>
      </c>
      <c r="D136" s="5610" t="s">
        <v>2744</v>
      </c>
      <c r="E136" s="5610" t="s">
        <v>2745</v>
      </c>
      <c r="F136" s="5610" t="s">
        <v>2500</v>
      </c>
      <c r="G136" s="5610" t="s">
        <v>28</v>
      </c>
      <c r="H136" s="5610" t="s">
        <v>28</v>
      </c>
      <c r="I136" s="5610" t="s">
        <v>815</v>
      </c>
    </row>
    <row customHeight="1" ht="11.25">
      <c r="A137" s="5610" t="s">
        <v>2257</v>
      </c>
      <c r="B137" s="5610" t="s">
        <v>16</v>
      </c>
      <c r="C137" s="5610" t="s">
        <v>2746</v>
      </c>
      <c r="D137" s="5610" t="s">
        <v>2747</v>
      </c>
      <c r="E137" s="5610" t="s">
        <v>2748</v>
      </c>
      <c r="F137" s="5610" t="s">
        <v>2749</v>
      </c>
      <c r="G137" s="5610" t="s">
        <v>28</v>
      </c>
      <c r="H137" s="5610" t="s">
        <v>28</v>
      </c>
      <c r="I137" s="5610" t="s">
        <v>815</v>
      </c>
    </row>
    <row customHeight="1" ht="11.25">
      <c r="A138" s="5610" t="s">
        <v>2257</v>
      </c>
      <c r="B138" s="5610" t="s">
        <v>16</v>
      </c>
      <c r="C138" s="5610" t="s">
        <v>2750</v>
      </c>
      <c r="D138" s="5610" t="s">
        <v>2751</v>
      </c>
      <c r="E138" s="5610" t="s">
        <v>2752</v>
      </c>
      <c r="F138" s="5610" t="s">
        <v>2328</v>
      </c>
      <c r="G138" s="5610" t="s">
        <v>28</v>
      </c>
      <c r="H138" s="5610" t="s">
        <v>28</v>
      </c>
      <c r="I138" s="5610" t="s">
        <v>815</v>
      </c>
    </row>
    <row customHeight="1" ht="11.25">
      <c r="A139" s="5610" t="s">
        <v>2257</v>
      </c>
      <c r="B139" s="5610" t="s">
        <v>16</v>
      </c>
      <c r="C139" s="5610" t="s">
        <v>2753</v>
      </c>
      <c r="D139" s="5610" t="s">
        <v>2754</v>
      </c>
      <c r="E139" s="5610" t="s">
        <v>2755</v>
      </c>
      <c r="F139" s="5610" t="s">
        <v>2346</v>
      </c>
      <c r="G139" s="5610" t="s">
        <v>2756</v>
      </c>
      <c r="H139" s="5610" t="s">
        <v>28</v>
      </c>
      <c r="I139" s="5610" t="s">
        <v>815</v>
      </c>
    </row>
    <row customHeight="1" ht="11.25">
      <c r="A140" s="5610" t="s">
        <v>2257</v>
      </c>
      <c r="B140" s="5610" t="s">
        <v>16</v>
      </c>
      <c r="C140" s="5610" t="s">
        <v>2757</v>
      </c>
      <c r="D140" s="5610" t="s">
        <v>2758</v>
      </c>
      <c r="E140" s="5610" t="s">
        <v>2759</v>
      </c>
      <c r="F140" s="5610" t="s">
        <v>2760</v>
      </c>
      <c r="G140" s="5610" t="s">
        <v>28</v>
      </c>
      <c r="H140" s="5610" t="s">
        <v>28</v>
      </c>
      <c r="I140" s="5610" t="s">
        <v>815</v>
      </c>
    </row>
    <row customHeight="1" ht="11.25">
      <c r="A141" s="5610" t="s">
        <v>2257</v>
      </c>
      <c r="B141" s="5610" t="s">
        <v>16</v>
      </c>
      <c r="C141" s="5610" t="s">
        <v>2761</v>
      </c>
      <c r="D141" s="5610" t="s">
        <v>2762</v>
      </c>
      <c r="E141" s="5610" t="s">
        <v>2275</v>
      </c>
      <c r="F141" s="5610" t="s">
        <v>2763</v>
      </c>
      <c r="G141" s="5610" t="s">
        <v>28</v>
      </c>
      <c r="H141" s="5610" t="s">
        <v>28</v>
      </c>
      <c r="I141" s="5610" t="s">
        <v>815</v>
      </c>
    </row>
    <row customHeight="1" ht="11.25">
      <c r="A142" s="5610" t="s">
        <v>2257</v>
      </c>
      <c r="B142" s="5610" t="s">
        <v>16</v>
      </c>
      <c r="C142" s="5610" t="s">
        <v>2764</v>
      </c>
      <c r="D142" s="5610" t="s">
        <v>2765</v>
      </c>
      <c r="E142" s="5610" t="s">
        <v>2766</v>
      </c>
      <c r="F142" s="5610" t="s">
        <v>2315</v>
      </c>
      <c r="G142" s="5610" t="s">
        <v>28</v>
      </c>
      <c r="H142" s="5610" t="s">
        <v>28</v>
      </c>
      <c r="I142" s="5610" t="s">
        <v>815</v>
      </c>
    </row>
    <row customHeight="1" ht="11.25">
      <c r="A143" s="5610" t="s">
        <v>2257</v>
      </c>
      <c r="B143" s="5610" t="s">
        <v>16</v>
      </c>
      <c r="C143" s="5610" t="s">
        <v>2767</v>
      </c>
      <c r="D143" s="5610" t="s">
        <v>2768</v>
      </c>
      <c r="E143" s="5610" t="s">
        <v>2769</v>
      </c>
      <c r="F143" s="5610" t="s">
        <v>2770</v>
      </c>
      <c r="G143" s="5610" t="s">
        <v>28</v>
      </c>
      <c r="H143" s="5610" t="s">
        <v>28</v>
      </c>
      <c r="I143" s="5610" t="s">
        <v>815</v>
      </c>
    </row>
    <row customHeight="1" ht="11.25">
      <c r="A144" s="5610" t="s">
        <v>2257</v>
      </c>
      <c r="B144" s="5610" t="s">
        <v>16</v>
      </c>
      <c r="C144" s="5610" t="s">
        <v>28</v>
      </c>
      <c r="D144" s="5610" t="s">
        <v>2771</v>
      </c>
      <c r="E144" s="5610" t="s">
        <v>2772</v>
      </c>
      <c r="F144" s="5610" t="s">
        <v>2519</v>
      </c>
      <c r="G144" s="5610" t="s">
        <v>28</v>
      </c>
      <c r="H144" s="5610" t="s">
        <v>28</v>
      </c>
      <c r="I144" s="5610" t="s">
        <v>815</v>
      </c>
    </row>
    <row customHeight="1" ht="11.25">
      <c r="A145" s="5610" t="s">
        <v>2257</v>
      </c>
      <c r="B145" s="5610" t="s">
        <v>16</v>
      </c>
      <c r="C145" s="5610" t="s">
        <v>2773</v>
      </c>
      <c r="D145" s="5610" t="s">
        <v>2774</v>
      </c>
      <c r="E145" s="5610" t="s">
        <v>2775</v>
      </c>
      <c r="F145" s="5610" t="s">
        <v>2776</v>
      </c>
      <c r="G145" s="5610" t="s">
        <v>28</v>
      </c>
      <c r="H145" s="5610" t="s">
        <v>28</v>
      </c>
      <c r="I145" s="5610" t="s">
        <v>815</v>
      </c>
    </row>
    <row customHeight="1" ht="11.25">
      <c r="A146" s="5610" t="s">
        <v>2257</v>
      </c>
      <c r="B146" s="5610" t="s">
        <v>16</v>
      </c>
      <c r="C146" s="5610" t="s">
        <v>2777</v>
      </c>
      <c r="D146" s="5610" t="s">
        <v>2778</v>
      </c>
      <c r="E146" s="5610" t="s">
        <v>2779</v>
      </c>
      <c r="F146" s="5610" t="s">
        <v>2298</v>
      </c>
      <c r="G146" s="5610" t="s">
        <v>28</v>
      </c>
      <c r="H146" s="5610" t="s">
        <v>28</v>
      </c>
      <c r="I146" s="5610" t="s">
        <v>815</v>
      </c>
    </row>
    <row customHeight="1" ht="11.25">
      <c r="A147" s="5610" t="s">
        <v>2257</v>
      </c>
      <c r="B147" s="5610" t="s">
        <v>16</v>
      </c>
      <c r="C147" s="5610" t="s">
        <v>2780</v>
      </c>
      <c r="D147" s="5610" t="s">
        <v>2781</v>
      </c>
      <c r="E147" s="5610" t="s">
        <v>2775</v>
      </c>
      <c r="F147" s="5610" t="s">
        <v>2782</v>
      </c>
      <c r="G147" s="5610" t="s">
        <v>28</v>
      </c>
      <c r="H147" s="5610" t="s">
        <v>28</v>
      </c>
      <c r="I147" s="5610" t="s">
        <v>815</v>
      </c>
    </row>
    <row customHeight="1" ht="11.25">
      <c r="A148" s="5610" t="s">
        <v>2257</v>
      </c>
      <c r="B148" s="5610" t="s">
        <v>16</v>
      </c>
      <c r="C148" s="5610" t="s">
        <v>2783</v>
      </c>
      <c r="D148" s="5610" t="s">
        <v>2784</v>
      </c>
      <c r="E148" s="5610" t="s">
        <v>2785</v>
      </c>
      <c r="F148" s="5610" t="s">
        <v>2500</v>
      </c>
      <c r="G148" s="5610" t="s">
        <v>28</v>
      </c>
      <c r="H148" s="5610" t="s">
        <v>28</v>
      </c>
      <c r="I148" s="5610" t="s">
        <v>815</v>
      </c>
    </row>
    <row customHeight="1" ht="11.25">
      <c r="A149" s="5610" t="s">
        <v>2257</v>
      </c>
      <c r="B149" s="5610" t="s">
        <v>16</v>
      </c>
      <c r="C149" s="5610" t="s">
        <v>2786</v>
      </c>
      <c r="D149" s="5610" t="s">
        <v>2787</v>
      </c>
      <c r="E149" s="5610" t="s">
        <v>2788</v>
      </c>
      <c r="F149" s="5610" t="s">
        <v>2789</v>
      </c>
      <c r="G149" s="5610" t="s">
        <v>28</v>
      </c>
      <c r="H149" s="5610" t="s">
        <v>28</v>
      </c>
      <c r="I149" s="5610" t="s">
        <v>815</v>
      </c>
    </row>
    <row customHeight="1" ht="11.25">
      <c r="A150" s="5610" t="s">
        <v>2257</v>
      </c>
      <c r="B150" s="5610" t="s">
        <v>16</v>
      </c>
      <c r="C150" s="5610" t="s">
        <v>2790</v>
      </c>
      <c r="D150" s="5610" t="s">
        <v>2791</v>
      </c>
      <c r="E150" s="5610" t="s">
        <v>2792</v>
      </c>
      <c r="F150" s="5610" t="s">
        <v>2324</v>
      </c>
      <c r="G150" s="5610" t="s">
        <v>28</v>
      </c>
      <c r="H150" s="5610" t="s">
        <v>28</v>
      </c>
      <c r="I150" s="5610" t="s">
        <v>815</v>
      </c>
    </row>
    <row customHeight="1" ht="11.25">
      <c r="A151" s="5610" t="s">
        <v>2257</v>
      </c>
      <c r="B151" s="5610" t="s">
        <v>16</v>
      </c>
      <c r="C151" s="5610" t="s">
        <v>2793</v>
      </c>
      <c r="D151" s="5610" t="s">
        <v>2794</v>
      </c>
      <c r="E151" s="5610" t="s">
        <v>2795</v>
      </c>
      <c r="F151" s="5610" t="s">
        <v>2507</v>
      </c>
      <c r="G151" s="5610" t="s">
        <v>28</v>
      </c>
      <c r="H151" s="5610" t="s">
        <v>28</v>
      </c>
      <c r="I151" s="5610" t="s">
        <v>815</v>
      </c>
    </row>
    <row customHeight="1" ht="11.25">
      <c r="A152" s="5610" t="s">
        <v>2257</v>
      </c>
      <c r="B152" s="5610" t="s">
        <v>16</v>
      </c>
      <c r="C152" s="5610" t="s">
        <v>2796</v>
      </c>
      <c r="D152" s="5610" t="s">
        <v>2797</v>
      </c>
      <c r="E152" s="5610" t="s">
        <v>2798</v>
      </c>
      <c r="F152" s="5610" t="s">
        <v>2507</v>
      </c>
      <c r="G152" s="5610" t="s">
        <v>28</v>
      </c>
      <c r="H152" s="5610" t="s">
        <v>28</v>
      </c>
      <c r="I152" s="5610" t="s">
        <v>815</v>
      </c>
    </row>
    <row customHeight="1" ht="11.25">
      <c r="A153" s="5610" t="s">
        <v>2257</v>
      </c>
      <c r="B153" s="5610" t="s">
        <v>16</v>
      </c>
      <c r="C153" s="5610" t="s">
        <v>2799</v>
      </c>
      <c r="D153" s="5610" t="s">
        <v>2800</v>
      </c>
      <c r="E153" s="5610" t="s">
        <v>2801</v>
      </c>
      <c r="F153" s="5610" t="s">
        <v>2802</v>
      </c>
      <c r="G153" s="5610" t="s">
        <v>28</v>
      </c>
      <c r="H153" s="5610" t="s">
        <v>28</v>
      </c>
      <c r="I153" s="5610" t="s">
        <v>815</v>
      </c>
    </row>
    <row customHeight="1" ht="11.25">
      <c r="A154" s="5610" t="s">
        <v>2257</v>
      </c>
      <c r="B154" s="5610" t="s">
        <v>16</v>
      </c>
      <c r="C154" s="5610" t="s">
        <v>2803</v>
      </c>
      <c r="D154" s="5610" t="s">
        <v>2804</v>
      </c>
      <c r="E154" s="5610" t="s">
        <v>2788</v>
      </c>
      <c r="F154" s="5610" t="s">
        <v>2805</v>
      </c>
      <c r="G154" s="5610" t="s">
        <v>28</v>
      </c>
      <c r="H154" s="5610" t="s">
        <v>28</v>
      </c>
      <c r="I154" s="5610" t="s">
        <v>815</v>
      </c>
    </row>
    <row customHeight="1" ht="11.25">
      <c r="A155" s="5610" t="s">
        <v>2257</v>
      </c>
      <c r="B155" s="5610" t="s">
        <v>16</v>
      </c>
      <c r="C155" s="5610" t="s">
        <v>2806</v>
      </c>
      <c r="D155" s="5610" t="s">
        <v>2807</v>
      </c>
      <c r="E155" s="5610" t="s">
        <v>2808</v>
      </c>
      <c r="F155" s="5610" t="s">
        <v>2809</v>
      </c>
      <c r="G155" s="5610" t="s">
        <v>28</v>
      </c>
      <c r="H155" s="5610" t="s">
        <v>28</v>
      </c>
      <c r="I155" s="5610" t="s">
        <v>815</v>
      </c>
    </row>
    <row customHeight="1" ht="11.25">
      <c r="A156" s="5610" t="s">
        <v>2257</v>
      </c>
      <c r="B156" s="5610" t="s">
        <v>16</v>
      </c>
      <c r="C156" s="5610" t="s">
        <v>2810</v>
      </c>
      <c r="D156" s="5610" t="s">
        <v>2811</v>
      </c>
      <c r="E156" s="5610" t="s">
        <v>2808</v>
      </c>
      <c r="F156" s="5610" t="s">
        <v>2812</v>
      </c>
      <c r="G156" s="5610" t="s">
        <v>2813</v>
      </c>
      <c r="H156" s="5610" t="s">
        <v>28</v>
      </c>
      <c r="I156" s="5610" t="s">
        <v>815</v>
      </c>
    </row>
    <row customHeight="1" ht="11.25">
      <c r="A157" s="5610" t="s">
        <v>2257</v>
      </c>
      <c r="B157" s="5610" t="s">
        <v>16</v>
      </c>
      <c r="C157" s="5610" t="s">
        <v>2814</v>
      </c>
      <c r="D157" s="5610" t="s">
        <v>2815</v>
      </c>
      <c r="E157" s="5610" t="s">
        <v>2816</v>
      </c>
      <c r="F157" s="5610" t="s">
        <v>2817</v>
      </c>
      <c r="G157" s="5610" t="s">
        <v>2818</v>
      </c>
      <c r="H157" s="5610" t="s">
        <v>28</v>
      </c>
      <c r="I157" s="5610" t="s">
        <v>815</v>
      </c>
    </row>
    <row customHeight="1" ht="11.25">
      <c r="A158" s="5610" t="s">
        <v>2257</v>
      </c>
      <c r="B158" s="5610" t="s">
        <v>16</v>
      </c>
      <c r="C158" s="5610" t="s">
        <v>2819</v>
      </c>
      <c r="D158" s="5610" t="s">
        <v>2820</v>
      </c>
      <c r="E158" s="5610" t="s">
        <v>2323</v>
      </c>
      <c r="F158" s="5610" t="s">
        <v>2805</v>
      </c>
      <c r="G158" s="5610" t="s">
        <v>28</v>
      </c>
      <c r="H158" s="5610" t="s">
        <v>28</v>
      </c>
      <c r="I158" s="5610" t="s">
        <v>815</v>
      </c>
    </row>
    <row customHeight="1" ht="11.25">
      <c r="A159" s="5610" t="s">
        <v>2257</v>
      </c>
      <c r="B159" s="5610" t="s">
        <v>16</v>
      </c>
      <c r="C159" s="5610" t="s">
        <v>2821</v>
      </c>
      <c r="D159" s="5610" t="s">
        <v>2822</v>
      </c>
      <c r="E159" s="5610" t="s">
        <v>2823</v>
      </c>
      <c r="F159" s="5610" t="s">
        <v>2824</v>
      </c>
      <c r="G159" s="5610" t="s">
        <v>28</v>
      </c>
      <c r="H159" s="5610" t="s">
        <v>28</v>
      </c>
      <c r="I159" s="5610" t="s">
        <v>815</v>
      </c>
    </row>
    <row customHeight="1" ht="11.25">
      <c r="A160" s="5610" t="s">
        <v>2257</v>
      </c>
      <c r="B160" s="5610" t="s">
        <v>16</v>
      </c>
      <c r="C160" s="5610" t="s">
        <v>2825</v>
      </c>
      <c r="D160" s="5610" t="s">
        <v>2826</v>
      </c>
      <c r="E160" s="5610" t="s">
        <v>2827</v>
      </c>
      <c r="F160" s="5610" t="s">
        <v>2828</v>
      </c>
      <c r="G160" s="5610" t="s">
        <v>28</v>
      </c>
      <c r="H160" s="5610" t="s">
        <v>28</v>
      </c>
      <c r="I160" s="5610" t="s">
        <v>815</v>
      </c>
    </row>
    <row customHeight="1" ht="11.25">
      <c r="A161" s="5610" t="s">
        <v>2257</v>
      </c>
      <c r="B161" s="5610" t="s">
        <v>16</v>
      </c>
      <c r="C161" s="5610" t="s">
        <v>2829</v>
      </c>
      <c r="D161" s="5610" t="s">
        <v>2830</v>
      </c>
      <c r="E161" s="5610" t="s">
        <v>2831</v>
      </c>
      <c r="F161" s="5610" t="s">
        <v>2832</v>
      </c>
      <c r="G161" s="5610" t="s">
        <v>28</v>
      </c>
      <c r="H161" s="5610" t="s">
        <v>28</v>
      </c>
      <c r="I161" s="5610" t="s">
        <v>815</v>
      </c>
    </row>
    <row customHeight="1" ht="11.25">
      <c r="A162" s="5610" t="s">
        <v>2257</v>
      </c>
      <c r="B162" s="5610" t="s">
        <v>16</v>
      </c>
      <c r="C162" s="5610" t="s">
        <v>2833</v>
      </c>
      <c r="D162" s="5610" t="s">
        <v>2834</v>
      </c>
      <c r="E162" s="5610" t="s">
        <v>2835</v>
      </c>
      <c r="F162" s="5610" t="s">
        <v>2836</v>
      </c>
      <c r="G162" s="5610" t="s">
        <v>28</v>
      </c>
      <c r="H162" s="5610" t="s">
        <v>28</v>
      </c>
      <c r="I162" s="5610" t="s">
        <v>815</v>
      </c>
    </row>
    <row customHeight="1" ht="11.25">
      <c r="A163" s="5610" t="s">
        <v>2257</v>
      </c>
      <c r="B163" s="5610" t="s">
        <v>16</v>
      </c>
      <c r="C163" s="5610" t="s">
        <v>2837</v>
      </c>
      <c r="D163" s="5610" t="s">
        <v>2838</v>
      </c>
      <c r="E163" s="5610" t="s">
        <v>2769</v>
      </c>
      <c r="F163" s="5610" t="s">
        <v>2839</v>
      </c>
      <c r="G163" s="5610" t="s">
        <v>28</v>
      </c>
      <c r="H163" s="5610" t="s">
        <v>28</v>
      </c>
      <c r="I163" s="5610" t="s">
        <v>815</v>
      </c>
    </row>
    <row customHeight="1" ht="11.25">
      <c r="A164" s="5610" t="s">
        <v>2257</v>
      </c>
      <c r="B164" s="5610" t="s">
        <v>16</v>
      </c>
      <c r="C164" s="5610" t="s">
        <v>2840</v>
      </c>
      <c r="D164" s="5610" t="s">
        <v>2841</v>
      </c>
      <c r="E164" s="5610" t="s">
        <v>2842</v>
      </c>
      <c r="F164" s="5610" t="s">
        <v>2836</v>
      </c>
      <c r="G164" s="5610" t="s">
        <v>2818</v>
      </c>
      <c r="H164" s="5610" t="s">
        <v>28</v>
      </c>
      <c r="I164" s="5610" t="s">
        <v>815</v>
      </c>
    </row>
    <row customHeight="1" ht="11.25">
      <c r="A165" s="5610" t="s">
        <v>2257</v>
      </c>
      <c r="B165" s="5610" t="s">
        <v>16</v>
      </c>
      <c r="C165" s="5610" t="s">
        <v>2308</v>
      </c>
      <c r="D165" s="5610" t="s">
        <v>2309</v>
      </c>
      <c r="E165" s="5610" t="s">
        <v>2310</v>
      </c>
      <c r="F165" s="5610" t="s">
        <v>2311</v>
      </c>
      <c r="G165" s="5610" t="s">
        <v>28</v>
      </c>
      <c r="H165" s="5610" t="s">
        <v>28</v>
      </c>
      <c r="I165" s="5610" t="s">
        <v>901</v>
      </c>
    </row>
    <row customHeight="1" ht="11.25">
      <c r="A166" s="5610" t="s">
        <v>2257</v>
      </c>
      <c r="B166" s="5610" t="s">
        <v>16</v>
      </c>
      <c r="C166" s="5610" t="s">
        <v>2312</v>
      </c>
      <c r="D166" s="5610" t="s">
        <v>2313</v>
      </c>
      <c r="E166" s="5610" t="s">
        <v>2314</v>
      </c>
      <c r="F166" s="5610" t="s">
        <v>2315</v>
      </c>
      <c r="G166" s="5610" t="s">
        <v>28</v>
      </c>
      <c r="H166" s="5610" t="s">
        <v>28</v>
      </c>
      <c r="I166" s="5610" t="s">
        <v>901</v>
      </c>
    </row>
    <row customHeight="1" ht="11.25">
      <c r="A167" s="5610" t="s">
        <v>2257</v>
      </c>
      <c r="B167" s="5610" t="s">
        <v>16</v>
      </c>
      <c r="C167" s="5610" t="s">
        <v>2321</v>
      </c>
      <c r="D167" s="5610" t="s">
        <v>2322</v>
      </c>
      <c r="E167" s="5610" t="s">
        <v>2323</v>
      </c>
      <c r="F167" s="5610" t="s">
        <v>2324</v>
      </c>
      <c r="G167" s="5610" t="s">
        <v>28</v>
      </c>
      <c r="H167" s="5610" t="s">
        <v>28</v>
      </c>
      <c r="I167" s="5610" t="s">
        <v>901</v>
      </c>
    </row>
    <row customHeight="1" ht="11.25">
      <c r="A168" s="5610" t="s">
        <v>2257</v>
      </c>
      <c r="B168" s="5610" t="s">
        <v>16</v>
      </c>
      <c r="C168" s="5610" t="s">
        <v>2347</v>
      </c>
      <c r="D168" s="5610" t="s">
        <v>2348</v>
      </c>
      <c r="E168" s="5610" t="s">
        <v>2349</v>
      </c>
      <c r="F168" s="5610" t="s">
        <v>2303</v>
      </c>
      <c r="G168" s="5610" t="s">
        <v>28</v>
      </c>
      <c r="H168" s="5610" t="s">
        <v>28</v>
      </c>
      <c r="I168" s="5610" t="s">
        <v>901</v>
      </c>
    </row>
    <row customHeight="1" ht="11.25">
      <c r="A169" s="5610" t="s">
        <v>2257</v>
      </c>
      <c r="B169" s="5610" t="s">
        <v>16</v>
      </c>
      <c r="C169" s="5610" t="s">
        <v>2350</v>
      </c>
      <c r="D169" s="5610" t="s">
        <v>2351</v>
      </c>
      <c r="E169" s="5610" t="s">
        <v>2352</v>
      </c>
      <c r="F169" s="5610" t="s">
        <v>2353</v>
      </c>
      <c r="G169" s="5610" t="s">
        <v>28</v>
      </c>
      <c r="H169" s="5610" t="s">
        <v>28</v>
      </c>
      <c r="I169" s="5610" t="s">
        <v>901</v>
      </c>
    </row>
    <row customHeight="1" ht="11.25">
      <c r="A170" s="5610" t="s">
        <v>2257</v>
      </c>
      <c r="B170" s="5610" t="s">
        <v>16</v>
      </c>
      <c r="C170" s="5610" t="s">
        <v>2381</v>
      </c>
      <c r="D170" s="5610" t="s">
        <v>2382</v>
      </c>
      <c r="E170" s="5610" t="s">
        <v>2383</v>
      </c>
      <c r="F170" s="5610" t="s">
        <v>2384</v>
      </c>
      <c r="G170" s="5610" t="s">
        <v>28</v>
      </c>
      <c r="H170" s="5610" t="s">
        <v>28</v>
      </c>
      <c r="I170" s="5610" t="s">
        <v>901</v>
      </c>
    </row>
    <row customHeight="1" ht="11.25">
      <c r="A171" s="5610" t="s">
        <v>2257</v>
      </c>
      <c r="B171" s="5610" t="s">
        <v>16</v>
      </c>
      <c r="C171" s="5610" t="s">
        <v>2385</v>
      </c>
      <c r="D171" s="5610" t="s">
        <v>2386</v>
      </c>
      <c r="E171" s="5610" t="s">
        <v>2387</v>
      </c>
      <c r="F171" s="5610" t="s">
        <v>2388</v>
      </c>
      <c r="G171" s="5610" t="s">
        <v>28</v>
      </c>
      <c r="H171" s="5610" t="s">
        <v>28</v>
      </c>
      <c r="I171" s="5610" t="s">
        <v>901</v>
      </c>
    </row>
    <row customHeight="1" ht="11.25">
      <c r="A172" s="5610" t="s">
        <v>2257</v>
      </c>
      <c r="B172" s="5610" t="s">
        <v>16</v>
      </c>
      <c r="C172" s="5610" t="s">
        <v>2389</v>
      </c>
      <c r="D172" s="5610" t="s">
        <v>2390</v>
      </c>
      <c r="E172" s="5610" t="s">
        <v>2391</v>
      </c>
      <c r="F172" s="5610" t="s">
        <v>2392</v>
      </c>
      <c r="G172" s="5610" t="s">
        <v>28</v>
      </c>
      <c r="H172" s="5610" t="s">
        <v>28</v>
      </c>
      <c r="I172" s="5610" t="s">
        <v>901</v>
      </c>
    </row>
    <row customHeight="1" ht="11.25">
      <c r="A173" s="5610" t="s">
        <v>2257</v>
      </c>
      <c r="B173" s="5610" t="s">
        <v>16</v>
      </c>
      <c r="C173" s="5610" t="s">
        <v>2397</v>
      </c>
      <c r="D173" s="5610" t="s">
        <v>2398</v>
      </c>
      <c r="E173" s="5610" t="s">
        <v>2399</v>
      </c>
      <c r="F173" s="5610" t="s">
        <v>2315</v>
      </c>
      <c r="G173" s="5610" t="s">
        <v>2400</v>
      </c>
      <c r="H173" s="5610" t="s">
        <v>28</v>
      </c>
      <c r="I173" s="5610" t="s">
        <v>901</v>
      </c>
    </row>
    <row customHeight="1" ht="11.25">
      <c r="A174" s="5610" t="s">
        <v>2257</v>
      </c>
      <c r="B174" s="5610" t="s">
        <v>16</v>
      </c>
      <c r="C174" s="5610" t="s">
        <v>2412</v>
      </c>
      <c r="D174" s="5610" t="s">
        <v>2413</v>
      </c>
      <c r="E174" s="5610" t="s">
        <v>2414</v>
      </c>
      <c r="F174" s="5610" t="s">
        <v>2392</v>
      </c>
      <c r="G174" s="5610" t="s">
        <v>28</v>
      </c>
      <c r="H174" s="5610" t="s">
        <v>28</v>
      </c>
      <c r="I174" s="5610" t="s">
        <v>901</v>
      </c>
    </row>
    <row customHeight="1" ht="11.25">
      <c r="A175" s="5610" t="s">
        <v>2257</v>
      </c>
      <c r="B175" s="5610" t="s">
        <v>16</v>
      </c>
      <c r="C175" s="5610" t="s">
        <v>2419</v>
      </c>
      <c r="D175" s="5610" t="s">
        <v>2420</v>
      </c>
      <c r="E175" s="5610" t="s">
        <v>2421</v>
      </c>
      <c r="F175" s="5610" t="s">
        <v>2376</v>
      </c>
      <c r="G175" s="5610" t="s">
        <v>2422</v>
      </c>
      <c r="H175" s="5610" t="s">
        <v>28</v>
      </c>
      <c r="I175" s="5610" t="s">
        <v>901</v>
      </c>
    </row>
    <row customHeight="1" ht="11.25">
      <c r="A176" s="5610" t="s">
        <v>2257</v>
      </c>
      <c r="B176" s="5610" t="s">
        <v>16</v>
      </c>
      <c r="C176" s="5610" t="s">
        <v>2423</v>
      </c>
      <c r="D176" s="5610" t="s">
        <v>2424</v>
      </c>
      <c r="E176" s="5610" t="s">
        <v>2425</v>
      </c>
      <c r="F176" s="5610" t="s">
        <v>2426</v>
      </c>
      <c r="G176" s="5610" t="s">
        <v>28</v>
      </c>
      <c r="H176" s="5610" t="s">
        <v>28</v>
      </c>
      <c r="I176" s="5610" t="s">
        <v>901</v>
      </c>
    </row>
    <row customHeight="1" ht="11.25">
      <c r="A177" s="5610" t="s">
        <v>2257</v>
      </c>
      <c r="B177" s="5610" t="s">
        <v>16</v>
      </c>
      <c r="C177" s="5610" t="s">
        <v>2431</v>
      </c>
      <c r="D177" s="5610" t="s">
        <v>2432</v>
      </c>
      <c r="E177" s="5610" t="s">
        <v>2433</v>
      </c>
      <c r="F177" s="5610" t="s">
        <v>2346</v>
      </c>
      <c r="G177" s="5610" t="s">
        <v>28</v>
      </c>
      <c r="H177" s="5610" t="s">
        <v>28</v>
      </c>
      <c r="I177" s="5610" t="s">
        <v>901</v>
      </c>
    </row>
    <row customHeight="1" ht="11.25">
      <c r="A178" s="5610" t="s">
        <v>2257</v>
      </c>
      <c r="B178" s="5610" t="s">
        <v>16</v>
      </c>
      <c r="C178" s="5610" t="s">
        <v>2438</v>
      </c>
      <c r="D178" s="5610" t="s">
        <v>2439</v>
      </c>
      <c r="E178" s="5610" t="s">
        <v>2440</v>
      </c>
      <c r="F178" s="5610" t="s">
        <v>2392</v>
      </c>
      <c r="G178" s="5610" t="s">
        <v>2441</v>
      </c>
      <c r="H178" s="5610" t="s">
        <v>28</v>
      </c>
      <c r="I178" s="5610" t="s">
        <v>901</v>
      </c>
    </row>
    <row customHeight="1" ht="11.25">
      <c r="A179" s="5610" t="s">
        <v>2257</v>
      </c>
      <c r="B179" s="5610" t="s">
        <v>16</v>
      </c>
      <c r="C179" s="5610" t="s">
        <v>2445</v>
      </c>
      <c r="D179" s="5610" t="s">
        <v>2446</v>
      </c>
      <c r="E179" s="5610" t="s">
        <v>2447</v>
      </c>
      <c r="F179" s="5610" t="s">
        <v>2448</v>
      </c>
      <c r="G179" s="5610" t="s">
        <v>28</v>
      </c>
      <c r="H179" s="5610" t="s">
        <v>28</v>
      </c>
      <c r="I179" s="5610" t="s">
        <v>901</v>
      </c>
    </row>
    <row customHeight="1" ht="11.25">
      <c r="A180" s="5610" t="s">
        <v>2257</v>
      </c>
      <c r="B180" s="5610" t="s">
        <v>16</v>
      </c>
      <c r="C180" s="5610" t="s">
        <v>2459</v>
      </c>
      <c r="D180" s="5610" t="s">
        <v>2460</v>
      </c>
      <c r="E180" s="5610" t="s">
        <v>2461</v>
      </c>
      <c r="F180" s="5610" t="s">
        <v>2298</v>
      </c>
      <c r="G180" s="5610" t="s">
        <v>28</v>
      </c>
      <c r="H180" s="5610" t="s">
        <v>28</v>
      </c>
      <c r="I180" s="5610" t="s">
        <v>901</v>
      </c>
    </row>
    <row customHeight="1" ht="11.25">
      <c r="A181" s="5610" t="s">
        <v>2257</v>
      </c>
      <c r="B181" s="5610" t="s">
        <v>16</v>
      </c>
      <c r="C181" s="5610" t="s">
        <v>2486</v>
      </c>
      <c r="D181" s="5610" t="s">
        <v>2487</v>
      </c>
      <c r="E181" s="5610" t="s">
        <v>2488</v>
      </c>
      <c r="F181" s="5610" t="s">
        <v>2489</v>
      </c>
      <c r="G181" s="5610" t="s">
        <v>28</v>
      </c>
      <c r="H181" s="5610" t="s">
        <v>28</v>
      </c>
      <c r="I181" s="5610" t="s">
        <v>901</v>
      </c>
    </row>
    <row customHeight="1" ht="11.25">
      <c r="A182" s="5610" t="s">
        <v>2257</v>
      </c>
      <c r="B182" s="5610" t="s">
        <v>16</v>
      </c>
      <c r="C182" s="5610" t="s">
        <v>13</v>
      </c>
      <c r="D182" s="5610" t="s">
        <v>47</v>
      </c>
      <c r="E182" s="5610" t="s">
        <v>50</v>
      </c>
      <c r="F182" s="5610" t="s">
        <v>52</v>
      </c>
      <c r="G182" s="5610" t="s">
        <v>28</v>
      </c>
      <c r="H182" s="5610" t="s">
        <v>28</v>
      </c>
      <c r="I182" s="5610" t="s">
        <v>901</v>
      </c>
    </row>
    <row customHeight="1" ht="11.25">
      <c r="A183" s="5610" t="s">
        <v>2257</v>
      </c>
      <c r="B183" s="5610" t="s">
        <v>16</v>
      </c>
      <c r="C183" s="5610" t="s">
        <v>2493</v>
      </c>
      <c r="D183" s="5610" t="s">
        <v>2494</v>
      </c>
      <c r="E183" s="5610" t="s">
        <v>2495</v>
      </c>
      <c r="F183" s="5610" t="s">
        <v>2496</v>
      </c>
      <c r="G183" s="5610" t="s">
        <v>28</v>
      </c>
      <c r="H183" s="5610" t="s">
        <v>28</v>
      </c>
      <c r="I183" s="5610" t="s">
        <v>901</v>
      </c>
    </row>
    <row customHeight="1" ht="11.25">
      <c r="A184" s="5610" t="s">
        <v>2257</v>
      </c>
      <c r="B184" s="5610" t="s">
        <v>16</v>
      </c>
      <c r="C184" s="5610" t="s">
        <v>2520</v>
      </c>
      <c r="D184" s="5610" t="s">
        <v>2521</v>
      </c>
      <c r="E184" s="5610" t="s">
        <v>2522</v>
      </c>
      <c r="F184" s="5610" t="s">
        <v>2523</v>
      </c>
      <c r="G184" s="5610" t="s">
        <v>28</v>
      </c>
      <c r="H184" s="5610" t="s">
        <v>28</v>
      </c>
      <c r="I184" s="5610" t="s">
        <v>901</v>
      </c>
    </row>
    <row customHeight="1" ht="11.25">
      <c r="A185" s="5610" t="s">
        <v>2257</v>
      </c>
      <c r="B185" s="5610" t="s">
        <v>16</v>
      </c>
      <c r="C185" s="5610" t="s">
        <v>2554</v>
      </c>
      <c r="D185" s="5610" t="s">
        <v>2555</v>
      </c>
      <c r="E185" s="5610" t="s">
        <v>2556</v>
      </c>
      <c r="F185" s="5610" t="s">
        <v>2557</v>
      </c>
      <c r="G185" s="5610" t="s">
        <v>28</v>
      </c>
      <c r="H185" s="5610" t="s">
        <v>28</v>
      </c>
      <c r="I185" s="5610" t="s">
        <v>901</v>
      </c>
    </row>
    <row customHeight="1" ht="11.25">
      <c r="A186" s="5610" t="s">
        <v>2257</v>
      </c>
      <c r="B186" s="5610" t="s">
        <v>16</v>
      </c>
      <c r="C186" s="5610" t="s">
        <v>2562</v>
      </c>
      <c r="D186" s="5610" t="s">
        <v>2563</v>
      </c>
      <c r="E186" s="5610" t="s">
        <v>2564</v>
      </c>
      <c r="F186" s="5610" t="s">
        <v>2557</v>
      </c>
      <c r="G186" s="5610" t="s">
        <v>2565</v>
      </c>
      <c r="H186" s="5610" t="s">
        <v>28</v>
      </c>
      <c r="I186" s="5610" t="s">
        <v>901</v>
      </c>
    </row>
    <row customHeight="1" ht="11.25">
      <c r="A187" s="5610" t="s">
        <v>2257</v>
      </c>
      <c r="B187" s="5610" t="s">
        <v>16</v>
      </c>
      <c r="C187" s="5610" t="s">
        <v>2570</v>
      </c>
      <c r="D187" s="5610" t="s">
        <v>2571</v>
      </c>
      <c r="E187" s="5610" t="s">
        <v>2572</v>
      </c>
      <c r="F187" s="5610" t="s">
        <v>2261</v>
      </c>
      <c r="G187" s="5610" t="s">
        <v>2573</v>
      </c>
      <c r="H187" s="5610" t="s">
        <v>28</v>
      </c>
      <c r="I187" s="5610" t="s">
        <v>901</v>
      </c>
    </row>
    <row customHeight="1" ht="11.25">
      <c r="A188" s="5610" t="s">
        <v>2257</v>
      </c>
      <c r="B188" s="5610" t="s">
        <v>16</v>
      </c>
      <c r="C188" s="5610" t="s">
        <v>2574</v>
      </c>
      <c r="D188" s="5610" t="s">
        <v>2575</v>
      </c>
      <c r="E188" s="5610" t="s">
        <v>2576</v>
      </c>
      <c r="F188" s="5610" t="s">
        <v>2369</v>
      </c>
      <c r="G188" s="5610" t="s">
        <v>2577</v>
      </c>
      <c r="H188" s="5610" t="s">
        <v>28</v>
      </c>
      <c r="I188" s="5610" t="s">
        <v>901</v>
      </c>
    </row>
    <row customHeight="1" ht="11.25">
      <c r="A189" s="5610" t="s">
        <v>2257</v>
      </c>
      <c r="B189" s="5610" t="s">
        <v>16</v>
      </c>
      <c r="C189" s="5610" t="s">
        <v>2617</v>
      </c>
      <c r="D189" s="5610" t="s">
        <v>2618</v>
      </c>
      <c r="E189" s="5610" t="s">
        <v>2619</v>
      </c>
      <c r="F189" s="5610" t="s">
        <v>2261</v>
      </c>
      <c r="G189" s="5610" t="s">
        <v>28</v>
      </c>
      <c r="H189" s="5610" t="s">
        <v>28</v>
      </c>
      <c r="I189" s="5610" t="s">
        <v>901</v>
      </c>
    </row>
    <row customHeight="1" ht="11.25">
      <c r="A190" s="5610" t="s">
        <v>2257</v>
      </c>
      <c r="B190" s="5610" t="s">
        <v>16</v>
      </c>
      <c r="C190" s="5610" t="s">
        <v>2620</v>
      </c>
      <c r="D190" s="5610" t="s">
        <v>2621</v>
      </c>
      <c r="E190" s="5610" t="s">
        <v>2622</v>
      </c>
      <c r="F190" s="5610" t="s">
        <v>2324</v>
      </c>
      <c r="G190" s="5610" t="s">
        <v>2623</v>
      </c>
      <c r="H190" s="5610" t="s">
        <v>28</v>
      </c>
      <c r="I190" s="5610" t="s">
        <v>901</v>
      </c>
    </row>
    <row customHeight="1" ht="11.25">
      <c r="A191" s="5610" t="s">
        <v>2257</v>
      </c>
      <c r="B191" s="5610" t="s">
        <v>16</v>
      </c>
      <c r="C191" s="5610" t="s">
        <v>2624</v>
      </c>
      <c r="D191" s="5610" t="s">
        <v>2625</v>
      </c>
      <c r="E191" s="5610" t="s">
        <v>2626</v>
      </c>
      <c r="F191" s="5610" t="s">
        <v>2268</v>
      </c>
      <c r="G191" s="5610" t="s">
        <v>2627</v>
      </c>
      <c r="H191" s="5610" t="s">
        <v>28</v>
      </c>
      <c r="I191" s="5610" t="s">
        <v>901</v>
      </c>
    </row>
    <row customHeight="1" ht="11.25">
      <c r="A192" s="5610" t="s">
        <v>2257</v>
      </c>
      <c r="B192" s="5610" t="s">
        <v>16</v>
      </c>
      <c r="C192" s="5610" t="s">
        <v>2843</v>
      </c>
      <c r="D192" s="5610" t="s">
        <v>2844</v>
      </c>
      <c r="E192" s="5610" t="s">
        <v>2622</v>
      </c>
      <c r="F192" s="5610" t="s">
        <v>2561</v>
      </c>
      <c r="G192" s="5610" t="s">
        <v>2845</v>
      </c>
      <c r="H192" s="5610" t="s">
        <v>28</v>
      </c>
      <c r="I192" s="5610" t="s">
        <v>901</v>
      </c>
    </row>
    <row customHeight="1" ht="11.25">
      <c r="A193" s="5610" t="s">
        <v>2257</v>
      </c>
      <c r="B193" s="5610" t="s">
        <v>16</v>
      </c>
      <c r="C193" s="5610" t="s">
        <v>2631</v>
      </c>
      <c r="D193" s="5610" t="s">
        <v>2632</v>
      </c>
      <c r="E193" s="5610" t="s">
        <v>2633</v>
      </c>
      <c r="F193" s="5610" t="s">
        <v>2527</v>
      </c>
      <c r="G193" s="5610" t="s">
        <v>28</v>
      </c>
      <c r="H193" s="5610" t="s">
        <v>28</v>
      </c>
      <c r="I193" s="5610" t="s">
        <v>901</v>
      </c>
    </row>
    <row customHeight="1" ht="11.25">
      <c r="A194" s="5610" t="s">
        <v>2257</v>
      </c>
      <c r="B194" s="5610" t="s">
        <v>16</v>
      </c>
      <c r="C194" s="5610" t="s">
        <v>2643</v>
      </c>
      <c r="D194" s="5610" t="s">
        <v>2644</v>
      </c>
      <c r="E194" s="5610" t="s">
        <v>2636</v>
      </c>
      <c r="F194" s="5610" t="s">
        <v>2645</v>
      </c>
      <c r="G194" s="5610" t="s">
        <v>28</v>
      </c>
      <c r="H194" s="5610" t="s">
        <v>28</v>
      </c>
      <c r="I194" s="5610" t="s">
        <v>901</v>
      </c>
    </row>
    <row customHeight="1" ht="11.25">
      <c r="A195" s="5610" t="s">
        <v>2257</v>
      </c>
      <c r="B195" s="5610" t="s">
        <v>16</v>
      </c>
      <c r="C195" s="5610" t="s">
        <v>2678</v>
      </c>
      <c r="D195" s="5610" t="s">
        <v>2679</v>
      </c>
      <c r="E195" s="5610" t="s">
        <v>2680</v>
      </c>
      <c r="F195" s="5610" t="s">
        <v>2324</v>
      </c>
      <c r="G195" s="5610" t="s">
        <v>2681</v>
      </c>
      <c r="H195" s="5610" t="s">
        <v>28</v>
      </c>
      <c r="I195" s="5610" t="s">
        <v>901</v>
      </c>
    </row>
    <row customHeight="1" ht="11.25">
      <c r="A196" s="5610" t="s">
        <v>2257</v>
      </c>
      <c r="B196" s="5610" t="s">
        <v>16</v>
      </c>
      <c r="C196" s="5610" t="s">
        <v>2687</v>
      </c>
      <c r="D196" s="5610" t="s">
        <v>2688</v>
      </c>
      <c r="E196" s="5610" t="s">
        <v>2689</v>
      </c>
      <c r="F196" s="5610" t="s">
        <v>2557</v>
      </c>
      <c r="G196" s="5610" t="s">
        <v>28</v>
      </c>
      <c r="H196" s="5610" t="s">
        <v>28</v>
      </c>
      <c r="I196" s="5610" t="s">
        <v>901</v>
      </c>
    </row>
    <row customHeight="1" ht="11.25">
      <c r="A197" s="5610" t="s">
        <v>2257</v>
      </c>
      <c r="B197" s="5610" t="s">
        <v>16</v>
      </c>
      <c r="C197" s="5610" t="s">
        <v>2696</v>
      </c>
      <c r="D197" s="5610" t="s">
        <v>2697</v>
      </c>
      <c r="E197" s="5610" t="s">
        <v>2698</v>
      </c>
      <c r="F197" s="5610" t="s">
        <v>2699</v>
      </c>
      <c r="G197" s="5610" t="s">
        <v>28</v>
      </c>
      <c r="H197" s="5610" t="s">
        <v>28</v>
      </c>
      <c r="I197" s="5610" t="s">
        <v>901</v>
      </c>
    </row>
    <row customHeight="1" ht="11.25">
      <c r="A198" s="5610" t="s">
        <v>2257</v>
      </c>
      <c r="B198" s="5610" t="s">
        <v>16</v>
      </c>
      <c r="C198" s="5610" t="s">
        <v>2700</v>
      </c>
      <c r="D198" s="5610" t="s">
        <v>2701</v>
      </c>
      <c r="E198" s="5610" t="s">
        <v>2702</v>
      </c>
      <c r="F198" s="5610" t="s">
        <v>2384</v>
      </c>
      <c r="G198" s="5610" t="s">
        <v>2703</v>
      </c>
      <c r="H198" s="5610" t="s">
        <v>28</v>
      </c>
      <c r="I198" s="5610" t="s">
        <v>901</v>
      </c>
    </row>
    <row customHeight="1" ht="11.25">
      <c r="A199" s="5610" t="s">
        <v>2257</v>
      </c>
      <c r="B199" s="5610" t="s">
        <v>16</v>
      </c>
      <c r="C199" s="5610" t="s">
        <v>2707</v>
      </c>
      <c r="D199" s="5610" t="s">
        <v>2708</v>
      </c>
      <c r="E199" s="5610" t="s">
        <v>2709</v>
      </c>
      <c r="F199" s="5610" t="s">
        <v>2346</v>
      </c>
      <c r="G199" s="5610" t="s">
        <v>2710</v>
      </c>
      <c r="H199" s="5610" t="s">
        <v>28</v>
      </c>
      <c r="I199" s="5610" t="s">
        <v>901</v>
      </c>
    </row>
    <row customHeight="1" ht="11.25">
      <c r="A200" s="5610" t="s">
        <v>2257</v>
      </c>
      <c r="B200" s="5610" t="s">
        <v>16</v>
      </c>
      <c r="C200" s="5610" t="s">
        <v>2714</v>
      </c>
      <c r="D200" s="5610" t="s">
        <v>2715</v>
      </c>
      <c r="E200" s="5610" t="s">
        <v>2716</v>
      </c>
      <c r="F200" s="5610" t="s">
        <v>2699</v>
      </c>
      <c r="G200" s="5610" t="s">
        <v>28</v>
      </c>
      <c r="H200" s="5610" t="s">
        <v>28</v>
      </c>
      <c r="I200" s="5610" t="s">
        <v>901</v>
      </c>
    </row>
    <row customHeight="1" ht="11.25">
      <c r="A201" s="5610" t="s">
        <v>2257</v>
      </c>
      <c r="B201" s="5610" t="s">
        <v>16</v>
      </c>
      <c r="C201" s="5610" t="s">
        <v>2717</v>
      </c>
      <c r="D201" s="5610" t="s">
        <v>2718</v>
      </c>
      <c r="E201" s="5610" t="s">
        <v>2719</v>
      </c>
      <c r="F201" s="5610" t="s">
        <v>2720</v>
      </c>
      <c r="G201" s="5610" t="s">
        <v>28</v>
      </c>
      <c r="H201" s="5610" t="s">
        <v>28</v>
      </c>
      <c r="I201" s="5610" t="s">
        <v>901</v>
      </c>
    </row>
    <row customHeight="1" ht="11.25">
      <c r="A202" s="5610" t="s">
        <v>2257</v>
      </c>
      <c r="B202" s="5610" t="s">
        <v>16</v>
      </c>
      <c r="C202" s="5610" t="s">
        <v>2727</v>
      </c>
      <c r="D202" s="5610" t="s">
        <v>2728</v>
      </c>
      <c r="E202" s="5610" t="s">
        <v>2729</v>
      </c>
      <c r="F202" s="5610" t="s">
        <v>2730</v>
      </c>
      <c r="G202" s="5610" t="s">
        <v>28</v>
      </c>
      <c r="H202" s="5610" t="s">
        <v>28</v>
      </c>
      <c r="I202" s="5610" t="s">
        <v>901</v>
      </c>
    </row>
    <row customHeight="1" ht="11.25">
      <c r="A203" s="5610" t="s">
        <v>2257</v>
      </c>
      <c r="B203" s="5610" t="s">
        <v>16</v>
      </c>
      <c r="C203" s="5610" t="s">
        <v>2737</v>
      </c>
      <c r="D203" s="5610" t="s">
        <v>2738</v>
      </c>
      <c r="E203" s="5610" t="s">
        <v>2739</v>
      </c>
      <c r="F203" s="5610" t="s">
        <v>2324</v>
      </c>
      <c r="G203" s="5610" t="s">
        <v>28</v>
      </c>
      <c r="H203" s="5610" t="s">
        <v>28</v>
      </c>
      <c r="I203" s="5610" t="s">
        <v>901</v>
      </c>
    </row>
    <row customHeight="1" ht="11.25">
      <c r="A204" s="5610" t="s">
        <v>2257</v>
      </c>
      <c r="B204" s="5610" t="s">
        <v>16</v>
      </c>
      <c r="C204" s="5610" t="s">
        <v>2750</v>
      </c>
      <c r="D204" s="5610" t="s">
        <v>2751</v>
      </c>
      <c r="E204" s="5610" t="s">
        <v>2752</v>
      </c>
      <c r="F204" s="5610" t="s">
        <v>2328</v>
      </c>
      <c r="G204" s="5610" t="s">
        <v>28</v>
      </c>
      <c r="H204" s="5610" t="s">
        <v>28</v>
      </c>
      <c r="I204" s="5610" t="s">
        <v>901</v>
      </c>
    </row>
    <row customHeight="1" ht="11.25">
      <c r="A205" s="5610" t="s">
        <v>2257</v>
      </c>
      <c r="B205" s="5610" t="s">
        <v>16</v>
      </c>
      <c r="C205" s="5610" t="s">
        <v>28</v>
      </c>
      <c r="D205" s="5610" t="s">
        <v>2771</v>
      </c>
      <c r="E205" s="5610" t="s">
        <v>2772</v>
      </c>
      <c r="F205" s="5610" t="s">
        <v>2519</v>
      </c>
      <c r="G205" s="5610" t="s">
        <v>28</v>
      </c>
      <c r="H205" s="5610" t="s">
        <v>28</v>
      </c>
      <c r="I205" s="5610" t="s">
        <v>901</v>
      </c>
    </row>
    <row customHeight="1" ht="11.25">
      <c r="A206" s="5610" t="s">
        <v>2257</v>
      </c>
      <c r="B206" s="5610" t="s">
        <v>16</v>
      </c>
      <c r="C206" s="5610" t="s">
        <v>2777</v>
      </c>
      <c r="D206" s="5610" t="s">
        <v>2778</v>
      </c>
      <c r="E206" s="5610" t="s">
        <v>2779</v>
      </c>
      <c r="F206" s="5610" t="s">
        <v>2298</v>
      </c>
      <c r="G206" s="5610" t="s">
        <v>28</v>
      </c>
      <c r="H206" s="5610" t="s">
        <v>28</v>
      </c>
      <c r="I206" s="5610" t="s">
        <v>901</v>
      </c>
    </row>
    <row customHeight="1" ht="11.25">
      <c r="A207" s="5610" t="s">
        <v>2257</v>
      </c>
      <c r="B207" s="5610" t="s">
        <v>16</v>
      </c>
      <c r="C207" s="5610" t="s">
        <v>2780</v>
      </c>
      <c r="D207" s="5610" t="s">
        <v>2781</v>
      </c>
      <c r="E207" s="5610" t="s">
        <v>2775</v>
      </c>
      <c r="F207" s="5610" t="s">
        <v>2782</v>
      </c>
      <c r="G207" s="5610" t="s">
        <v>28</v>
      </c>
      <c r="H207" s="5610" t="s">
        <v>28</v>
      </c>
      <c r="I207" s="5610" t="s">
        <v>901</v>
      </c>
    </row>
    <row customHeight="1" ht="11.25">
      <c r="A208" s="5610" t="s">
        <v>2257</v>
      </c>
      <c r="B208" s="5610" t="s">
        <v>16</v>
      </c>
      <c r="C208" s="5610" t="s">
        <v>2806</v>
      </c>
      <c r="D208" s="5610" t="s">
        <v>2807</v>
      </c>
      <c r="E208" s="5610" t="s">
        <v>2808</v>
      </c>
      <c r="F208" s="5610" t="s">
        <v>2809</v>
      </c>
      <c r="G208" s="5610" t="s">
        <v>28</v>
      </c>
      <c r="H208" s="5610" t="s">
        <v>28</v>
      </c>
      <c r="I208" s="5610" t="s">
        <v>901</v>
      </c>
    </row>
    <row customHeight="1" ht="11.25">
      <c r="A209" s="5610" t="s">
        <v>2257</v>
      </c>
      <c r="B209" s="5610" t="s">
        <v>16</v>
      </c>
      <c r="C209" s="5610" t="s">
        <v>2810</v>
      </c>
      <c r="D209" s="5610" t="s">
        <v>2811</v>
      </c>
      <c r="E209" s="5610" t="s">
        <v>2808</v>
      </c>
      <c r="F209" s="5610" t="s">
        <v>2812</v>
      </c>
      <c r="G209" s="5610" t="s">
        <v>2813</v>
      </c>
      <c r="H209" s="5610" t="s">
        <v>28</v>
      </c>
      <c r="I209" s="5610" t="s">
        <v>901</v>
      </c>
    </row>
    <row customHeight="1" ht="11.25">
      <c r="A210" s="5610" t="s">
        <v>2257</v>
      </c>
      <c r="B210" s="5610" t="s">
        <v>16</v>
      </c>
      <c r="C210" s="5610" t="s">
        <v>2819</v>
      </c>
      <c r="D210" s="5610" t="s">
        <v>2820</v>
      </c>
      <c r="E210" s="5610" t="s">
        <v>2323</v>
      </c>
      <c r="F210" s="5610" t="s">
        <v>2805</v>
      </c>
      <c r="G210" s="5610" t="s">
        <v>28</v>
      </c>
      <c r="H210" s="5610" t="s">
        <v>28</v>
      </c>
      <c r="I210" s="5610" t="s">
        <v>901</v>
      </c>
    </row>
    <row customHeight="1" ht="11.25">
      <c r="A211" s="5610" t="s">
        <v>2257</v>
      </c>
      <c r="B211" s="5610" t="s">
        <v>16</v>
      </c>
      <c r="C211" s="5610" t="s">
        <v>2825</v>
      </c>
      <c r="D211" s="5610" t="s">
        <v>2826</v>
      </c>
      <c r="E211" s="5610" t="s">
        <v>2827</v>
      </c>
      <c r="F211" s="5610" t="s">
        <v>2828</v>
      </c>
      <c r="G211" s="5610" t="s">
        <v>28</v>
      </c>
      <c r="H211" s="5610" t="s">
        <v>28</v>
      </c>
      <c r="I211" s="5610" t="s">
        <v>901</v>
      </c>
    </row>
    <row customHeight="1" ht="11.25">
      <c r="A212" s="5610" t="s">
        <v>2257</v>
      </c>
      <c r="B212" s="5610" t="s">
        <v>16</v>
      </c>
      <c r="C212" s="5610" t="s">
        <v>2265</v>
      </c>
      <c r="D212" s="5610" t="s">
        <v>2266</v>
      </c>
      <c r="E212" s="5610" t="s">
        <v>2267</v>
      </c>
      <c r="F212" s="5610" t="s">
        <v>2268</v>
      </c>
      <c r="G212" s="5610" t="s">
        <v>28</v>
      </c>
      <c r="H212" s="5610" t="s">
        <v>28</v>
      </c>
      <c r="I212" s="5610" t="s">
        <v>861</v>
      </c>
    </row>
    <row customHeight="1" ht="11.25">
      <c r="A213" s="5610" t="s">
        <v>2257</v>
      </c>
      <c r="B213" s="5610" t="s">
        <v>16</v>
      </c>
      <c r="C213" s="5610" t="s">
        <v>2295</v>
      </c>
      <c r="D213" s="5610" t="s">
        <v>2296</v>
      </c>
      <c r="E213" s="5610" t="s">
        <v>2297</v>
      </c>
      <c r="F213" s="5610" t="s">
        <v>2298</v>
      </c>
      <c r="G213" s="5610" t="s">
        <v>2299</v>
      </c>
      <c r="H213" s="5610" t="s">
        <v>28</v>
      </c>
      <c r="I213" s="5610" t="s">
        <v>861</v>
      </c>
    </row>
    <row customHeight="1" ht="11.25">
      <c r="A214" s="5610" t="s">
        <v>2257</v>
      </c>
      <c r="B214" s="5610" t="s">
        <v>16</v>
      </c>
      <c r="C214" s="5610" t="s">
        <v>2846</v>
      </c>
      <c r="D214" s="5610" t="s">
        <v>2847</v>
      </c>
      <c r="E214" s="5610" t="s">
        <v>2848</v>
      </c>
      <c r="F214" s="5610" t="s">
        <v>2311</v>
      </c>
      <c r="G214" s="5610" t="s">
        <v>28</v>
      </c>
      <c r="H214" s="5610" t="s">
        <v>28</v>
      </c>
      <c r="I214" s="5610" t="s">
        <v>861</v>
      </c>
    </row>
    <row customHeight="1" ht="11.25">
      <c r="A215" s="5610" t="s">
        <v>2257</v>
      </c>
      <c r="B215" s="5610" t="s">
        <v>16</v>
      </c>
      <c r="C215" s="5610" t="s">
        <v>2849</v>
      </c>
      <c r="D215" s="5610" t="s">
        <v>2850</v>
      </c>
      <c r="E215" s="5610" t="s">
        <v>2851</v>
      </c>
      <c r="F215" s="5610" t="s">
        <v>2852</v>
      </c>
      <c r="G215" s="5610" t="s">
        <v>28</v>
      </c>
      <c r="H215" s="5610" t="s">
        <v>28</v>
      </c>
      <c r="I215" s="5610" t="s">
        <v>861</v>
      </c>
    </row>
    <row customHeight="1" ht="11.25">
      <c r="A216" s="5610" t="s">
        <v>2257</v>
      </c>
      <c r="B216" s="5610" t="s">
        <v>16</v>
      </c>
      <c r="C216" s="5610" t="s">
        <v>2332</v>
      </c>
      <c r="D216" s="5610" t="s">
        <v>2333</v>
      </c>
      <c r="E216" s="5610" t="s">
        <v>2334</v>
      </c>
      <c r="F216" s="5610" t="s">
        <v>2335</v>
      </c>
      <c r="G216" s="5610" t="s">
        <v>28</v>
      </c>
      <c r="H216" s="5610" t="s">
        <v>28</v>
      </c>
      <c r="I216" s="5610" t="s">
        <v>861</v>
      </c>
    </row>
    <row customHeight="1" ht="11.25">
      <c r="A217" s="5610" t="s">
        <v>2257</v>
      </c>
      <c r="B217" s="5610" t="s">
        <v>16</v>
      </c>
      <c r="C217" s="5610" t="s">
        <v>2853</v>
      </c>
      <c r="D217" s="5610" t="s">
        <v>2854</v>
      </c>
      <c r="E217" s="5610" t="s">
        <v>2855</v>
      </c>
      <c r="F217" s="5610" t="s">
        <v>2519</v>
      </c>
      <c r="G217" s="5610" t="s">
        <v>2856</v>
      </c>
      <c r="H217" s="5610" t="s">
        <v>28</v>
      </c>
      <c r="I217" s="5610" t="s">
        <v>861</v>
      </c>
    </row>
    <row customHeight="1" ht="11.25">
      <c r="A218" s="5610" t="s">
        <v>2257</v>
      </c>
      <c r="B218" s="5610" t="s">
        <v>16</v>
      </c>
      <c r="C218" s="5610" t="s">
        <v>2350</v>
      </c>
      <c r="D218" s="5610" t="s">
        <v>2351</v>
      </c>
      <c r="E218" s="5610" t="s">
        <v>2352</v>
      </c>
      <c r="F218" s="5610" t="s">
        <v>2353</v>
      </c>
      <c r="G218" s="5610" t="s">
        <v>28</v>
      </c>
      <c r="H218" s="5610" t="s">
        <v>28</v>
      </c>
      <c r="I218" s="5610" t="s">
        <v>861</v>
      </c>
    </row>
    <row customHeight="1" ht="11.25">
      <c r="A219" s="5610" t="s">
        <v>2257</v>
      </c>
      <c r="B219" s="5610" t="s">
        <v>16</v>
      </c>
      <c r="C219" s="5610" t="s">
        <v>2857</v>
      </c>
      <c r="D219" s="5610" t="s">
        <v>2858</v>
      </c>
      <c r="E219" s="5610" t="s">
        <v>2859</v>
      </c>
      <c r="F219" s="5610" t="s">
        <v>2519</v>
      </c>
      <c r="G219" s="5610" t="s">
        <v>2860</v>
      </c>
      <c r="H219" s="5610" t="s">
        <v>28</v>
      </c>
      <c r="I219" s="5610" t="s">
        <v>861</v>
      </c>
    </row>
    <row customHeight="1" ht="11.25">
      <c r="A220" s="5610" t="s">
        <v>2257</v>
      </c>
      <c r="B220" s="5610" t="s">
        <v>16</v>
      </c>
      <c r="C220" s="5610" t="s">
        <v>2861</v>
      </c>
      <c r="D220" s="5610" t="s">
        <v>2862</v>
      </c>
      <c r="E220" s="5610" t="s">
        <v>2863</v>
      </c>
      <c r="F220" s="5610" t="s">
        <v>2448</v>
      </c>
      <c r="G220" s="5610" t="s">
        <v>28</v>
      </c>
      <c r="H220" s="5610" t="s">
        <v>28</v>
      </c>
      <c r="I220" s="5610" t="s">
        <v>861</v>
      </c>
    </row>
    <row customHeight="1" ht="11.25">
      <c r="A221" s="5610" t="s">
        <v>2257</v>
      </c>
      <c r="B221" s="5610" t="s">
        <v>16</v>
      </c>
      <c r="C221" s="5610" t="s">
        <v>2864</v>
      </c>
      <c r="D221" s="5610" t="s">
        <v>2865</v>
      </c>
      <c r="E221" s="5610" t="s">
        <v>2866</v>
      </c>
      <c r="F221" s="5610" t="s">
        <v>583</v>
      </c>
      <c r="G221" s="5610" t="s">
        <v>28</v>
      </c>
      <c r="H221" s="5610" t="s">
        <v>28</v>
      </c>
      <c r="I221" s="5610" t="s">
        <v>861</v>
      </c>
    </row>
    <row customHeight="1" ht="11.25">
      <c r="A222" s="5610" t="s">
        <v>2257</v>
      </c>
      <c r="B222" s="5610" t="s">
        <v>16</v>
      </c>
      <c r="C222" s="5610" t="s">
        <v>2867</v>
      </c>
      <c r="D222" s="5610" t="s">
        <v>2868</v>
      </c>
      <c r="E222" s="5610" t="s">
        <v>2869</v>
      </c>
      <c r="F222" s="5610" t="s">
        <v>2523</v>
      </c>
      <c r="G222" s="5610" t="s">
        <v>2870</v>
      </c>
      <c r="H222" s="5610" t="s">
        <v>28</v>
      </c>
      <c r="I222" s="5610" t="s">
        <v>861</v>
      </c>
    </row>
    <row customHeight="1" ht="11.25">
      <c r="A223" s="5610" t="s">
        <v>2257</v>
      </c>
      <c r="B223" s="5610" t="s">
        <v>16</v>
      </c>
      <c r="C223" s="5610" t="s">
        <v>2370</v>
      </c>
      <c r="D223" s="5610" t="s">
        <v>2371</v>
      </c>
      <c r="E223" s="5610" t="s">
        <v>2372</v>
      </c>
      <c r="F223" s="5610" t="s">
        <v>52</v>
      </c>
      <c r="G223" s="5610" t="s">
        <v>28</v>
      </c>
      <c r="H223" s="5610" t="s">
        <v>28</v>
      </c>
      <c r="I223" s="5610" t="s">
        <v>861</v>
      </c>
    </row>
    <row customHeight="1" ht="11.25">
      <c r="A224" s="5610" t="s">
        <v>2257</v>
      </c>
      <c r="B224" s="5610" t="s">
        <v>16</v>
      </c>
      <c r="C224" s="5610" t="s">
        <v>2871</v>
      </c>
      <c r="D224" s="5610" t="s">
        <v>2872</v>
      </c>
      <c r="E224" s="5610" t="s">
        <v>2873</v>
      </c>
      <c r="F224" s="5610" t="s">
        <v>2874</v>
      </c>
      <c r="G224" s="5610" t="s">
        <v>28</v>
      </c>
      <c r="H224" s="5610" t="s">
        <v>28</v>
      </c>
      <c r="I224" s="5610" t="s">
        <v>861</v>
      </c>
    </row>
    <row customHeight="1" ht="11.25">
      <c r="A225" s="5610" t="s">
        <v>2257</v>
      </c>
      <c r="B225" s="5610" t="s">
        <v>16</v>
      </c>
      <c r="C225" s="5610" t="s">
        <v>2875</v>
      </c>
      <c r="D225" s="5610" t="s">
        <v>2876</v>
      </c>
      <c r="E225" s="5610" t="s">
        <v>2877</v>
      </c>
      <c r="F225" s="5610" t="s">
        <v>2369</v>
      </c>
      <c r="G225" s="5610" t="s">
        <v>2677</v>
      </c>
      <c r="H225" s="5610" t="s">
        <v>28</v>
      </c>
      <c r="I225" s="5610" t="s">
        <v>861</v>
      </c>
    </row>
    <row customHeight="1" ht="11.25">
      <c r="A226" s="5610" t="s">
        <v>2257</v>
      </c>
      <c r="B226" s="5610" t="s">
        <v>16</v>
      </c>
      <c r="C226" s="5610" t="s">
        <v>2878</v>
      </c>
      <c r="D226" s="5610" t="s">
        <v>2879</v>
      </c>
      <c r="E226" s="5610" t="s">
        <v>2880</v>
      </c>
      <c r="F226" s="5610" t="s">
        <v>2881</v>
      </c>
      <c r="G226" s="5610" t="s">
        <v>28</v>
      </c>
      <c r="H226" s="5610" t="s">
        <v>28</v>
      </c>
      <c r="I226" s="5610" t="s">
        <v>861</v>
      </c>
    </row>
    <row customHeight="1" ht="11.25">
      <c r="A227" s="5610" t="s">
        <v>2257</v>
      </c>
      <c r="B227" s="5610" t="s">
        <v>16</v>
      </c>
      <c r="C227" s="5610" t="s">
        <v>2385</v>
      </c>
      <c r="D227" s="5610" t="s">
        <v>2386</v>
      </c>
      <c r="E227" s="5610" t="s">
        <v>2387</v>
      </c>
      <c r="F227" s="5610" t="s">
        <v>2388</v>
      </c>
      <c r="G227" s="5610" t="s">
        <v>28</v>
      </c>
      <c r="H227" s="5610" t="s">
        <v>28</v>
      </c>
      <c r="I227" s="5610" t="s">
        <v>861</v>
      </c>
    </row>
    <row customHeight="1" ht="11.25">
      <c r="A228" s="5610" t="s">
        <v>2257</v>
      </c>
      <c r="B228" s="5610" t="s">
        <v>16</v>
      </c>
      <c r="C228" s="5610" t="s">
        <v>2389</v>
      </c>
      <c r="D228" s="5610" t="s">
        <v>2390</v>
      </c>
      <c r="E228" s="5610" t="s">
        <v>2391</v>
      </c>
      <c r="F228" s="5610" t="s">
        <v>2392</v>
      </c>
      <c r="G228" s="5610" t="s">
        <v>28</v>
      </c>
      <c r="H228" s="5610" t="s">
        <v>28</v>
      </c>
      <c r="I228" s="5610" t="s">
        <v>861</v>
      </c>
    </row>
    <row customHeight="1" ht="11.25">
      <c r="A229" s="5610" t="s">
        <v>2257</v>
      </c>
      <c r="B229" s="5610" t="s">
        <v>16</v>
      </c>
      <c r="C229" s="5610" t="s">
        <v>2882</v>
      </c>
      <c r="D229" s="5610" t="s">
        <v>2883</v>
      </c>
      <c r="E229" s="5610" t="s">
        <v>2884</v>
      </c>
      <c r="F229" s="5610" t="s">
        <v>2481</v>
      </c>
      <c r="G229" s="5610" t="s">
        <v>28</v>
      </c>
      <c r="H229" s="5610" t="s">
        <v>28</v>
      </c>
      <c r="I229" s="5610" t="s">
        <v>861</v>
      </c>
    </row>
    <row customHeight="1" ht="11.25">
      <c r="A230" s="5610" t="s">
        <v>2257</v>
      </c>
      <c r="B230" s="5610" t="s">
        <v>16</v>
      </c>
      <c r="C230" s="5610" t="s">
        <v>2393</v>
      </c>
      <c r="D230" s="5610" t="s">
        <v>2394</v>
      </c>
      <c r="E230" s="5610" t="s">
        <v>2395</v>
      </c>
      <c r="F230" s="5610" t="s">
        <v>2396</v>
      </c>
      <c r="G230" s="5610" t="s">
        <v>28</v>
      </c>
      <c r="H230" s="5610" t="s">
        <v>28</v>
      </c>
      <c r="I230" s="5610" t="s">
        <v>861</v>
      </c>
    </row>
    <row customHeight="1" ht="11.25">
      <c r="A231" s="5610" t="s">
        <v>2257</v>
      </c>
      <c r="B231" s="5610" t="s">
        <v>16</v>
      </c>
      <c r="C231" s="5610" t="s">
        <v>2885</v>
      </c>
      <c r="D231" s="5610" t="s">
        <v>2886</v>
      </c>
      <c r="E231" s="5610" t="s">
        <v>2887</v>
      </c>
      <c r="F231" s="5610" t="s">
        <v>2448</v>
      </c>
      <c r="G231" s="5610" t="s">
        <v>2888</v>
      </c>
      <c r="H231" s="5610" t="s">
        <v>28</v>
      </c>
      <c r="I231" s="5610" t="s">
        <v>861</v>
      </c>
    </row>
    <row customHeight="1" ht="11.25">
      <c r="A232" s="5610" t="s">
        <v>2257</v>
      </c>
      <c r="B232" s="5610" t="s">
        <v>16</v>
      </c>
      <c r="C232" s="5610" t="s">
        <v>2889</v>
      </c>
      <c r="D232" s="5610" t="s">
        <v>2890</v>
      </c>
      <c r="E232" s="5610" t="s">
        <v>2891</v>
      </c>
      <c r="F232" s="5610" t="s">
        <v>2676</v>
      </c>
      <c r="G232" s="5610" t="s">
        <v>2892</v>
      </c>
      <c r="H232" s="5610" t="s">
        <v>28</v>
      </c>
      <c r="I232" s="5610" t="s">
        <v>861</v>
      </c>
    </row>
    <row customHeight="1" ht="11.25">
      <c r="A233" s="5610" t="s">
        <v>2257</v>
      </c>
      <c r="B233" s="5610" t="s">
        <v>16</v>
      </c>
      <c r="C233" s="5610" t="s">
        <v>2893</v>
      </c>
      <c r="D233" s="5610" t="s">
        <v>2890</v>
      </c>
      <c r="E233" s="5610" t="s">
        <v>2894</v>
      </c>
      <c r="F233" s="5610" t="s">
        <v>2515</v>
      </c>
      <c r="G233" s="5610" t="s">
        <v>28</v>
      </c>
      <c r="H233" s="5610" t="s">
        <v>28</v>
      </c>
      <c r="I233" s="5610" t="s">
        <v>861</v>
      </c>
    </row>
    <row customHeight="1" ht="11.25">
      <c r="A234" s="5610" t="s">
        <v>2257</v>
      </c>
      <c r="B234" s="5610" t="s">
        <v>16</v>
      </c>
      <c r="C234" s="5610" t="s">
        <v>2895</v>
      </c>
      <c r="D234" s="5610" t="s">
        <v>2890</v>
      </c>
      <c r="E234" s="5610" t="s">
        <v>2896</v>
      </c>
      <c r="F234" s="5610" t="s">
        <v>2897</v>
      </c>
      <c r="G234" s="5610" t="s">
        <v>28</v>
      </c>
      <c r="H234" s="5610" t="s">
        <v>28</v>
      </c>
      <c r="I234" s="5610" t="s">
        <v>861</v>
      </c>
    </row>
    <row customHeight="1" ht="11.25">
      <c r="A235" s="5610" t="s">
        <v>2257</v>
      </c>
      <c r="B235" s="5610" t="s">
        <v>16</v>
      </c>
      <c r="C235" s="5610" t="s">
        <v>2898</v>
      </c>
      <c r="D235" s="5610" t="s">
        <v>2899</v>
      </c>
      <c r="E235" s="5610" t="s">
        <v>2900</v>
      </c>
      <c r="F235" s="5610" t="s">
        <v>2346</v>
      </c>
      <c r="G235" s="5610" t="s">
        <v>28</v>
      </c>
      <c r="H235" s="5610" t="s">
        <v>28</v>
      </c>
      <c r="I235" s="5610" t="s">
        <v>861</v>
      </c>
    </row>
    <row customHeight="1" ht="11.25">
      <c r="A236" s="5610" t="s">
        <v>2257</v>
      </c>
      <c r="B236" s="5610" t="s">
        <v>16</v>
      </c>
      <c r="C236" s="5610" t="s">
        <v>2901</v>
      </c>
      <c r="D236" s="5610" t="s">
        <v>2902</v>
      </c>
      <c r="E236" s="5610" t="s">
        <v>2903</v>
      </c>
      <c r="F236" s="5610" t="s">
        <v>2481</v>
      </c>
      <c r="G236" s="5610" t="s">
        <v>28</v>
      </c>
      <c r="H236" s="5610" t="s">
        <v>28</v>
      </c>
      <c r="I236" s="5610" t="s">
        <v>861</v>
      </c>
    </row>
    <row customHeight="1" ht="11.25">
      <c r="A237" s="5610" t="s">
        <v>2257</v>
      </c>
      <c r="B237" s="5610" t="s">
        <v>16</v>
      </c>
      <c r="C237" s="5610" t="s">
        <v>2904</v>
      </c>
      <c r="D237" s="5610" t="s">
        <v>2905</v>
      </c>
      <c r="E237" s="5610" t="s">
        <v>2906</v>
      </c>
      <c r="F237" s="5610" t="s">
        <v>2907</v>
      </c>
      <c r="G237" s="5610" t="s">
        <v>2908</v>
      </c>
      <c r="H237" s="5610" t="s">
        <v>28</v>
      </c>
      <c r="I237" s="5610" t="s">
        <v>861</v>
      </c>
    </row>
    <row customHeight="1" ht="11.25">
      <c r="A238" s="5610" t="s">
        <v>2257</v>
      </c>
      <c r="B238" s="5610" t="s">
        <v>16</v>
      </c>
      <c r="C238" s="5610" t="s">
        <v>2909</v>
      </c>
      <c r="D238" s="5610" t="s">
        <v>2910</v>
      </c>
      <c r="E238" s="5610" t="s">
        <v>2911</v>
      </c>
      <c r="F238" s="5610" t="s">
        <v>2671</v>
      </c>
      <c r="G238" s="5610" t="s">
        <v>28</v>
      </c>
      <c r="H238" s="5610" t="s">
        <v>28</v>
      </c>
      <c r="I238" s="5610" t="s">
        <v>861</v>
      </c>
    </row>
    <row customHeight="1" ht="11.25">
      <c r="A239" s="5610" t="s">
        <v>2257</v>
      </c>
      <c r="B239" s="5610" t="s">
        <v>16</v>
      </c>
      <c r="C239" s="5610" t="s">
        <v>2419</v>
      </c>
      <c r="D239" s="5610" t="s">
        <v>2420</v>
      </c>
      <c r="E239" s="5610" t="s">
        <v>2421</v>
      </c>
      <c r="F239" s="5610" t="s">
        <v>2376</v>
      </c>
      <c r="G239" s="5610" t="s">
        <v>2422</v>
      </c>
      <c r="H239" s="5610" t="s">
        <v>28</v>
      </c>
      <c r="I239" s="5610" t="s">
        <v>861</v>
      </c>
    </row>
    <row customHeight="1" ht="11.25">
      <c r="A240" s="5610" t="s">
        <v>2257</v>
      </c>
      <c r="B240" s="5610" t="s">
        <v>16</v>
      </c>
      <c r="C240" s="5610" t="s">
        <v>2912</v>
      </c>
      <c r="D240" s="5610" t="s">
        <v>2913</v>
      </c>
      <c r="E240" s="5610" t="s">
        <v>2914</v>
      </c>
      <c r="F240" s="5610" t="s">
        <v>2369</v>
      </c>
      <c r="G240" s="5610" t="s">
        <v>28</v>
      </c>
      <c r="H240" s="5610" t="s">
        <v>28</v>
      </c>
      <c r="I240" s="5610" t="s">
        <v>861</v>
      </c>
    </row>
    <row customHeight="1" ht="11.25">
      <c r="A241" s="5610" t="s">
        <v>2257</v>
      </c>
      <c r="B241" s="5610" t="s">
        <v>16</v>
      </c>
      <c r="C241" s="5610" t="s">
        <v>2915</v>
      </c>
      <c r="D241" s="5610" t="s">
        <v>2916</v>
      </c>
      <c r="E241" s="5610" t="s">
        <v>2917</v>
      </c>
      <c r="F241" s="5610" t="s">
        <v>2465</v>
      </c>
      <c r="G241" s="5610" t="s">
        <v>2918</v>
      </c>
      <c r="H241" s="5610" t="s">
        <v>28</v>
      </c>
      <c r="I241" s="5610" t="s">
        <v>861</v>
      </c>
    </row>
    <row customHeight="1" ht="11.25">
      <c r="A242" s="5610" t="s">
        <v>2257</v>
      </c>
      <c r="B242" s="5610" t="s">
        <v>16</v>
      </c>
      <c r="C242" s="5610" t="s">
        <v>2919</v>
      </c>
      <c r="D242" s="5610" t="s">
        <v>2920</v>
      </c>
      <c r="E242" s="5610" t="s">
        <v>2921</v>
      </c>
      <c r="F242" s="5610" t="s">
        <v>2489</v>
      </c>
      <c r="G242" s="5610" t="s">
        <v>28</v>
      </c>
      <c r="H242" s="5610" t="s">
        <v>28</v>
      </c>
      <c r="I242" s="5610" t="s">
        <v>861</v>
      </c>
    </row>
    <row customHeight="1" ht="11.25">
      <c r="A243" s="5610" t="s">
        <v>2257</v>
      </c>
      <c r="B243" s="5610" t="s">
        <v>16</v>
      </c>
      <c r="C243" s="5610" t="s">
        <v>2922</v>
      </c>
      <c r="D243" s="5610" t="s">
        <v>2923</v>
      </c>
      <c r="E243" s="5610" t="s">
        <v>2924</v>
      </c>
      <c r="F243" s="5610" t="s">
        <v>2604</v>
      </c>
      <c r="G243" s="5610" t="s">
        <v>2925</v>
      </c>
      <c r="H243" s="5610" t="s">
        <v>28</v>
      </c>
      <c r="I243" s="5610" t="s">
        <v>861</v>
      </c>
    </row>
    <row customHeight="1" ht="11.25">
      <c r="A244" s="5610" t="s">
        <v>2257</v>
      </c>
      <c r="B244" s="5610" t="s">
        <v>16</v>
      </c>
      <c r="C244" s="5610" t="s">
        <v>2926</v>
      </c>
      <c r="D244" s="5610" t="s">
        <v>2927</v>
      </c>
      <c r="E244" s="5610" t="s">
        <v>2928</v>
      </c>
      <c r="F244" s="5610" t="s">
        <v>2730</v>
      </c>
      <c r="G244" s="5610" t="s">
        <v>2929</v>
      </c>
      <c r="H244" s="5610" t="s">
        <v>28</v>
      </c>
      <c r="I244" s="5610" t="s">
        <v>861</v>
      </c>
    </row>
    <row customHeight="1" ht="11.25">
      <c r="A245" s="5610" t="s">
        <v>2257</v>
      </c>
      <c r="B245" s="5610" t="s">
        <v>16</v>
      </c>
      <c r="C245" s="5610" t="s">
        <v>2456</v>
      </c>
      <c r="D245" s="5610" t="s">
        <v>2457</v>
      </c>
      <c r="E245" s="5610" t="s">
        <v>2458</v>
      </c>
      <c r="F245" s="5610" t="s">
        <v>2315</v>
      </c>
      <c r="G245" s="5610" t="s">
        <v>28</v>
      </c>
      <c r="H245" s="5610" t="s">
        <v>28</v>
      </c>
      <c r="I245" s="5610" t="s">
        <v>861</v>
      </c>
    </row>
    <row customHeight="1" ht="11.25">
      <c r="A246" s="5610" t="s">
        <v>2257</v>
      </c>
      <c r="B246" s="5610" t="s">
        <v>16</v>
      </c>
      <c r="C246" s="5610" t="s">
        <v>2930</v>
      </c>
      <c r="D246" s="5610" t="s">
        <v>2931</v>
      </c>
      <c r="E246" s="5610" t="s">
        <v>2932</v>
      </c>
      <c r="F246" s="5610" t="s">
        <v>2489</v>
      </c>
      <c r="G246" s="5610" t="s">
        <v>28</v>
      </c>
      <c r="H246" s="5610" t="s">
        <v>28</v>
      </c>
      <c r="I246" s="5610" t="s">
        <v>861</v>
      </c>
    </row>
    <row customHeight="1" ht="11.25">
      <c r="A247" s="5610" t="s">
        <v>2257</v>
      </c>
      <c r="B247" s="5610" t="s">
        <v>16</v>
      </c>
      <c r="C247" s="5610" t="s">
        <v>2466</v>
      </c>
      <c r="D247" s="5610" t="s">
        <v>2467</v>
      </c>
      <c r="E247" s="5610" t="s">
        <v>2468</v>
      </c>
      <c r="F247" s="5610" t="s">
        <v>2469</v>
      </c>
      <c r="G247" s="5610" t="s">
        <v>28</v>
      </c>
      <c r="H247" s="5610" t="s">
        <v>28</v>
      </c>
      <c r="I247" s="5610" t="s">
        <v>861</v>
      </c>
    </row>
    <row customHeight="1" ht="11.25">
      <c r="A248" s="5610" t="s">
        <v>2257</v>
      </c>
      <c r="B248" s="5610" t="s">
        <v>16</v>
      </c>
      <c r="C248" s="5610" t="s">
        <v>2933</v>
      </c>
      <c r="D248" s="5610" t="s">
        <v>2934</v>
      </c>
      <c r="E248" s="5610" t="s">
        <v>2935</v>
      </c>
      <c r="F248" s="5610" t="s">
        <v>2380</v>
      </c>
      <c r="G248" s="5610" t="s">
        <v>28</v>
      </c>
      <c r="H248" s="5610" t="s">
        <v>28</v>
      </c>
      <c r="I248" s="5610" t="s">
        <v>861</v>
      </c>
    </row>
    <row customHeight="1" ht="11.25">
      <c r="A249" s="5610" t="s">
        <v>2257</v>
      </c>
      <c r="B249" s="5610" t="s">
        <v>16</v>
      </c>
      <c r="C249" s="5610" t="s">
        <v>2936</v>
      </c>
      <c r="D249" s="5610" t="s">
        <v>2937</v>
      </c>
      <c r="E249" s="5610" t="s">
        <v>2938</v>
      </c>
      <c r="F249" s="5610" t="s">
        <v>2802</v>
      </c>
      <c r="G249" s="5610" t="s">
        <v>2939</v>
      </c>
      <c r="H249" s="5610" t="s">
        <v>28</v>
      </c>
      <c r="I249" s="5610" t="s">
        <v>861</v>
      </c>
    </row>
    <row customHeight="1" ht="11.25">
      <c r="A250" s="5610" t="s">
        <v>2257</v>
      </c>
      <c r="B250" s="5610" t="s">
        <v>16</v>
      </c>
      <c r="C250" s="5610" t="s">
        <v>2940</v>
      </c>
      <c r="D250" s="5610" t="s">
        <v>2941</v>
      </c>
      <c r="E250" s="5610" t="s">
        <v>2942</v>
      </c>
      <c r="F250" s="5610" t="s">
        <v>2437</v>
      </c>
      <c r="G250" s="5610" t="s">
        <v>28</v>
      </c>
      <c r="H250" s="5610" t="s">
        <v>28</v>
      </c>
      <c r="I250" s="5610" t="s">
        <v>861</v>
      </c>
    </row>
    <row customHeight="1" ht="11.25">
      <c r="A251" s="5610" t="s">
        <v>2257</v>
      </c>
      <c r="B251" s="5610" t="s">
        <v>16</v>
      </c>
      <c r="C251" s="5610" t="s">
        <v>2943</v>
      </c>
      <c r="D251" s="5610" t="s">
        <v>2944</v>
      </c>
      <c r="E251" s="5610" t="s">
        <v>2945</v>
      </c>
      <c r="F251" s="5610" t="s">
        <v>2477</v>
      </c>
      <c r="G251" s="5610" t="s">
        <v>28</v>
      </c>
      <c r="H251" s="5610" t="s">
        <v>28</v>
      </c>
      <c r="I251" s="5610" t="s">
        <v>861</v>
      </c>
    </row>
    <row customHeight="1" ht="11.25">
      <c r="A252" s="5610" t="s">
        <v>2257</v>
      </c>
      <c r="B252" s="5610" t="s">
        <v>16</v>
      </c>
      <c r="C252" s="5610" t="s">
        <v>2946</v>
      </c>
      <c r="D252" s="5610" t="s">
        <v>2947</v>
      </c>
      <c r="E252" s="5610" t="s">
        <v>2948</v>
      </c>
      <c r="F252" s="5610" t="s">
        <v>2949</v>
      </c>
      <c r="G252" s="5610" t="s">
        <v>2950</v>
      </c>
      <c r="H252" s="5610" t="s">
        <v>28</v>
      </c>
      <c r="I252" s="5610" t="s">
        <v>861</v>
      </c>
    </row>
    <row customHeight="1" ht="11.25">
      <c r="A253" s="5610" t="s">
        <v>2257</v>
      </c>
      <c r="B253" s="5610" t="s">
        <v>16</v>
      </c>
      <c r="C253" s="5610" t="s">
        <v>2951</v>
      </c>
      <c r="D253" s="5610" t="s">
        <v>2952</v>
      </c>
      <c r="E253" s="5610" t="s">
        <v>2953</v>
      </c>
      <c r="F253" s="5610" t="s">
        <v>2954</v>
      </c>
      <c r="G253" s="5610" t="s">
        <v>28</v>
      </c>
      <c r="H253" s="5610" t="s">
        <v>28</v>
      </c>
      <c r="I253" s="5610" t="s">
        <v>861</v>
      </c>
    </row>
    <row customHeight="1" ht="11.25">
      <c r="A254" s="5610" t="s">
        <v>2257</v>
      </c>
      <c r="B254" s="5610" t="s">
        <v>16</v>
      </c>
      <c r="C254" s="5610" t="s">
        <v>2955</v>
      </c>
      <c r="D254" s="5610" t="s">
        <v>2956</v>
      </c>
      <c r="E254" s="5610" t="s">
        <v>2957</v>
      </c>
      <c r="F254" s="5610" t="s">
        <v>2523</v>
      </c>
      <c r="G254" s="5610" t="s">
        <v>2958</v>
      </c>
      <c r="H254" s="5610" t="s">
        <v>28</v>
      </c>
      <c r="I254" s="5610" t="s">
        <v>861</v>
      </c>
    </row>
    <row customHeight="1" ht="11.25">
      <c r="A255" s="5610" t="s">
        <v>2257</v>
      </c>
      <c r="B255" s="5610" t="s">
        <v>16</v>
      </c>
      <c r="C255" s="5610" t="s">
        <v>2470</v>
      </c>
      <c r="D255" s="5610" t="s">
        <v>2471</v>
      </c>
      <c r="E255" s="5610" t="s">
        <v>2472</v>
      </c>
      <c r="F255" s="5610" t="s">
        <v>2473</v>
      </c>
      <c r="G255" s="5610" t="s">
        <v>28</v>
      </c>
      <c r="H255" s="5610" t="s">
        <v>28</v>
      </c>
      <c r="I255" s="5610" t="s">
        <v>861</v>
      </c>
    </row>
    <row customHeight="1" ht="11.25">
      <c r="A256" s="5610" t="s">
        <v>2257</v>
      </c>
      <c r="B256" s="5610" t="s">
        <v>16</v>
      </c>
      <c r="C256" s="5610" t="s">
        <v>2482</v>
      </c>
      <c r="D256" s="5610" t="s">
        <v>2483</v>
      </c>
      <c r="E256" s="5610" t="s">
        <v>2484</v>
      </c>
      <c r="F256" s="5610" t="s">
        <v>2485</v>
      </c>
      <c r="G256" s="5610" t="s">
        <v>28</v>
      </c>
      <c r="H256" s="5610" t="s">
        <v>28</v>
      </c>
      <c r="I256" s="5610" t="s">
        <v>861</v>
      </c>
    </row>
    <row customHeight="1" ht="11.25">
      <c r="A257" s="5610" t="s">
        <v>2257</v>
      </c>
      <c r="B257" s="5610" t="s">
        <v>16</v>
      </c>
      <c r="C257" s="5610" t="s">
        <v>2959</v>
      </c>
      <c r="D257" s="5610" t="s">
        <v>2960</v>
      </c>
      <c r="E257" s="5610" t="s">
        <v>2961</v>
      </c>
      <c r="F257" s="5610" t="s">
        <v>2585</v>
      </c>
      <c r="G257" s="5610" t="s">
        <v>28</v>
      </c>
      <c r="H257" s="5610" t="s">
        <v>28</v>
      </c>
      <c r="I257" s="5610" t="s">
        <v>861</v>
      </c>
    </row>
    <row customHeight="1" ht="11.25">
      <c r="A258" s="5610" t="s">
        <v>2257</v>
      </c>
      <c r="B258" s="5610" t="s">
        <v>16</v>
      </c>
      <c r="C258" s="5610" t="s">
        <v>2962</v>
      </c>
      <c r="D258" s="5610" t="s">
        <v>2963</v>
      </c>
      <c r="E258" s="5610" t="s">
        <v>2964</v>
      </c>
      <c r="F258" s="5610" t="s">
        <v>2965</v>
      </c>
      <c r="G258" s="5610" t="s">
        <v>28</v>
      </c>
      <c r="H258" s="5610" t="s">
        <v>28</v>
      </c>
      <c r="I258" s="5610" t="s">
        <v>861</v>
      </c>
    </row>
    <row customHeight="1" ht="11.25">
      <c r="A259" s="5610" t="s">
        <v>2257</v>
      </c>
      <c r="B259" s="5610" t="s">
        <v>16</v>
      </c>
      <c r="C259" s="5610" t="s">
        <v>2966</v>
      </c>
      <c r="D259" s="5610" t="s">
        <v>2967</v>
      </c>
      <c r="E259" s="5610" t="s">
        <v>2968</v>
      </c>
      <c r="F259" s="5610" t="s">
        <v>2380</v>
      </c>
      <c r="G259" s="5610" t="s">
        <v>28</v>
      </c>
      <c r="H259" s="5610" t="s">
        <v>28</v>
      </c>
      <c r="I259" s="5610" t="s">
        <v>861</v>
      </c>
    </row>
    <row customHeight="1" ht="11.25">
      <c r="A260" s="5610" t="s">
        <v>2257</v>
      </c>
      <c r="B260" s="5610" t="s">
        <v>16</v>
      </c>
      <c r="C260" s="5610" t="s">
        <v>2969</v>
      </c>
      <c r="D260" s="5610" t="s">
        <v>2970</v>
      </c>
      <c r="E260" s="5610" t="s">
        <v>2971</v>
      </c>
      <c r="F260" s="5610" t="s">
        <v>2452</v>
      </c>
      <c r="G260" s="5610" t="s">
        <v>28</v>
      </c>
      <c r="H260" s="5610" t="s">
        <v>28</v>
      </c>
      <c r="I260" s="5610" t="s">
        <v>861</v>
      </c>
    </row>
    <row customHeight="1" ht="11.25">
      <c r="A261" s="5610" t="s">
        <v>2257</v>
      </c>
      <c r="B261" s="5610" t="s">
        <v>16</v>
      </c>
      <c r="C261" s="5610" t="s">
        <v>2972</v>
      </c>
      <c r="D261" s="5610" t="s">
        <v>2973</v>
      </c>
      <c r="E261" s="5610" t="s">
        <v>2974</v>
      </c>
      <c r="F261" s="5610" t="s">
        <v>2298</v>
      </c>
      <c r="G261" s="5610" t="s">
        <v>28</v>
      </c>
      <c r="H261" s="5610" t="s">
        <v>28</v>
      </c>
      <c r="I261" s="5610" t="s">
        <v>861</v>
      </c>
    </row>
    <row customHeight="1" ht="11.25">
      <c r="A262" s="5610" t="s">
        <v>2257</v>
      </c>
      <c r="B262" s="5610" t="s">
        <v>16</v>
      </c>
      <c r="C262" s="5610" t="s">
        <v>2975</v>
      </c>
      <c r="D262" s="5610" t="s">
        <v>2976</v>
      </c>
      <c r="E262" s="5610" t="s">
        <v>2977</v>
      </c>
      <c r="F262" s="5610" t="s">
        <v>2500</v>
      </c>
      <c r="G262" s="5610" t="s">
        <v>28</v>
      </c>
      <c r="H262" s="5610" t="s">
        <v>28</v>
      </c>
      <c r="I262" s="5610" t="s">
        <v>861</v>
      </c>
    </row>
    <row customHeight="1" ht="11.25">
      <c r="A263" s="5610" t="s">
        <v>2257</v>
      </c>
      <c r="B263" s="5610" t="s">
        <v>16</v>
      </c>
      <c r="C263" s="5610" t="s">
        <v>2978</v>
      </c>
      <c r="D263" s="5610" t="s">
        <v>2979</v>
      </c>
      <c r="E263" s="5610" t="s">
        <v>2980</v>
      </c>
      <c r="F263" s="5610" t="s">
        <v>2500</v>
      </c>
      <c r="G263" s="5610" t="s">
        <v>28</v>
      </c>
      <c r="H263" s="5610" t="s">
        <v>28</v>
      </c>
      <c r="I263" s="5610" t="s">
        <v>861</v>
      </c>
    </row>
    <row customHeight="1" ht="11.25">
      <c r="A264" s="5610" t="s">
        <v>2257</v>
      </c>
      <c r="B264" s="5610" t="s">
        <v>16</v>
      </c>
      <c r="C264" s="5610" t="s">
        <v>2981</v>
      </c>
      <c r="D264" s="5610" t="s">
        <v>2982</v>
      </c>
      <c r="E264" s="5610" t="s">
        <v>2983</v>
      </c>
      <c r="F264" s="5610" t="s">
        <v>2307</v>
      </c>
      <c r="G264" s="5610" t="s">
        <v>2984</v>
      </c>
      <c r="H264" s="5610" t="s">
        <v>28</v>
      </c>
      <c r="I264" s="5610" t="s">
        <v>861</v>
      </c>
    </row>
    <row customHeight="1" ht="11.25">
      <c r="A265" s="5610" t="s">
        <v>2257</v>
      </c>
      <c r="B265" s="5610" t="s">
        <v>16</v>
      </c>
      <c r="C265" s="5610" t="s">
        <v>2985</v>
      </c>
      <c r="D265" s="5610" t="s">
        <v>2986</v>
      </c>
      <c r="E265" s="5610" t="s">
        <v>2987</v>
      </c>
      <c r="F265" s="5610" t="s">
        <v>2392</v>
      </c>
      <c r="G265" s="5610" t="s">
        <v>28</v>
      </c>
      <c r="H265" s="5610" t="s">
        <v>28</v>
      </c>
      <c r="I265" s="5610" t="s">
        <v>861</v>
      </c>
    </row>
    <row customHeight="1" ht="11.25">
      <c r="A266" s="5610" t="s">
        <v>2257</v>
      </c>
      <c r="B266" s="5610" t="s">
        <v>16</v>
      </c>
      <c r="C266" s="5610" t="s">
        <v>2534</v>
      </c>
      <c r="D266" s="5610" t="s">
        <v>2535</v>
      </c>
      <c r="E266" s="5610" t="s">
        <v>2536</v>
      </c>
      <c r="F266" s="5610" t="s">
        <v>2452</v>
      </c>
      <c r="G266" s="5610" t="s">
        <v>28</v>
      </c>
      <c r="H266" s="5610" t="s">
        <v>28</v>
      </c>
      <c r="I266" s="5610" t="s">
        <v>861</v>
      </c>
    </row>
    <row customHeight="1" ht="11.25">
      <c r="A267" s="5610" t="s">
        <v>2257</v>
      </c>
      <c r="B267" s="5610" t="s">
        <v>16</v>
      </c>
      <c r="C267" s="5610" t="s">
        <v>2988</v>
      </c>
      <c r="D267" s="5610" t="s">
        <v>2989</v>
      </c>
      <c r="E267" s="5610" t="s">
        <v>2990</v>
      </c>
      <c r="F267" s="5610" t="s">
        <v>2376</v>
      </c>
      <c r="G267" s="5610" t="s">
        <v>28</v>
      </c>
      <c r="H267" s="5610" t="s">
        <v>28</v>
      </c>
      <c r="I267" s="5610" t="s">
        <v>861</v>
      </c>
    </row>
    <row customHeight="1" ht="11.25">
      <c r="A268" s="5610" t="s">
        <v>2257</v>
      </c>
      <c r="B268" s="5610" t="s">
        <v>16</v>
      </c>
      <c r="C268" s="5610" t="s">
        <v>2991</v>
      </c>
      <c r="D268" s="5610" t="s">
        <v>2992</v>
      </c>
      <c r="E268" s="5610" t="s">
        <v>2993</v>
      </c>
      <c r="F268" s="5610" t="s">
        <v>2298</v>
      </c>
      <c r="G268" s="5610" t="s">
        <v>2994</v>
      </c>
      <c r="H268" s="5610" t="s">
        <v>28</v>
      </c>
      <c r="I268" s="5610" t="s">
        <v>861</v>
      </c>
    </row>
    <row customHeight="1" ht="11.25">
      <c r="A269" s="5610" t="s">
        <v>2257</v>
      </c>
      <c r="B269" s="5610" t="s">
        <v>16</v>
      </c>
      <c r="C269" s="5610" t="s">
        <v>2995</v>
      </c>
      <c r="D269" s="5610" t="s">
        <v>2996</v>
      </c>
      <c r="E269" s="5610" t="s">
        <v>2997</v>
      </c>
      <c r="F269" s="5610" t="s">
        <v>2802</v>
      </c>
      <c r="G269" s="5610" t="s">
        <v>28</v>
      </c>
      <c r="H269" s="5610" t="s">
        <v>28</v>
      </c>
      <c r="I269" s="5610" t="s">
        <v>861</v>
      </c>
    </row>
    <row customHeight="1" ht="11.25">
      <c r="A270" s="5610" t="s">
        <v>2257</v>
      </c>
      <c r="B270" s="5610" t="s">
        <v>16</v>
      </c>
      <c r="C270" s="5610" t="s">
        <v>2998</v>
      </c>
      <c r="D270" s="5610" t="s">
        <v>2999</v>
      </c>
      <c r="E270" s="5610" t="s">
        <v>3000</v>
      </c>
      <c r="F270" s="5610" t="s">
        <v>2699</v>
      </c>
      <c r="G270" s="5610" t="s">
        <v>28</v>
      </c>
      <c r="H270" s="5610" t="s">
        <v>28</v>
      </c>
      <c r="I270" s="5610" t="s">
        <v>861</v>
      </c>
    </row>
    <row customHeight="1" ht="11.25">
      <c r="A271" s="5610" t="s">
        <v>2257</v>
      </c>
      <c r="B271" s="5610" t="s">
        <v>16</v>
      </c>
      <c r="C271" s="5610" t="s">
        <v>3001</v>
      </c>
      <c r="D271" s="5610" t="s">
        <v>3002</v>
      </c>
      <c r="E271" s="5610" t="s">
        <v>3003</v>
      </c>
      <c r="F271" s="5610" t="s">
        <v>2392</v>
      </c>
      <c r="G271" s="5610" t="s">
        <v>3004</v>
      </c>
      <c r="H271" s="5610" t="s">
        <v>28</v>
      </c>
      <c r="I271" s="5610" t="s">
        <v>861</v>
      </c>
    </row>
    <row customHeight="1" ht="11.25">
      <c r="A272" s="5610" t="s">
        <v>2257</v>
      </c>
      <c r="B272" s="5610" t="s">
        <v>16</v>
      </c>
      <c r="C272" s="5610" t="s">
        <v>3005</v>
      </c>
      <c r="D272" s="5610" t="s">
        <v>3006</v>
      </c>
      <c r="E272" s="5610" t="s">
        <v>3007</v>
      </c>
      <c r="F272" s="5610" t="s">
        <v>2388</v>
      </c>
      <c r="G272" s="5610" t="s">
        <v>28</v>
      </c>
      <c r="H272" s="5610" t="s">
        <v>28</v>
      </c>
      <c r="I272" s="5610" t="s">
        <v>861</v>
      </c>
    </row>
    <row customHeight="1" ht="11.25">
      <c r="A273" s="5610" t="s">
        <v>2257</v>
      </c>
      <c r="B273" s="5610" t="s">
        <v>16</v>
      </c>
      <c r="C273" s="5610" t="s">
        <v>3008</v>
      </c>
      <c r="D273" s="5610" t="s">
        <v>3009</v>
      </c>
      <c r="E273" s="5610" t="s">
        <v>3010</v>
      </c>
      <c r="F273" s="5610" t="s">
        <v>3011</v>
      </c>
      <c r="G273" s="5610" t="s">
        <v>28</v>
      </c>
      <c r="H273" s="5610" t="s">
        <v>28</v>
      </c>
      <c r="I273" s="5610" t="s">
        <v>861</v>
      </c>
    </row>
    <row customHeight="1" ht="11.25">
      <c r="A274" s="5610" t="s">
        <v>2257</v>
      </c>
      <c r="B274" s="5610" t="s">
        <v>16</v>
      </c>
      <c r="C274" s="5610" t="s">
        <v>2566</v>
      </c>
      <c r="D274" s="5610" t="s">
        <v>2567</v>
      </c>
      <c r="E274" s="5610" t="s">
        <v>2568</v>
      </c>
      <c r="F274" s="5610" t="s">
        <v>2519</v>
      </c>
      <c r="G274" s="5610" t="s">
        <v>2569</v>
      </c>
      <c r="H274" s="5610" t="s">
        <v>28</v>
      </c>
      <c r="I274" s="5610" t="s">
        <v>861</v>
      </c>
    </row>
    <row customHeight="1" ht="11.25">
      <c r="A275" s="5610" t="s">
        <v>2257</v>
      </c>
      <c r="B275" s="5610" t="s">
        <v>16</v>
      </c>
      <c r="C275" s="5610" t="s">
        <v>3012</v>
      </c>
      <c r="D275" s="5610" t="s">
        <v>3013</v>
      </c>
      <c r="E275" s="5610" t="s">
        <v>3014</v>
      </c>
      <c r="F275" s="5610" t="s">
        <v>3015</v>
      </c>
      <c r="G275" s="5610" t="s">
        <v>28</v>
      </c>
      <c r="H275" s="5610" t="s">
        <v>28</v>
      </c>
      <c r="I275" s="5610" t="s">
        <v>861</v>
      </c>
    </row>
    <row customHeight="1" ht="11.25">
      <c r="A276" s="5610" t="s">
        <v>2257</v>
      </c>
      <c r="B276" s="5610" t="s">
        <v>16</v>
      </c>
      <c r="C276" s="5610" t="s">
        <v>3016</v>
      </c>
      <c r="D276" s="5610" t="s">
        <v>3017</v>
      </c>
      <c r="E276" s="5610" t="s">
        <v>3018</v>
      </c>
      <c r="F276" s="5610" t="s">
        <v>2519</v>
      </c>
      <c r="G276" s="5610" t="s">
        <v>3019</v>
      </c>
      <c r="H276" s="5610" t="s">
        <v>28</v>
      </c>
      <c r="I276" s="5610" t="s">
        <v>861</v>
      </c>
    </row>
    <row customHeight="1" ht="11.25">
      <c r="A277" s="5610" t="s">
        <v>2257</v>
      </c>
      <c r="B277" s="5610" t="s">
        <v>16</v>
      </c>
      <c r="C277" s="5610" t="s">
        <v>3020</v>
      </c>
      <c r="D277" s="5610" t="s">
        <v>3021</v>
      </c>
      <c r="E277" s="5610" t="s">
        <v>3022</v>
      </c>
      <c r="F277" s="5610" t="s">
        <v>2527</v>
      </c>
      <c r="G277" s="5610" t="s">
        <v>3023</v>
      </c>
      <c r="H277" s="5610" t="s">
        <v>28</v>
      </c>
      <c r="I277" s="5610" t="s">
        <v>861</v>
      </c>
    </row>
    <row customHeight="1" ht="11.25">
      <c r="A278" s="5610" t="s">
        <v>2257</v>
      </c>
      <c r="B278" s="5610" t="s">
        <v>16</v>
      </c>
      <c r="C278" s="5610" t="s">
        <v>2601</v>
      </c>
      <c r="D278" s="5610" t="s">
        <v>2602</v>
      </c>
      <c r="E278" s="5610" t="s">
        <v>2603</v>
      </c>
      <c r="F278" s="5610" t="s">
        <v>2604</v>
      </c>
      <c r="G278" s="5610" t="s">
        <v>28</v>
      </c>
      <c r="H278" s="5610" t="s">
        <v>28</v>
      </c>
      <c r="I278" s="5610" t="s">
        <v>861</v>
      </c>
    </row>
    <row customHeight="1" ht="11.25">
      <c r="A279" s="5610" t="s">
        <v>2257</v>
      </c>
      <c r="B279" s="5610" t="s">
        <v>16</v>
      </c>
      <c r="C279" s="5610" t="s">
        <v>3024</v>
      </c>
      <c r="D279" s="5610" t="s">
        <v>3025</v>
      </c>
      <c r="E279" s="5610" t="s">
        <v>3026</v>
      </c>
      <c r="F279" s="5610" t="s">
        <v>2298</v>
      </c>
      <c r="G279" s="5610" t="s">
        <v>28</v>
      </c>
      <c r="H279" s="5610" t="s">
        <v>28</v>
      </c>
      <c r="I279" s="5610" t="s">
        <v>861</v>
      </c>
    </row>
    <row customHeight="1" ht="11.25">
      <c r="A280" s="5610" t="s">
        <v>2257</v>
      </c>
      <c r="B280" s="5610" t="s">
        <v>16</v>
      </c>
      <c r="C280" s="5610" t="s">
        <v>3027</v>
      </c>
      <c r="D280" s="5610" t="s">
        <v>3028</v>
      </c>
      <c r="E280" s="5610" t="s">
        <v>3029</v>
      </c>
      <c r="F280" s="5610" t="s">
        <v>2376</v>
      </c>
      <c r="G280" s="5610" t="s">
        <v>3030</v>
      </c>
      <c r="H280" s="5610" t="s">
        <v>28</v>
      </c>
      <c r="I280" s="5610" t="s">
        <v>861</v>
      </c>
    </row>
    <row customHeight="1" ht="11.25">
      <c r="A281" s="5610" t="s">
        <v>2257</v>
      </c>
      <c r="B281" s="5610" t="s">
        <v>16</v>
      </c>
      <c r="C281" s="5610" t="s">
        <v>3031</v>
      </c>
      <c r="D281" s="5610" t="s">
        <v>3032</v>
      </c>
      <c r="E281" s="5610" t="s">
        <v>3033</v>
      </c>
      <c r="F281" s="5610" t="s">
        <v>3034</v>
      </c>
      <c r="G281" s="5610" t="s">
        <v>28</v>
      </c>
      <c r="H281" s="5610" t="s">
        <v>28</v>
      </c>
      <c r="I281" s="5610" t="s">
        <v>861</v>
      </c>
    </row>
    <row customHeight="1" ht="11.25">
      <c r="A282" s="5610" t="s">
        <v>2257</v>
      </c>
      <c r="B282" s="5610" t="s">
        <v>16</v>
      </c>
      <c r="C282" s="5610" t="s">
        <v>3035</v>
      </c>
      <c r="D282" s="5610" t="s">
        <v>3036</v>
      </c>
      <c r="E282" s="5610" t="s">
        <v>3037</v>
      </c>
      <c r="F282" s="5610" t="s">
        <v>2661</v>
      </c>
      <c r="G282" s="5610" t="s">
        <v>28</v>
      </c>
      <c r="H282" s="5610" t="s">
        <v>28</v>
      </c>
      <c r="I282" s="5610" t="s">
        <v>861</v>
      </c>
    </row>
    <row customHeight="1" ht="11.25">
      <c r="A283" s="5610" t="s">
        <v>2257</v>
      </c>
      <c r="B283" s="5610" t="s">
        <v>16</v>
      </c>
      <c r="C283" s="5610" t="s">
        <v>3038</v>
      </c>
      <c r="D283" s="5610" t="s">
        <v>3039</v>
      </c>
      <c r="E283" s="5610" t="s">
        <v>3040</v>
      </c>
      <c r="F283" s="5610" t="s">
        <v>2699</v>
      </c>
      <c r="G283" s="5610" t="s">
        <v>28</v>
      </c>
      <c r="H283" s="5610" t="s">
        <v>28</v>
      </c>
      <c r="I283" s="5610" t="s">
        <v>861</v>
      </c>
    </row>
    <row customHeight="1" ht="11.25">
      <c r="A284" s="5610" t="s">
        <v>2257</v>
      </c>
      <c r="B284" s="5610" t="s">
        <v>16</v>
      </c>
      <c r="C284" s="5610" t="s">
        <v>3041</v>
      </c>
      <c r="D284" s="5610" t="s">
        <v>3042</v>
      </c>
      <c r="E284" s="5610" t="s">
        <v>3043</v>
      </c>
      <c r="F284" s="5610" t="s">
        <v>2448</v>
      </c>
      <c r="G284" s="5610" t="s">
        <v>3044</v>
      </c>
      <c r="H284" s="5610" t="s">
        <v>28</v>
      </c>
      <c r="I284" s="5610" t="s">
        <v>861</v>
      </c>
    </row>
    <row customHeight="1" ht="11.25">
      <c r="A285" s="5610" t="s">
        <v>2257</v>
      </c>
      <c r="B285" s="5610" t="s">
        <v>16</v>
      </c>
      <c r="C285" s="5610" t="s">
        <v>2757</v>
      </c>
      <c r="D285" s="5610" t="s">
        <v>2758</v>
      </c>
      <c r="E285" s="5610" t="s">
        <v>2759</v>
      </c>
      <c r="F285" s="5610" t="s">
        <v>2760</v>
      </c>
      <c r="G285" s="5610" t="s">
        <v>28</v>
      </c>
      <c r="H285" s="5610" t="s">
        <v>28</v>
      </c>
      <c r="I285" s="5610" t="s">
        <v>861</v>
      </c>
    </row>
    <row customHeight="1" ht="11.25">
      <c r="A286" s="5610" t="s">
        <v>2257</v>
      </c>
      <c r="B286" s="5610" t="s">
        <v>16</v>
      </c>
      <c r="C286" s="5610" t="s">
        <v>3045</v>
      </c>
      <c r="D286" s="5610" t="s">
        <v>3046</v>
      </c>
      <c r="E286" s="5610" t="s">
        <v>3047</v>
      </c>
      <c r="F286" s="5610" t="s">
        <v>2346</v>
      </c>
      <c r="G286" s="5610" t="s">
        <v>28</v>
      </c>
      <c r="H286" s="5610" t="s">
        <v>28</v>
      </c>
      <c r="I286" s="5610" t="s">
        <v>861</v>
      </c>
    </row>
    <row customHeight="1" ht="11.25">
      <c r="A287" s="5610" t="s">
        <v>2257</v>
      </c>
      <c r="B287" s="5610" t="s">
        <v>16</v>
      </c>
      <c r="C287" s="5610" t="s">
        <v>3048</v>
      </c>
      <c r="D287" s="5610" t="s">
        <v>3049</v>
      </c>
      <c r="E287" s="5610" t="s">
        <v>3050</v>
      </c>
      <c r="F287" s="5610" t="s">
        <v>2809</v>
      </c>
      <c r="G287" s="5610" t="s">
        <v>2994</v>
      </c>
      <c r="H287" s="5610" t="s">
        <v>28</v>
      </c>
      <c r="I287" s="5610" t="s">
        <v>861</v>
      </c>
    </row>
    <row customHeight="1" ht="11.25">
      <c r="A288" s="5610" t="s">
        <v>2257</v>
      </c>
      <c r="B288" s="5610" t="s">
        <v>16</v>
      </c>
      <c r="C288" s="5610" t="s">
        <v>3051</v>
      </c>
      <c r="D288" s="5610" t="s">
        <v>3052</v>
      </c>
      <c r="E288" s="5610" t="s">
        <v>3053</v>
      </c>
      <c r="F288" s="5610" t="s">
        <v>2315</v>
      </c>
      <c r="G288" s="5610" t="s">
        <v>28</v>
      </c>
      <c r="H288" s="5610" t="s">
        <v>28</v>
      </c>
      <c r="I288" s="5610" t="s">
        <v>861</v>
      </c>
    </row>
    <row customHeight="1" ht="11.25">
      <c r="A289" s="5610" t="s">
        <v>2257</v>
      </c>
      <c r="B289" s="5610" t="s">
        <v>16</v>
      </c>
      <c r="C289" s="5610" t="s">
        <v>3054</v>
      </c>
      <c r="D289" s="5610" t="s">
        <v>3055</v>
      </c>
      <c r="E289" s="5610" t="s">
        <v>3056</v>
      </c>
      <c r="F289" s="5610" t="s">
        <v>2376</v>
      </c>
      <c r="G289" s="5610" t="s">
        <v>28</v>
      </c>
      <c r="H289" s="5610" t="s">
        <v>28</v>
      </c>
      <c r="I289" s="5610" t="s">
        <v>861</v>
      </c>
    </row>
    <row customHeight="1" ht="11.25">
      <c r="A290" s="5610" t="s">
        <v>2257</v>
      </c>
      <c r="B290" s="5610" t="s">
        <v>16</v>
      </c>
      <c r="C290" s="5610" t="s">
        <v>28</v>
      </c>
      <c r="D290" s="5610" t="s">
        <v>2771</v>
      </c>
      <c r="E290" s="5610" t="s">
        <v>2772</v>
      </c>
      <c r="F290" s="5610" t="s">
        <v>2519</v>
      </c>
      <c r="G290" s="5610" t="s">
        <v>28</v>
      </c>
      <c r="H290" s="5610" t="s">
        <v>28</v>
      </c>
      <c r="I290" s="5610" t="s">
        <v>861</v>
      </c>
    </row>
    <row customHeight="1" ht="11.25">
      <c r="A291" s="5610" t="s">
        <v>2257</v>
      </c>
      <c r="B291" s="5610" t="s">
        <v>16</v>
      </c>
      <c r="C291" s="5610" t="s">
        <v>3057</v>
      </c>
      <c r="D291" s="5610" t="s">
        <v>3058</v>
      </c>
      <c r="E291" s="5610" t="s">
        <v>3059</v>
      </c>
      <c r="F291" s="5610" t="s">
        <v>2515</v>
      </c>
      <c r="G291" s="5610" t="s">
        <v>28</v>
      </c>
      <c r="H291" s="5610" t="s">
        <v>28</v>
      </c>
      <c r="I291" s="5610" t="s">
        <v>861</v>
      </c>
    </row>
    <row customHeight="1" ht="11.25">
      <c r="A292" s="5610" t="s">
        <v>2257</v>
      </c>
      <c r="B292" s="5610" t="s">
        <v>16</v>
      </c>
      <c r="C292" s="5610" t="s">
        <v>2780</v>
      </c>
      <c r="D292" s="5610" t="s">
        <v>2781</v>
      </c>
      <c r="E292" s="5610" t="s">
        <v>2775</v>
      </c>
      <c r="F292" s="5610" t="s">
        <v>2782</v>
      </c>
      <c r="G292" s="5610" t="s">
        <v>28</v>
      </c>
      <c r="H292" s="5610" t="s">
        <v>28</v>
      </c>
      <c r="I292" s="5610" t="s">
        <v>861</v>
      </c>
    </row>
    <row customHeight="1" ht="11.25">
      <c r="A293" s="5610" t="s">
        <v>2257</v>
      </c>
      <c r="B293" s="5610" t="s">
        <v>16</v>
      </c>
      <c r="C293" s="5610" t="s">
        <v>3060</v>
      </c>
      <c r="D293" s="5610" t="s">
        <v>3061</v>
      </c>
      <c r="E293" s="5610" t="s">
        <v>3062</v>
      </c>
      <c r="F293" s="5610" t="s">
        <v>2507</v>
      </c>
      <c r="G293" s="5610" t="s">
        <v>28</v>
      </c>
      <c r="H293" s="5610" t="s">
        <v>28</v>
      </c>
      <c r="I293" s="5610" t="s">
        <v>861</v>
      </c>
    </row>
    <row customHeight="1" ht="11.25">
      <c r="A294" s="5610" t="s">
        <v>2257</v>
      </c>
      <c r="B294" s="5610" t="s">
        <v>16</v>
      </c>
      <c r="C294" s="5610" t="s">
        <v>2793</v>
      </c>
      <c r="D294" s="5610" t="s">
        <v>2794</v>
      </c>
      <c r="E294" s="5610" t="s">
        <v>2795</v>
      </c>
      <c r="F294" s="5610" t="s">
        <v>2507</v>
      </c>
      <c r="G294" s="5610" t="s">
        <v>28</v>
      </c>
      <c r="H294" s="5610" t="s">
        <v>28</v>
      </c>
      <c r="I294" s="5610" t="s">
        <v>861</v>
      </c>
    </row>
    <row customHeight="1" ht="11.25">
      <c r="A295" s="5610" t="s">
        <v>2257</v>
      </c>
      <c r="B295" s="5610" t="s">
        <v>16</v>
      </c>
      <c r="C295" s="5610" t="s">
        <v>2796</v>
      </c>
      <c r="D295" s="5610" t="s">
        <v>2797</v>
      </c>
      <c r="E295" s="5610" t="s">
        <v>2798</v>
      </c>
      <c r="F295" s="5610" t="s">
        <v>2507</v>
      </c>
      <c r="G295" s="5610" t="s">
        <v>28</v>
      </c>
      <c r="H295" s="5610" t="s">
        <v>28</v>
      </c>
      <c r="I295" s="5610" t="s">
        <v>861</v>
      </c>
    </row>
    <row customHeight="1" ht="11.25">
      <c r="A296" s="5610" t="s">
        <v>2257</v>
      </c>
      <c r="B296" s="5610" t="s">
        <v>16</v>
      </c>
      <c r="C296" s="5610" t="s">
        <v>2799</v>
      </c>
      <c r="D296" s="5610" t="s">
        <v>2800</v>
      </c>
      <c r="E296" s="5610" t="s">
        <v>2801</v>
      </c>
      <c r="F296" s="5610" t="s">
        <v>2802</v>
      </c>
      <c r="G296" s="5610" t="s">
        <v>28</v>
      </c>
      <c r="H296" s="5610" t="s">
        <v>28</v>
      </c>
      <c r="I296" s="5610" t="s">
        <v>861</v>
      </c>
    </row>
    <row customHeight="1" ht="11.25">
      <c r="A297" s="5610" t="s">
        <v>2257</v>
      </c>
      <c r="B297" s="5610" t="s">
        <v>16</v>
      </c>
      <c r="C297" s="5610" t="s">
        <v>2806</v>
      </c>
      <c r="D297" s="5610" t="s">
        <v>2807</v>
      </c>
      <c r="E297" s="5610" t="s">
        <v>2808</v>
      </c>
      <c r="F297" s="5610" t="s">
        <v>2809</v>
      </c>
      <c r="G297" s="5610" t="s">
        <v>28</v>
      </c>
      <c r="H297" s="5610" t="s">
        <v>28</v>
      </c>
      <c r="I297" s="5610" t="s">
        <v>861</v>
      </c>
    </row>
    <row customHeight="1" ht="11.25">
      <c r="A298" s="5610" t="s">
        <v>2257</v>
      </c>
      <c r="B298" s="5610" t="s">
        <v>16</v>
      </c>
      <c r="C298" s="5610" t="s">
        <v>2810</v>
      </c>
      <c r="D298" s="5610" t="s">
        <v>2811</v>
      </c>
      <c r="E298" s="5610" t="s">
        <v>2808</v>
      </c>
      <c r="F298" s="5610" t="s">
        <v>2812</v>
      </c>
      <c r="G298" s="5610" t="s">
        <v>2813</v>
      </c>
      <c r="H298" s="5610" t="s">
        <v>28</v>
      </c>
      <c r="I298" s="5610" t="s">
        <v>861</v>
      </c>
    </row>
    <row customHeight="1" ht="11.25">
      <c r="A299" s="5610" t="s">
        <v>2257</v>
      </c>
      <c r="B299" s="5610" t="s">
        <v>16</v>
      </c>
      <c r="C299" s="5610" t="s">
        <v>2825</v>
      </c>
      <c r="D299" s="5610" t="s">
        <v>2826</v>
      </c>
      <c r="E299" s="5610" t="s">
        <v>2827</v>
      </c>
      <c r="F299" s="5610" t="s">
        <v>2828</v>
      </c>
      <c r="G299" s="5610" t="s">
        <v>28</v>
      </c>
      <c r="H299" s="5610" t="s">
        <v>28</v>
      </c>
      <c r="I299" s="5610" t="s">
        <v>861</v>
      </c>
    </row>
    <row customHeight="1" ht="11.25">
      <c r="A300" s="5610" t="s">
        <v>2257</v>
      </c>
      <c r="B300" s="5610" t="s">
        <v>16</v>
      </c>
      <c r="C300" s="5610" t="s">
        <v>3063</v>
      </c>
      <c r="D300" s="5610" t="s">
        <v>3064</v>
      </c>
      <c r="E300" s="5610" t="s">
        <v>3065</v>
      </c>
      <c r="F300" s="5610" t="s">
        <v>2519</v>
      </c>
      <c r="G300" s="5610" t="s">
        <v>28</v>
      </c>
      <c r="H300" s="5610" t="s">
        <v>28</v>
      </c>
      <c r="I300" s="5610" t="s">
        <v>914</v>
      </c>
    </row>
    <row customHeight="1" ht="11.25">
      <c r="A301" s="5610" t="s">
        <v>2257</v>
      </c>
      <c r="B301" s="5610" t="s">
        <v>16</v>
      </c>
      <c r="C301" s="5610" t="s">
        <v>2295</v>
      </c>
      <c r="D301" s="5610" t="s">
        <v>2296</v>
      </c>
      <c r="E301" s="5610" t="s">
        <v>2297</v>
      </c>
      <c r="F301" s="5610" t="s">
        <v>2298</v>
      </c>
      <c r="G301" s="5610" t="s">
        <v>2299</v>
      </c>
      <c r="H301" s="5610" t="s">
        <v>28</v>
      </c>
      <c r="I301" s="5610" t="s">
        <v>914</v>
      </c>
    </row>
    <row customHeight="1" ht="11.25">
      <c r="A302" s="5610" t="s">
        <v>2257</v>
      </c>
      <c r="B302" s="5610" t="s">
        <v>16</v>
      </c>
      <c r="C302" s="5610" t="s">
        <v>2846</v>
      </c>
      <c r="D302" s="5610" t="s">
        <v>2847</v>
      </c>
      <c r="E302" s="5610" t="s">
        <v>2848</v>
      </c>
      <c r="F302" s="5610" t="s">
        <v>2311</v>
      </c>
      <c r="G302" s="5610" t="s">
        <v>28</v>
      </c>
      <c r="H302" s="5610" t="s">
        <v>28</v>
      </c>
      <c r="I302" s="5610" t="s">
        <v>914</v>
      </c>
    </row>
    <row customHeight="1" ht="11.25">
      <c r="A303" s="5610" t="s">
        <v>2257</v>
      </c>
      <c r="B303" s="5610" t="s">
        <v>16</v>
      </c>
      <c r="C303" s="5610" t="s">
        <v>3066</v>
      </c>
      <c r="D303" s="5610" t="s">
        <v>3067</v>
      </c>
      <c r="E303" s="5610" t="s">
        <v>3068</v>
      </c>
      <c r="F303" s="5610" t="s">
        <v>2303</v>
      </c>
      <c r="G303" s="5610" t="s">
        <v>28</v>
      </c>
      <c r="H303" s="5610" t="s">
        <v>28</v>
      </c>
      <c r="I303" s="5610" t="s">
        <v>914</v>
      </c>
    </row>
    <row customHeight="1" ht="11.25">
      <c r="A304" s="5610" t="s">
        <v>2257</v>
      </c>
      <c r="B304" s="5610" t="s">
        <v>16</v>
      </c>
      <c r="C304" s="5610" t="s">
        <v>2853</v>
      </c>
      <c r="D304" s="5610" t="s">
        <v>2854</v>
      </c>
      <c r="E304" s="5610" t="s">
        <v>2855</v>
      </c>
      <c r="F304" s="5610" t="s">
        <v>2519</v>
      </c>
      <c r="G304" s="5610" t="s">
        <v>2856</v>
      </c>
      <c r="H304" s="5610" t="s">
        <v>28</v>
      </c>
      <c r="I304" s="5610" t="s">
        <v>914</v>
      </c>
    </row>
    <row customHeight="1" ht="11.25">
      <c r="A305" s="5610" t="s">
        <v>2257</v>
      </c>
      <c r="B305" s="5610" t="s">
        <v>16</v>
      </c>
      <c r="C305" s="5610" t="s">
        <v>2350</v>
      </c>
      <c r="D305" s="5610" t="s">
        <v>2351</v>
      </c>
      <c r="E305" s="5610" t="s">
        <v>2352</v>
      </c>
      <c r="F305" s="5610" t="s">
        <v>2353</v>
      </c>
      <c r="G305" s="5610" t="s">
        <v>28</v>
      </c>
      <c r="H305" s="5610" t="s">
        <v>28</v>
      </c>
      <c r="I305" s="5610" t="s">
        <v>914</v>
      </c>
    </row>
    <row customHeight="1" ht="11.25">
      <c r="A306" s="5610" t="s">
        <v>2257</v>
      </c>
      <c r="B306" s="5610" t="s">
        <v>16</v>
      </c>
      <c r="C306" s="5610" t="s">
        <v>2857</v>
      </c>
      <c r="D306" s="5610" t="s">
        <v>2858</v>
      </c>
      <c r="E306" s="5610" t="s">
        <v>2859</v>
      </c>
      <c r="F306" s="5610" t="s">
        <v>2519</v>
      </c>
      <c r="G306" s="5610" t="s">
        <v>2860</v>
      </c>
      <c r="H306" s="5610" t="s">
        <v>28</v>
      </c>
      <c r="I306" s="5610" t="s">
        <v>914</v>
      </c>
    </row>
    <row customHeight="1" ht="11.25">
      <c r="A307" s="5610" t="s">
        <v>2257</v>
      </c>
      <c r="B307" s="5610" t="s">
        <v>16</v>
      </c>
      <c r="C307" s="5610" t="s">
        <v>2370</v>
      </c>
      <c r="D307" s="5610" t="s">
        <v>2371</v>
      </c>
      <c r="E307" s="5610" t="s">
        <v>2372</v>
      </c>
      <c r="F307" s="5610" t="s">
        <v>52</v>
      </c>
      <c r="G307" s="5610" t="s">
        <v>28</v>
      </c>
      <c r="H307" s="5610" t="s">
        <v>28</v>
      </c>
      <c r="I307" s="5610" t="s">
        <v>914</v>
      </c>
    </row>
    <row customHeight="1" ht="11.25">
      <c r="A308" s="5610" t="s">
        <v>2257</v>
      </c>
      <c r="B308" s="5610" t="s">
        <v>16</v>
      </c>
      <c r="C308" s="5610" t="s">
        <v>3069</v>
      </c>
      <c r="D308" s="5610" t="s">
        <v>3070</v>
      </c>
      <c r="E308" s="5610" t="s">
        <v>3071</v>
      </c>
      <c r="F308" s="5610" t="s">
        <v>2699</v>
      </c>
      <c r="G308" s="5610" t="s">
        <v>3072</v>
      </c>
      <c r="H308" s="5610" t="s">
        <v>28</v>
      </c>
      <c r="I308" s="5610" t="s">
        <v>914</v>
      </c>
    </row>
    <row customHeight="1" ht="11.25">
      <c r="A309" s="5610" t="s">
        <v>2257</v>
      </c>
      <c r="B309" s="5610" t="s">
        <v>16</v>
      </c>
      <c r="C309" s="5610" t="s">
        <v>2875</v>
      </c>
      <c r="D309" s="5610" t="s">
        <v>2876</v>
      </c>
      <c r="E309" s="5610" t="s">
        <v>2877</v>
      </c>
      <c r="F309" s="5610" t="s">
        <v>2369</v>
      </c>
      <c r="G309" s="5610" t="s">
        <v>2677</v>
      </c>
      <c r="H309" s="5610" t="s">
        <v>28</v>
      </c>
      <c r="I309" s="5610" t="s">
        <v>914</v>
      </c>
    </row>
    <row customHeight="1" ht="11.25">
      <c r="A310" s="5610" t="s">
        <v>2257</v>
      </c>
      <c r="B310" s="5610" t="s">
        <v>16</v>
      </c>
      <c r="C310" s="5610" t="s">
        <v>2389</v>
      </c>
      <c r="D310" s="5610" t="s">
        <v>2390</v>
      </c>
      <c r="E310" s="5610" t="s">
        <v>2391</v>
      </c>
      <c r="F310" s="5610" t="s">
        <v>2392</v>
      </c>
      <c r="G310" s="5610" t="s">
        <v>28</v>
      </c>
      <c r="H310" s="5610" t="s">
        <v>28</v>
      </c>
      <c r="I310" s="5610" t="s">
        <v>914</v>
      </c>
    </row>
    <row customHeight="1" ht="11.25">
      <c r="A311" s="5610" t="s">
        <v>2257</v>
      </c>
      <c r="B311" s="5610" t="s">
        <v>16</v>
      </c>
      <c r="C311" s="5610" t="s">
        <v>2882</v>
      </c>
      <c r="D311" s="5610" t="s">
        <v>2883</v>
      </c>
      <c r="E311" s="5610" t="s">
        <v>2884</v>
      </c>
      <c r="F311" s="5610" t="s">
        <v>2481</v>
      </c>
      <c r="G311" s="5610" t="s">
        <v>28</v>
      </c>
      <c r="H311" s="5610" t="s">
        <v>28</v>
      </c>
      <c r="I311" s="5610" t="s">
        <v>914</v>
      </c>
    </row>
    <row customHeight="1" ht="11.25">
      <c r="A312" s="5610" t="s">
        <v>2257</v>
      </c>
      <c r="B312" s="5610" t="s">
        <v>16</v>
      </c>
      <c r="C312" s="5610" t="s">
        <v>2895</v>
      </c>
      <c r="D312" s="5610" t="s">
        <v>2890</v>
      </c>
      <c r="E312" s="5610" t="s">
        <v>2896</v>
      </c>
      <c r="F312" s="5610" t="s">
        <v>2897</v>
      </c>
      <c r="G312" s="5610" t="s">
        <v>28</v>
      </c>
      <c r="H312" s="5610" t="s">
        <v>28</v>
      </c>
      <c r="I312" s="5610" t="s">
        <v>914</v>
      </c>
    </row>
    <row customHeight="1" ht="11.25">
      <c r="A313" s="5610" t="s">
        <v>2257</v>
      </c>
      <c r="B313" s="5610" t="s">
        <v>16</v>
      </c>
      <c r="C313" s="5610" t="s">
        <v>2898</v>
      </c>
      <c r="D313" s="5610" t="s">
        <v>2899</v>
      </c>
      <c r="E313" s="5610" t="s">
        <v>2900</v>
      </c>
      <c r="F313" s="5610" t="s">
        <v>2346</v>
      </c>
      <c r="G313" s="5610" t="s">
        <v>28</v>
      </c>
      <c r="H313" s="5610" t="s">
        <v>28</v>
      </c>
      <c r="I313" s="5610" t="s">
        <v>914</v>
      </c>
    </row>
    <row customHeight="1" ht="11.25">
      <c r="A314" s="5610" t="s">
        <v>2257</v>
      </c>
      <c r="B314" s="5610" t="s">
        <v>16</v>
      </c>
      <c r="C314" s="5610" t="s">
        <v>2901</v>
      </c>
      <c r="D314" s="5610" t="s">
        <v>2902</v>
      </c>
      <c r="E314" s="5610" t="s">
        <v>2903</v>
      </c>
      <c r="F314" s="5610" t="s">
        <v>2481</v>
      </c>
      <c r="G314" s="5610" t="s">
        <v>28</v>
      </c>
      <c r="H314" s="5610" t="s">
        <v>28</v>
      </c>
      <c r="I314" s="5610" t="s">
        <v>914</v>
      </c>
    </row>
    <row customHeight="1" ht="11.25">
      <c r="A315" s="5610" t="s">
        <v>2257</v>
      </c>
      <c r="B315" s="5610" t="s">
        <v>16</v>
      </c>
      <c r="C315" s="5610" t="s">
        <v>2904</v>
      </c>
      <c r="D315" s="5610" t="s">
        <v>2905</v>
      </c>
      <c r="E315" s="5610" t="s">
        <v>2906</v>
      </c>
      <c r="F315" s="5610" t="s">
        <v>2907</v>
      </c>
      <c r="G315" s="5610" t="s">
        <v>2908</v>
      </c>
      <c r="H315" s="5610" t="s">
        <v>28</v>
      </c>
      <c r="I315" s="5610" t="s">
        <v>914</v>
      </c>
    </row>
    <row customHeight="1" ht="11.25">
      <c r="A316" s="5610" t="s">
        <v>2257</v>
      </c>
      <c r="B316" s="5610" t="s">
        <v>16</v>
      </c>
      <c r="C316" s="5610" t="s">
        <v>2909</v>
      </c>
      <c r="D316" s="5610" t="s">
        <v>2910</v>
      </c>
      <c r="E316" s="5610" t="s">
        <v>2911</v>
      </c>
      <c r="F316" s="5610" t="s">
        <v>2671</v>
      </c>
      <c r="G316" s="5610" t="s">
        <v>28</v>
      </c>
      <c r="H316" s="5610" t="s">
        <v>28</v>
      </c>
      <c r="I316" s="5610" t="s">
        <v>914</v>
      </c>
    </row>
    <row customHeight="1" ht="11.25">
      <c r="A317" s="5610" t="s">
        <v>2257</v>
      </c>
      <c r="B317" s="5610" t="s">
        <v>16</v>
      </c>
      <c r="C317" s="5610" t="s">
        <v>2915</v>
      </c>
      <c r="D317" s="5610" t="s">
        <v>2916</v>
      </c>
      <c r="E317" s="5610" t="s">
        <v>2917</v>
      </c>
      <c r="F317" s="5610" t="s">
        <v>2465</v>
      </c>
      <c r="G317" s="5610" t="s">
        <v>2918</v>
      </c>
      <c r="H317" s="5610" t="s">
        <v>28</v>
      </c>
      <c r="I317" s="5610" t="s">
        <v>914</v>
      </c>
    </row>
    <row customHeight="1" ht="11.25">
      <c r="A318" s="5610" t="s">
        <v>2257</v>
      </c>
      <c r="B318" s="5610" t="s">
        <v>16</v>
      </c>
      <c r="C318" s="5610" t="s">
        <v>2456</v>
      </c>
      <c r="D318" s="5610" t="s">
        <v>2457</v>
      </c>
      <c r="E318" s="5610" t="s">
        <v>2458</v>
      </c>
      <c r="F318" s="5610" t="s">
        <v>2315</v>
      </c>
      <c r="G318" s="5610" t="s">
        <v>28</v>
      </c>
      <c r="H318" s="5610" t="s">
        <v>28</v>
      </c>
      <c r="I318" s="5610" t="s">
        <v>914</v>
      </c>
    </row>
    <row customHeight="1" ht="11.25">
      <c r="A319" s="5610" t="s">
        <v>2257</v>
      </c>
      <c r="B319" s="5610" t="s">
        <v>16</v>
      </c>
      <c r="C319" s="5610" t="s">
        <v>2930</v>
      </c>
      <c r="D319" s="5610" t="s">
        <v>2931</v>
      </c>
      <c r="E319" s="5610" t="s">
        <v>2932</v>
      </c>
      <c r="F319" s="5610" t="s">
        <v>2489</v>
      </c>
      <c r="G319" s="5610" t="s">
        <v>28</v>
      </c>
      <c r="H319" s="5610" t="s">
        <v>28</v>
      </c>
      <c r="I319" s="5610" t="s">
        <v>914</v>
      </c>
    </row>
    <row customHeight="1" ht="11.25">
      <c r="A320" s="5610" t="s">
        <v>2257</v>
      </c>
      <c r="B320" s="5610" t="s">
        <v>16</v>
      </c>
      <c r="C320" s="5610" t="s">
        <v>2466</v>
      </c>
      <c r="D320" s="5610" t="s">
        <v>2467</v>
      </c>
      <c r="E320" s="5610" t="s">
        <v>2468</v>
      </c>
      <c r="F320" s="5610" t="s">
        <v>2469</v>
      </c>
      <c r="G320" s="5610" t="s">
        <v>28</v>
      </c>
      <c r="H320" s="5610" t="s">
        <v>28</v>
      </c>
      <c r="I320" s="5610" t="s">
        <v>914</v>
      </c>
    </row>
    <row customHeight="1" ht="11.25">
      <c r="A321" s="5610" t="s">
        <v>2257</v>
      </c>
      <c r="B321" s="5610" t="s">
        <v>16</v>
      </c>
      <c r="C321" s="5610" t="s">
        <v>2936</v>
      </c>
      <c r="D321" s="5610" t="s">
        <v>2937</v>
      </c>
      <c r="E321" s="5610" t="s">
        <v>2938</v>
      </c>
      <c r="F321" s="5610" t="s">
        <v>2802</v>
      </c>
      <c r="G321" s="5610" t="s">
        <v>2939</v>
      </c>
      <c r="H321" s="5610" t="s">
        <v>28</v>
      </c>
      <c r="I321" s="5610" t="s">
        <v>914</v>
      </c>
    </row>
    <row customHeight="1" ht="11.25">
      <c r="A322" s="5610" t="s">
        <v>2257</v>
      </c>
      <c r="B322" s="5610" t="s">
        <v>16</v>
      </c>
      <c r="C322" s="5610" t="s">
        <v>2943</v>
      </c>
      <c r="D322" s="5610" t="s">
        <v>2944</v>
      </c>
      <c r="E322" s="5610" t="s">
        <v>2945</v>
      </c>
      <c r="F322" s="5610" t="s">
        <v>2477</v>
      </c>
      <c r="G322" s="5610" t="s">
        <v>28</v>
      </c>
      <c r="H322" s="5610" t="s">
        <v>28</v>
      </c>
      <c r="I322" s="5610" t="s">
        <v>914</v>
      </c>
    </row>
    <row customHeight="1" ht="11.25">
      <c r="A323" s="5610" t="s">
        <v>2257</v>
      </c>
      <c r="B323" s="5610" t="s">
        <v>16</v>
      </c>
      <c r="C323" s="5610" t="s">
        <v>2946</v>
      </c>
      <c r="D323" s="5610" t="s">
        <v>2947</v>
      </c>
      <c r="E323" s="5610" t="s">
        <v>2948</v>
      </c>
      <c r="F323" s="5610" t="s">
        <v>2949</v>
      </c>
      <c r="G323" s="5610" t="s">
        <v>2950</v>
      </c>
      <c r="H323" s="5610" t="s">
        <v>28</v>
      </c>
      <c r="I323" s="5610" t="s">
        <v>914</v>
      </c>
    </row>
    <row customHeight="1" ht="11.25">
      <c r="A324" s="5610" t="s">
        <v>2257</v>
      </c>
      <c r="B324" s="5610" t="s">
        <v>16</v>
      </c>
      <c r="C324" s="5610" t="s">
        <v>2955</v>
      </c>
      <c r="D324" s="5610" t="s">
        <v>2956</v>
      </c>
      <c r="E324" s="5610" t="s">
        <v>2957</v>
      </c>
      <c r="F324" s="5610" t="s">
        <v>2523</v>
      </c>
      <c r="G324" s="5610" t="s">
        <v>2958</v>
      </c>
      <c r="H324" s="5610" t="s">
        <v>28</v>
      </c>
      <c r="I324" s="5610" t="s">
        <v>914</v>
      </c>
    </row>
    <row customHeight="1" ht="11.25">
      <c r="A325" s="5610" t="s">
        <v>2257</v>
      </c>
      <c r="B325" s="5610" t="s">
        <v>16</v>
      </c>
      <c r="C325" s="5610" t="s">
        <v>2470</v>
      </c>
      <c r="D325" s="5610" t="s">
        <v>2471</v>
      </c>
      <c r="E325" s="5610" t="s">
        <v>2472</v>
      </c>
      <c r="F325" s="5610" t="s">
        <v>2473</v>
      </c>
      <c r="G325" s="5610" t="s">
        <v>28</v>
      </c>
      <c r="H325" s="5610" t="s">
        <v>28</v>
      </c>
      <c r="I325" s="5610" t="s">
        <v>914</v>
      </c>
    </row>
    <row customHeight="1" ht="11.25">
      <c r="A326" s="5610" t="s">
        <v>2257</v>
      </c>
      <c r="B326" s="5610" t="s">
        <v>16</v>
      </c>
      <c r="C326" s="5610" t="s">
        <v>2966</v>
      </c>
      <c r="D326" s="5610" t="s">
        <v>2967</v>
      </c>
      <c r="E326" s="5610" t="s">
        <v>2968</v>
      </c>
      <c r="F326" s="5610" t="s">
        <v>2380</v>
      </c>
      <c r="G326" s="5610" t="s">
        <v>28</v>
      </c>
      <c r="H326" s="5610" t="s">
        <v>28</v>
      </c>
      <c r="I326" s="5610" t="s">
        <v>914</v>
      </c>
    </row>
    <row customHeight="1" ht="11.25">
      <c r="A327" s="5610" t="s">
        <v>2257</v>
      </c>
      <c r="B327" s="5610" t="s">
        <v>16</v>
      </c>
      <c r="C327" s="5610" t="s">
        <v>2969</v>
      </c>
      <c r="D327" s="5610" t="s">
        <v>2970</v>
      </c>
      <c r="E327" s="5610" t="s">
        <v>2971</v>
      </c>
      <c r="F327" s="5610" t="s">
        <v>2452</v>
      </c>
      <c r="G327" s="5610" t="s">
        <v>28</v>
      </c>
      <c r="H327" s="5610" t="s">
        <v>28</v>
      </c>
      <c r="I327" s="5610" t="s">
        <v>914</v>
      </c>
    </row>
    <row customHeight="1" ht="11.25">
      <c r="A328" s="5610" t="s">
        <v>2257</v>
      </c>
      <c r="B328" s="5610" t="s">
        <v>16</v>
      </c>
      <c r="C328" s="5610" t="s">
        <v>2972</v>
      </c>
      <c r="D328" s="5610" t="s">
        <v>2973</v>
      </c>
      <c r="E328" s="5610" t="s">
        <v>2974</v>
      </c>
      <c r="F328" s="5610" t="s">
        <v>2298</v>
      </c>
      <c r="G328" s="5610" t="s">
        <v>28</v>
      </c>
      <c r="H328" s="5610" t="s">
        <v>28</v>
      </c>
      <c r="I328" s="5610" t="s">
        <v>914</v>
      </c>
    </row>
    <row customHeight="1" ht="11.25">
      <c r="A329" s="5610" t="s">
        <v>2257</v>
      </c>
      <c r="B329" s="5610" t="s">
        <v>16</v>
      </c>
      <c r="C329" s="5610" t="s">
        <v>2975</v>
      </c>
      <c r="D329" s="5610" t="s">
        <v>2976</v>
      </c>
      <c r="E329" s="5610" t="s">
        <v>2977</v>
      </c>
      <c r="F329" s="5610" t="s">
        <v>2500</v>
      </c>
      <c r="G329" s="5610" t="s">
        <v>28</v>
      </c>
      <c r="H329" s="5610" t="s">
        <v>28</v>
      </c>
      <c r="I329" s="5610" t="s">
        <v>914</v>
      </c>
    </row>
    <row customHeight="1" ht="11.25">
      <c r="A330" s="5610" t="s">
        <v>2257</v>
      </c>
      <c r="B330" s="5610" t="s">
        <v>16</v>
      </c>
      <c r="C330" s="5610" t="s">
        <v>2978</v>
      </c>
      <c r="D330" s="5610" t="s">
        <v>2979</v>
      </c>
      <c r="E330" s="5610" t="s">
        <v>2980</v>
      </c>
      <c r="F330" s="5610" t="s">
        <v>2500</v>
      </c>
      <c r="G330" s="5610" t="s">
        <v>28</v>
      </c>
      <c r="H330" s="5610" t="s">
        <v>28</v>
      </c>
      <c r="I330" s="5610" t="s">
        <v>914</v>
      </c>
    </row>
    <row customHeight="1" ht="11.25">
      <c r="A331" s="5610" t="s">
        <v>2257</v>
      </c>
      <c r="B331" s="5610" t="s">
        <v>16</v>
      </c>
      <c r="C331" s="5610" t="s">
        <v>2985</v>
      </c>
      <c r="D331" s="5610" t="s">
        <v>2986</v>
      </c>
      <c r="E331" s="5610" t="s">
        <v>2987</v>
      </c>
      <c r="F331" s="5610" t="s">
        <v>2392</v>
      </c>
      <c r="G331" s="5610" t="s">
        <v>28</v>
      </c>
      <c r="H331" s="5610" t="s">
        <v>28</v>
      </c>
      <c r="I331" s="5610" t="s">
        <v>914</v>
      </c>
    </row>
    <row customHeight="1" ht="11.25">
      <c r="A332" s="5610" t="s">
        <v>2257</v>
      </c>
      <c r="B332" s="5610" t="s">
        <v>16</v>
      </c>
      <c r="C332" s="5610" t="s">
        <v>3073</v>
      </c>
      <c r="D332" s="5610" t="s">
        <v>3074</v>
      </c>
      <c r="E332" s="5610" t="s">
        <v>3075</v>
      </c>
      <c r="F332" s="5610" t="s">
        <v>2307</v>
      </c>
      <c r="G332" s="5610" t="s">
        <v>3076</v>
      </c>
      <c r="H332" s="5610" t="s">
        <v>28</v>
      </c>
      <c r="I332" s="5610" t="s">
        <v>914</v>
      </c>
    </row>
    <row customHeight="1" ht="11.25">
      <c r="A333" s="5610" t="s">
        <v>2257</v>
      </c>
      <c r="B333" s="5610" t="s">
        <v>16</v>
      </c>
      <c r="C333" s="5610" t="s">
        <v>2534</v>
      </c>
      <c r="D333" s="5610" t="s">
        <v>2535</v>
      </c>
      <c r="E333" s="5610" t="s">
        <v>2536</v>
      </c>
      <c r="F333" s="5610" t="s">
        <v>2452</v>
      </c>
      <c r="G333" s="5610" t="s">
        <v>28</v>
      </c>
      <c r="H333" s="5610" t="s">
        <v>28</v>
      </c>
      <c r="I333" s="5610" t="s">
        <v>914</v>
      </c>
    </row>
    <row customHeight="1" ht="11.25">
      <c r="A334" s="5610" t="s">
        <v>2257</v>
      </c>
      <c r="B334" s="5610" t="s">
        <v>16</v>
      </c>
      <c r="C334" s="5610" t="s">
        <v>2988</v>
      </c>
      <c r="D334" s="5610" t="s">
        <v>2989</v>
      </c>
      <c r="E334" s="5610" t="s">
        <v>2990</v>
      </c>
      <c r="F334" s="5610" t="s">
        <v>2376</v>
      </c>
      <c r="G334" s="5610" t="s">
        <v>28</v>
      </c>
      <c r="H334" s="5610" t="s">
        <v>28</v>
      </c>
      <c r="I334" s="5610" t="s">
        <v>914</v>
      </c>
    </row>
    <row customHeight="1" ht="11.25">
      <c r="A335" s="5610" t="s">
        <v>2257</v>
      </c>
      <c r="B335" s="5610" t="s">
        <v>16</v>
      </c>
      <c r="C335" s="5610" t="s">
        <v>3077</v>
      </c>
      <c r="D335" s="5610" t="s">
        <v>3078</v>
      </c>
      <c r="E335" s="5610" t="s">
        <v>3079</v>
      </c>
      <c r="F335" s="5610" t="s">
        <v>52</v>
      </c>
      <c r="G335" s="5610" t="s">
        <v>28</v>
      </c>
      <c r="H335" s="5610" t="s">
        <v>28</v>
      </c>
      <c r="I335" s="5610" t="s">
        <v>914</v>
      </c>
    </row>
    <row customHeight="1" ht="11.25">
      <c r="A336" s="5610" t="s">
        <v>2257</v>
      </c>
      <c r="B336" s="5610" t="s">
        <v>16</v>
      </c>
      <c r="C336" s="5610" t="s">
        <v>2991</v>
      </c>
      <c r="D336" s="5610" t="s">
        <v>2992</v>
      </c>
      <c r="E336" s="5610" t="s">
        <v>2993</v>
      </c>
      <c r="F336" s="5610" t="s">
        <v>2298</v>
      </c>
      <c r="G336" s="5610" t="s">
        <v>2994</v>
      </c>
      <c r="H336" s="5610" t="s">
        <v>28</v>
      </c>
      <c r="I336" s="5610" t="s">
        <v>914</v>
      </c>
    </row>
    <row customHeight="1" ht="11.25">
      <c r="A337" s="5610" t="s">
        <v>2257</v>
      </c>
      <c r="B337" s="5610" t="s">
        <v>16</v>
      </c>
      <c r="C337" s="5610" t="s">
        <v>2995</v>
      </c>
      <c r="D337" s="5610" t="s">
        <v>2996</v>
      </c>
      <c r="E337" s="5610" t="s">
        <v>2997</v>
      </c>
      <c r="F337" s="5610" t="s">
        <v>2802</v>
      </c>
      <c r="G337" s="5610" t="s">
        <v>28</v>
      </c>
      <c r="H337" s="5610" t="s">
        <v>28</v>
      </c>
      <c r="I337" s="5610" t="s">
        <v>914</v>
      </c>
    </row>
    <row customHeight="1" ht="11.25">
      <c r="A338" s="5610" t="s">
        <v>2257</v>
      </c>
      <c r="B338" s="5610" t="s">
        <v>16</v>
      </c>
      <c r="C338" s="5610" t="s">
        <v>2998</v>
      </c>
      <c r="D338" s="5610" t="s">
        <v>2999</v>
      </c>
      <c r="E338" s="5610" t="s">
        <v>3000</v>
      </c>
      <c r="F338" s="5610" t="s">
        <v>2699</v>
      </c>
      <c r="G338" s="5610" t="s">
        <v>28</v>
      </c>
      <c r="H338" s="5610" t="s">
        <v>28</v>
      </c>
      <c r="I338" s="5610" t="s">
        <v>914</v>
      </c>
    </row>
    <row customHeight="1" ht="11.25">
      <c r="A339" s="5610" t="s">
        <v>2257</v>
      </c>
      <c r="B339" s="5610" t="s">
        <v>16</v>
      </c>
      <c r="C339" s="5610" t="s">
        <v>3080</v>
      </c>
      <c r="D339" s="5610" t="s">
        <v>3081</v>
      </c>
      <c r="E339" s="5610" t="s">
        <v>3082</v>
      </c>
      <c r="F339" s="5610" t="s">
        <v>3083</v>
      </c>
      <c r="G339" s="5610" t="s">
        <v>28</v>
      </c>
      <c r="H339" s="5610" t="s">
        <v>28</v>
      </c>
      <c r="I339" s="5610" t="s">
        <v>914</v>
      </c>
    </row>
    <row customHeight="1" ht="11.25">
      <c r="A340" s="5610" t="s">
        <v>2257</v>
      </c>
      <c r="B340" s="5610" t="s">
        <v>16</v>
      </c>
      <c r="C340" s="5610" t="s">
        <v>3001</v>
      </c>
      <c r="D340" s="5610" t="s">
        <v>3002</v>
      </c>
      <c r="E340" s="5610" t="s">
        <v>3003</v>
      </c>
      <c r="F340" s="5610" t="s">
        <v>2392</v>
      </c>
      <c r="G340" s="5610" t="s">
        <v>3004</v>
      </c>
      <c r="H340" s="5610" t="s">
        <v>28</v>
      </c>
      <c r="I340" s="5610" t="s">
        <v>914</v>
      </c>
    </row>
    <row customHeight="1" ht="11.25">
      <c r="A341" s="5610" t="s">
        <v>2257</v>
      </c>
      <c r="B341" s="5610" t="s">
        <v>16</v>
      </c>
      <c r="C341" s="5610" t="s">
        <v>3012</v>
      </c>
      <c r="D341" s="5610" t="s">
        <v>3013</v>
      </c>
      <c r="E341" s="5610" t="s">
        <v>3014</v>
      </c>
      <c r="F341" s="5610" t="s">
        <v>3015</v>
      </c>
      <c r="G341" s="5610" t="s">
        <v>28</v>
      </c>
      <c r="H341" s="5610" t="s">
        <v>28</v>
      </c>
      <c r="I341" s="5610" t="s">
        <v>914</v>
      </c>
    </row>
    <row customHeight="1" ht="11.25">
      <c r="A342" s="5610" t="s">
        <v>2257</v>
      </c>
      <c r="B342" s="5610" t="s">
        <v>16</v>
      </c>
      <c r="C342" s="5610" t="s">
        <v>3016</v>
      </c>
      <c r="D342" s="5610" t="s">
        <v>3017</v>
      </c>
      <c r="E342" s="5610" t="s">
        <v>3018</v>
      </c>
      <c r="F342" s="5610" t="s">
        <v>2519</v>
      </c>
      <c r="G342" s="5610" t="s">
        <v>3019</v>
      </c>
      <c r="H342" s="5610" t="s">
        <v>28</v>
      </c>
      <c r="I342" s="5610" t="s">
        <v>914</v>
      </c>
    </row>
    <row customHeight="1" ht="11.25">
      <c r="A343" s="5610" t="s">
        <v>2257</v>
      </c>
      <c r="B343" s="5610" t="s">
        <v>16</v>
      </c>
      <c r="C343" s="5610" t="s">
        <v>3084</v>
      </c>
      <c r="D343" s="5610" t="s">
        <v>3085</v>
      </c>
      <c r="E343" s="5610" t="s">
        <v>3086</v>
      </c>
      <c r="F343" s="5610" t="s">
        <v>2328</v>
      </c>
      <c r="G343" s="5610" t="s">
        <v>28</v>
      </c>
      <c r="H343" s="5610" t="s">
        <v>28</v>
      </c>
      <c r="I343" s="5610" t="s">
        <v>914</v>
      </c>
    </row>
    <row customHeight="1" ht="11.25">
      <c r="A344" s="5610" t="s">
        <v>2257</v>
      </c>
      <c r="B344" s="5610" t="s">
        <v>16</v>
      </c>
      <c r="C344" s="5610" t="s">
        <v>2608</v>
      </c>
      <c r="D344" s="5610" t="s">
        <v>2609</v>
      </c>
      <c r="E344" s="5610" t="s">
        <v>2610</v>
      </c>
      <c r="F344" s="5610" t="s">
        <v>2611</v>
      </c>
      <c r="G344" s="5610" t="s">
        <v>28</v>
      </c>
      <c r="H344" s="5610" t="s">
        <v>28</v>
      </c>
      <c r="I344" s="5610" t="s">
        <v>914</v>
      </c>
    </row>
    <row customHeight="1" ht="11.25">
      <c r="A345" s="5610" t="s">
        <v>2257</v>
      </c>
      <c r="B345" s="5610" t="s">
        <v>16</v>
      </c>
      <c r="C345" s="5610" t="s">
        <v>3027</v>
      </c>
      <c r="D345" s="5610" t="s">
        <v>3028</v>
      </c>
      <c r="E345" s="5610" t="s">
        <v>3029</v>
      </c>
      <c r="F345" s="5610" t="s">
        <v>2376</v>
      </c>
      <c r="G345" s="5610" t="s">
        <v>3030</v>
      </c>
      <c r="H345" s="5610" t="s">
        <v>28</v>
      </c>
      <c r="I345" s="5610" t="s">
        <v>914</v>
      </c>
    </row>
    <row customHeight="1" ht="11.25">
      <c r="A346" s="5610" t="s">
        <v>2257</v>
      </c>
      <c r="B346" s="5610" t="s">
        <v>16</v>
      </c>
      <c r="C346" s="5610" t="s">
        <v>3087</v>
      </c>
      <c r="D346" s="5610" t="s">
        <v>3088</v>
      </c>
      <c r="E346" s="5610" t="s">
        <v>3089</v>
      </c>
      <c r="F346" s="5610" t="s">
        <v>2809</v>
      </c>
      <c r="G346" s="5610" t="s">
        <v>3090</v>
      </c>
      <c r="H346" s="5610" t="s">
        <v>28</v>
      </c>
      <c r="I346" s="5610" t="s">
        <v>914</v>
      </c>
    </row>
    <row customHeight="1" ht="11.25">
      <c r="A347" s="5610" t="s">
        <v>2257</v>
      </c>
      <c r="B347" s="5610" t="s">
        <v>16</v>
      </c>
      <c r="C347" s="5610" t="s">
        <v>3031</v>
      </c>
      <c r="D347" s="5610" t="s">
        <v>3032</v>
      </c>
      <c r="E347" s="5610" t="s">
        <v>3033</v>
      </c>
      <c r="F347" s="5610" t="s">
        <v>3034</v>
      </c>
      <c r="G347" s="5610" t="s">
        <v>28</v>
      </c>
      <c r="H347" s="5610" t="s">
        <v>28</v>
      </c>
      <c r="I347" s="5610" t="s">
        <v>914</v>
      </c>
    </row>
    <row customHeight="1" ht="11.25">
      <c r="A348" s="5610" t="s">
        <v>2257</v>
      </c>
      <c r="B348" s="5610" t="s">
        <v>16</v>
      </c>
      <c r="C348" s="5610" t="s">
        <v>3091</v>
      </c>
      <c r="D348" s="5610" t="s">
        <v>3092</v>
      </c>
      <c r="E348" s="5610" t="s">
        <v>3093</v>
      </c>
      <c r="F348" s="5610" t="s">
        <v>2515</v>
      </c>
      <c r="G348" s="5610" t="s">
        <v>3094</v>
      </c>
      <c r="H348" s="5610" t="s">
        <v>28</v>
      </c>
      <c r="I348" s="5610" t="s">
        <v>914</v>
      </c>
    </row>
    <row customHeight="1" ht="11.25">
      <c r="A349" s="5610" t="s">
        <v>2257</v>
      </c>
      <c r="B349" s="5610" t="s">
        <v>16</v>
      </c>
      <c r="C349" s="5610" t="s">
        <v>3095</v>
      </c>
      <c r="D349" s="5610" t="s">
        <v>3096</v>
      </c>
      <c r="E349" s="5610" t="s">
        <v>3097</v>
      </c>
      <c r="F349" s="5610" t="s">
        <v>2346</v>
      </c>
      <c r="G349" s="5610" t="s">
        <v>3098</v>
      </c>
      <c r="H349" s="5610" t="s">
        <v>28</v>
      </c>
      <c r="I349" s="5610" t="s">
        <v>914</v>
      </c>
    </row>
    <row customHeight="1" ht="11.25">
      <c r="A350" s="5610" t="s">
        <v>2257</v>
      </c>
      <c r="B350" s="5610" t="s">
        <v>16</v>
      </c>
      <c r="C350" s="5610" t="s">
        <v>2743</v>
      </c>
      <c r="D350" s="5610" t="s">
        <v>2744</v>
      </c>
      <c r="E350" s="5610" t="s">
        <v>2745</v>
      </c>
      <c r="F350" s="5610" t="s">
        <v>2500</v>
      </c>
      <c r="G350" s="5610" t="s">
        <v>28</v>
      </c>
      <c r="H350" s="5610" t="s">
        <v>28</v>
      </c>
      <c r="I350" s="5610" t="s">
        <v>914</v>
      </c>
    </row>
    <row customHeight="1" ht="11.25">
      <c r="A351" s="5610" t="s">
        <v>2257</v>
      </c>
      <c r="B351" s="5610" t="s">
        <v>16</v>
      </c>
      <c r="C351" s="5610" t="s">
        <v>2757</v>
      </c>
      <c r="D351" s="5610" t="s">
        <v>2758</v>
      </c>
      <c r="E351" s="5610" t="s">
        <v>2759</v>
      </c>
      <c r="F351" s="5610" t="s">
        <v>2760</v>
      </c>
      <c r="G351" s="5610" t="s">
        <v>28</v>
      </c>
      <c r="H351" s="5610" t="s">
        <v>28</v>
      </c>
      <c r="I351" s="5610" t="s">
        <v>914</v>
      </c>
    </row>
    <row customHeight="1" ht="11.25">
      <c r="A352" s="5610" t="s">
        <v>2257</v>
      </c>
      <c r="B352" s="5610" t="s">
        <v>16</v>
      </c>
      <c r="C352" s="5610" t="s">
        <v>3045</v>
      </c>
      <c r="D352" s="5610" t="s">
        <v>3046</v>
      </c>
      <c r="E352" s="5610" t="s">
        <v>3047</v>
      </c>
      <c r="F352" s="5610" t="s">
        <v>2346</v>
      </c>
      <c r="G352" s="5610" t="s">
        <v>28</v>
      </c>
      <c r="H352" s="5610" t="s">
        <v>28</v>
      </c>
      <c r="I352" s="5610" t="s">
        <v>914</v>
      </c>
    </row>
    <row customHeight="1" ht="11.25">
      <c r="A353" s="5610" t="s">
        <v>2257</v>
      </c>
      <c r="B353" s="5610" t="s">
        <v>16</v>
      </c>
      <c r="C353" s="5610" t="s">
        <v>3048</v>
      </c>
      <c r="D353" s="5610" t="s">
        <v>3049</v>
      </c>
      <c r="E353" s="5610" t="s">
        <v>3050</v>
      </c>
      <c r="F353" s="5610" t="s">
        <v>2809</v>
      </c>
      <c r="G353" s="5610" t="s">
        <v>2994</v>
      </c>
      <c r="H353" s="5610" t="s">
        <v>28</v>
      </c>
      <c r="I353" s="5610" t="s">
        <v>914</v>
      </c>
    </row>
    <row customHeight="1" ht="11.25">
      <c r="A354" s="5610" t="s">
        <v>2257</v>
      </c>
      <c r="B354" s="5610" t="s">
        <v>16</v>
      </c>
      <c r="C354" s="5610" t="s">
        <v>28</v>
      </c>
      <c r="D354" s="5610" t="s">
        <v>2771</v>
      </c>
      <c r="E354" s="5610" t="s">
        <v>2772</v>
      </c>
      <c r="F354" s="5610" t="s">
        <v>2519</v>
      </c>
      <c r="G354" s="5610" t="s">
        <v>28</v>
      </c>
      <c r="H354" s="5610" t="s">
        <v>28</v>
      </c>
      <c r="I354" s="5610" t="s">
        <v>914</v>
      </c>
    </row>
    <row customHeight="1" ht="11.25">
      <c r="A355" s="5610" t="s">
        <v>2257</v>
      </c>
      <c r="B355" s="5610" t="s">
        <v>16</v>
      </c>
      <c r="C355" s="5610" t="s">
        <v>2780</v>
      </c>
      <c r="D355" s="5610" t="s">
        <v>2781</v>
      </c>
      <c r="E355" s="5610" t="s">
        <v>2775</v>
      </c>
      <c r="F355" s="5610" t="s">
        <v>2782</v>
      </c>
      <c r="G355" s="5610" t="s">
        <v>28</v>
      </c>
      <c r="H355" s="5610" t="s">
        <v>28</v>
      </c>
      <c r="I355" s="5610" t="s">
        <v>914</v>
      </c>
    </row>
    <row customHeight="1" ht="11.25">
      <c r="A356" s="5610" t="s">
        <v>2257</v>
      </c>
      <c r="B356" s="5610" t="s">
        <v>16</v>
      </c>
      <c r="C356" s="5610" t="s">
        <v>3060</v>
      </c>
      <c r="D356" s="5610" t="s">
        <v>3061</v>
      </c>
      <c r="E356" s="5610" t="s">
        <v>3062</v>
      </c>
      <c r="F356" s="5610" t="s">
        <v>2507</v>
      </c>
      <c r="G356" s="5610" t="s">
        <v>28</v>
      </c>
      <c r="H356" s="5610" t="s">
        <v>28</v>
      </c>
      <c r="I356" s="5610" t="s">
        <v>914</v>
      </c>
    </row>
    <row customHeight="1" ht="11.25">
      <c r="A357" s="5610" t="s">
        <v>2257</v>
      </c>
      <c r="B357" s="5610" t="s">
        <v>16</v>
      </c>
      <c r="C357" s="5610" t="s">
        <v>2793</v>
      </c>
      <c r="D357" s="5610" t="s">
        <v>2794</v>
      </c>
      <c r="E357" s="5610" t="s">
        <v>2795</v>
      </c>
      <c r="F357" s="5610" t="s">
        <v>2507</v>
      </c>
      <c r="G357" s="5610" t="s">
        <v>28</v>
      </c>
      <c r="H357" s="5610" t="s">
        <v>28</v>
      </c>
      <c r="I357" s="5610" t="s">
        <v>914</v>
      </c>
    </row>
    <row customHeight="1" ht="11.25">
      <c r="A358" s="5610" t="s">
        <v>2257</v>
      </c>
      <c r="B358" s="5610" t="s">
        <v>16</v>
      </c>
      <c r="C358" s="5610" t="s">
        <v>2796</v>
      </c>
      <c r="D358" s="5610" t="s">
        <v>2797</v>
      </c>
      <c r="E358" s="5610" t="s">
        <v>2798</v>
      </c>
      <c r="F358" s="5610" t="s">
        <v>2507</v>
      </c>
      <c r="G358" s="5610" t="s">
        <v>28</v>
      </c>
      <c r="H358" s="5610" t="s">
        <v>28</v>
      </c>
      <c r="I358" s="5610" t="s">
        <v>914</v>
      </c>
    </row>
    <row customHeight="1" ht="11.25">
      <c r="A359" s="5610" t="s">
        <v>2257</v>
      </c>
      <c r="B359" s="5610" t="s">
        <v>16</v>
      </c>
      <c r="C359" s="5610" t="s">
        <v>2799</v>
      </c>
      <c r="D359" s="5610" t="s">
        <v>2800</v>
      </c>
      <c r="E359" s="5610" t="s">
        <v>2801</v>
      </c>
      <c r="F359" s="5610" t="s">
        <v>2802</v>
      </c>
      <c r="G359" s="5610" t="s">
        <v>28</v>
      </c>
      <c r="H359" s="5610" t="s">
        <v>28</v>
      </c>
      <c r="I359" s="5610" t="s">
        <v>914</v>
      </c>
    </row>
    <row customHeight="1" ht="11.25">
      <c r="A360" s="5610" t="s">
        <v>2257</v>
      </c>
      <c r="B360" s="5610" t="s">
        <v>16</v>
      </c>
      <c r="C360" s="5610" t="s">
        <v>2806</v>
      </c>
      <c r="D360" s="5610" t="s">
        <v>2807</v>
      </c>
      <c r="E360" s="5610" t="s">
        <v>2808</v>
      </c>
      <c r="F360" s="5610" t="s">
        <v>2809</v>
      </c>
      <c r="G360" s="5610" t="s">
        <v>28</v>
      </c>
      <c r="H360" s="5610" t="s">
        <v>28</v>
      </c>
      <c r="I360" s="5610" t="s">
        <v>914</v>
      </c>
    </row>
    <row customHeight="1" ht="11.25">
      <c r="A361" s="5610" t="s">
        <v>2257</v>
      </c>
      <c r="B361" s="5610" t="s">
        <v>16</v>
      </c>
      <c r="C361" s="5610" t="s">
        <v>2810</v>
      </c>
      <c r="D361" s="5610" t="s">
        <v>2811</v>
      </c>
      <c r="E361" s="5610" t="s">
        <v>2808</v>
      </c>
      <c r="F361" s="5610" t="s">
        <v>2812</v>
      </c>
      <c r="G361" s="5610" t="s">
        <v>2813</v>
      </c>
      <c r="H361" s="5610" t="s">
        <v>28</v>
      </c>
      <c r="I361" s="5610" t="s">
        <v>914</v>
      </c>
    </row>
    <row customHeight="1" ht="11.25">
      <c r="A362" s="5610" t="s">
        <v>2257</v>
      </c>
      <c r="B362" s="5610" t="s">
        <v>16</v>
      </c>
      <c r="C362" s="5610" t="s">
        <v>2825</v>
      </c>
      <c r="D362" s="5610" t="s">
        <v>2826</v>
      </c>
      <c r="E362" s="5610" t="s">
        <v>2827</v>
      </c>
      <c r="F362" s="5610" t="s">
        <v>2828</v>
      </c>
      <c r="G362" s="5610" t="s">
        <v>28</v>
      </c>
      <c r="H362" s="5610" t="s">
        <v>28</v>
      </c>
      <c r="I362" s="5610" t="s">
        <v>914</v>
      </c>
    </row>
    <row customHeight="1" ht="11.25">
      <c r="A363" s="5610" t="s">
        <v>2257</v>
      </c>
      <c r="B363" s="5610" t="s">
        <v>16</v>
      </c>
      <c r="C363" s="5610" t="s">
        <v>2304</v>
      </c>
      <c r="D363" s="5610" t="s">
        <v>2305</v>
      </c>
      <c r="E363" s="5610" t="s">
        <v>2306</v>
      </c>
      <c r="F363" s="5610" t="s">
        <v>2307</v>
      </c>
      <c r="G363" s="5610" t="s">
        <v>28</v>
      </c>
      <c r="H363" s="5610" t="s">
        <v>28</v>
      </c>
      <c r="I363" s="5610" t="s">
        <v>1629</v>
      </c>
    </row>
    <row customHeight="1" ht="11.25">
      <c r="A364" s="5610" t="s">
        <v>2257</v>
      </c>
      <c r="B364" s="5610" t="s">
        <v>16</v>
      </c>
      <c r="C364" s="5610" t="s">
        <v>2849</v>
      </c>
      <c r="D364" s="5610" t="s">
        <v>2850</v>
      </c>
      <c r="E364" s="5610" t="s">
        <v>2851</v>
      </c>
      <c r="F364" s="5610" t="s">
        <v>2852</v>
      </c>
      <c r="G364" s="5610" t="s">
        <v>28</v>
      </c>
      <c r="H364" s="5610" t="s">
        <v>28</v>
      </c>
      <c r="I364" s="5610" t="s">
        <v>1629</v>
      </c>
    </row>
    <row customHeight="1" ht="11.25">
      <c r="A365" s="5610" t="s">
        <v>2257</v>
      </c>
      <c r="B365" s="5610" t="s">
        <v>16</v>
      </c>
      <c r="C365" s="5610" t="s">
        <v>2332</v>
      </c>
      <c r="D365" s="5610" t="s">
        <v>2333</v>
      </c>
      <c r="E365" s="5610" t="s">
        <v>2334</v>
      </c>
      <c r="F365" s="5610" t="s">
        <v>2335</v>
      </c>
      <c r="G365" s="5610" t="s">
        <v>28</v>
      </c>
      <c r="H365" s="5610" t="s">
        <v>28</v>
      </c>
      <c r="I365" s="5610" t="s">
        <v>1629</v>
      </c>
    </row>
    <row customHeight="1" ht="11.25">
      <c r="A366" s="5610" t="s">
        <v>2257</v>
      </c>
      <c r="B366" s="5610" t="s">
        <v>16</v>
      </c>
      <c r="C366" s="5610" t="s">
        <v>2350</v>
      </c>
      <c r="D366" s="5610" t="s">
        <v>2351</v>
      </c>
      <c r="E366" s="5610" t="s">
        <v>2352</v>
      </c>
      <c r="F366" s="5610" t="s">
        <v>2353</v>
      </c>
      <c r="G366" s="5610" t="s">
        <v>28</v>
      </c>
      <c r="H366" s="5610" t="s">
        <v>28</v>
      </c>
      <c r="I366" s="5610" t="s">
        <v>1629</v>
      </c>
    </row>
    <row customHeight="1" ht="11.25">
      <c r="A367" s="5610" t="s">
        <v>2257</v>
      </c>
      <c r="B367" s="5610" t="s">
        <v>16</v>
      </c>
      <c r="C367" s="5610" t="s">
        <v>3099</v>
      </c>
      <c r="D367" s="5610" t="s">
        <v>3100</v>
      </c>
      <c r="E367" s="5610" t="s">
        <v>3101</v>
      </c>
      <c r="F367" s="5610" t="s">
        <v>583</v>
      </c>
      <c r="G367" s="5610" t="s">
        <v>28</v>
      </c>
      <c r="H367" s="5610" t="s">
        <v>28</v>
      </c>
      <c r="I367" s="5610" t="s">
        <v>1629</v>
      </c>
    </row>
    <row customHeight="1" ht="11.25">
      <c r="A368" s="5610" t="s">
        <v>2257</v>
      </c>
      <c r="B368" s="5610" t="s">
        <v>16</v>
      </c>
      <c r="C368" s="5610" t="s">
        <v>3102</v>
      </c>
      <c r="D368" s="5610" t="s">
        <v>3103</v>
      </c>
      <c r="E368" s="5610" t="s">
        <v>3104</v>
      </c>
      <c r="F368" s="5610" t="s">
        <v>583</v>
      </c>
      <c r="G368" s="5610" t="s">
        <v>28</v>
      </c>
      <c r="H368" s="5610" t="s">
        <v>28</v>
      </c>
      <c r="I368" s="5610" t="s">
        <v>1629</v>
      </c>
    </row>
    <row customHeight="1" ht="11.25">
      <c r="A369" s="5610" t="s">
        <v>2257</v>
      </c>
      <c r="B369" s="5610" t="s">
        <v>16</v>
      </c>
      <c r="C369" s="5610" t="s">
        <v>3105</v>
      </c>
      <c r="D369" s="5610" t="s">
        <v>3106</v>
      </c>
      <c r="E369" s="5610" t="s">
        <v>3107</v>
      </c>
      <c r="F369" s="5610" t="s">
        <v>583</v>
      </c>
      <c r="G369" s="5610" t="s">
        <v>28</v>
      </c>
      <c r="H369" s="5610" t="s">
        <v>28</v>
      </c>
      <c r="I369" s="5610" t="s">
        <v>1629</v>
      </c>
    </row>
    <row customHeight="1" ht="11.25">
      <c r="A370" s="5610" t="s">
        <v>2257</v>
      </c>
      <c r="B370" s="5610" t="s">
        <v>16</v>
      </c>
      <c r="C370" s="5610" t="s">
        <v>3108</v>
      </c>
      <c r="D370" s="5610" t="s">
        <v>3109</v>
      </c>
      <c r="E370" s="5610" t="s">
        <v>3110</v>
      </c>
      <c r="F370" s="5610" t="s">
        <v>583</v>
      </c>
      <c r="G370" s="5610" t="s">
        <v>28</v>
      </c>
      <c r="H370" s="5610" t="s">
        <v>28</v>
      </c>
      <c r="I370" s="5610" t="s">
        <v>1629</v>
      </c>
    </row>
    <row customHeight="1" ht="11.25">
      <c r="A371" s="5610" t="s">
        <v>2257</v>
      </c>
      <c r="B371" s="5610" t="s">
        <v>16</v>
      </c>
      <c r="C371" s="5610" t="s">
        <v>3069</v>
      </c>
      <c r="D371" s="5610" t="s">
        <v>3070</v>
      </c>
      <c r="E371" s="5610" t="s">
        <v>3071</v>
      </c>
      <c r="F371" s="5610" t="s">
        <v>2699</v>
      </c>
      <c r="G371" s="5610" t="s">
        <v>3072</v>
      </c>
      <c r="H371" s="5610" t="s">
        <v>28</v>
      </c>
      <c r="I371" s="5610" t="s">
        <v>1629</v>
      </c>
    </row>
    <row customHeight="1" ht="11.25">
      <c r="A372" s="5610" t="s">
        <v>2257</v>
      </c>
      <c r="B372" s="5610" t="s">
        <v>16</v>
      </c>
      <c r="C372" s="5610" t="s">
        <v>3111</v>
      </c>
      <c r="D372" s="5610" t="s">
        <v>3112</v>
      </c>
      <c r="E372" s="5610" t="s">
        <v>3113</v>
      </c>
      <c r="F372" s="5610" t="s">
        <v>2392</v>
      </c>
      <c r="G372" s="5610" t="s">
        <v>28</v>
      </c>
      <c r="H372" s="5610" t="s">
        <v>28</v>
      </c>
      <c r="I372" s="5610" t="s">
        <v>1629</v>
      </c>
    </row>
    <row customHeight="1" ht="11.25">
      <c r="A373" s="5610" t="s">
        <v>2257</v>
      </c>
      <c r="B373" s="5610" t="s">
        <v>16</v>
      </c>
      <c r="C373" s="5610" t="s">
        <v>3114</v>
      </c>
      <c r="D373" s="5610" t="s">
        <v>3115</v>
      </c>
      <c r="E373" s="5610" t="s">
        <v>3116</v>
      </c>
      <c r="F373" s="5610" t="s">
        <v>3117</v>
      </c>
      <c r="G373" s="5610" t="s">
        <v>28</v>
      </c>
      <c r="H373" s="5610" t="s">
        <v>28</v>
      </c>
      <c r="I373" s="5610" t="s">
        <v>1629</v>
      </c>
    </row>
    <row customHeight="1" ht="11.25">
      <c r="A374" s="5610" t="s">
        <v>2257</v>
      </c>
      <c r="B374" s="5610" t="s">
        <v>16</v>
      </c>
      <c r="C374" s="5610" t="s">
        <v>2909</v>
      </c>
      <c r="D374" s="5610" t="s">
        <v>2910</v>
      </c>
      <c r="E374" s="5610" t="s">
        <v>2911</v>
      </c>
      <c r="F374" s="5610" t="s">
        <v>2671</v>
      </c>
      <c r="G374" s="5610" t="s">
        <v>28</v>
      </c>
      <c r="H374" s="5610" t="s">
        <v>28</v>
      </c>
      <c r="I374" s="5610" t="s">
        <v>1629</v>
      </c>
    </row>
    <row customHeight="1" ht="11.25">
      <c r="A375" s="5610" t="s">
        <v>2257</v>
      </c>
      <c r="B375" s="5610" t="s">
        <v>16</v>
      </c>
      <c r="C375" s="5610" t="s">
        <v>2912</v>
      </c>
      <c r="D375" s="5610" t="s">
        <v>2913</v>
      </c>
      <c r="E375" s="5610" t="s">
        <v>2914</v>
      </c>
      <c r="F375" s="5610" t="s">
        <v>2369</v>
      </c>
      <c r="G375" s="5610" t="s">
        <v>28</v>
      </c>
      <c r="H375" s="5610" t="s">
        <v>28</v>
      </c>
      <c r="I375" s="5610" t="s">
        <v>1629</v>
      </c>
    </row>
    <row customHeight="1" ht="11.25">
      <c r="A376" s="5610" t="s">
        <v>2257</v>
      </c>
      <c r="B376" s="5610" t="s">
        <v>16</v>
      </c>
      <c r="C376" s="5610" t="s">
        <v>3118</v>
      </c>
      <c r="D376" s="5610" t="s">
        <v>3119</v>
      </c>
      <c r="E376" s="5610" t="s">
        <v>3120</v>
      </c>
      <c r="F376" s="5610" t="s">
        <v>2515</v>
      </c>
      <c r="G376" s="5610" t="s">
        <v>3121</v>
      </c>
      <c r="H376" s="5610" t="s">
        <v>28</v>
      </c>
      <c r="I376" s="5610" t="s">
        <v>1629</v>
      </c>
    </row>
    <row customHeight="1" ht="11.25">
      <c r="A377" s="5610" t="s">
        <v>2257</v>
      </c>
      <c r="B377" s="5610" t="s">
        <v>16</v>
      </c>
      <c r="C377" s="5610" t="s">
        <v>3122</v>
      </c>
      <c r="D377" s="5610" t="s">
        <v>3123</v>
      </c>
      <c r="E377" s="5610" t="s">
        <v>3124</v>
      </c>
      <c r="F377" s="5610" t="s">
        <v>2489</v>
      </c>
      <c r="G377" s="5610" t="s">
        <v>28</v>
      </c>
      <c r="H377" s="5610" t="s">
        <v>28</v>
      </c>
      <c r="I377" s="5610" t="s">
        <v>1629</v>
      </c>
    </row>
    <row customHeight="1" ht="11.25">
      <c r="A378" s="5610" t="s">
        <v>2257</v>
      </c>
      <c r="B378" s="5610" t="s">
        <v>16</v>
      </c>
      <c r="C378" s="5610" t="s">
        <v>2466</v>
      </c>
      <c r="D378" s="5610" t="s">
        <v>2467</v>
      </c>
      <c r="E378" s="5610" t="s">
        <v>2468</v>
      </c>
      <c r="F378" s="5610" t="s">
        <v>2469</v>
      </c>
      <c r="G378" s="5610" t="s">
        <v>28</v>
      </c>
      <c r="H378" s="5610" t="s">
        <v>28</v>
      </c>
      <c r="I378" s="5610" t="s">
        <v>1629</v>
      </c>
    </row>
    <row customHeight="1" ht="11.25">
      <c r="A379" s="5610" t="s">
        <v>2257</v>
      </c>
      <c r="B379" s="5610" t="s">
        <v>16</v>
      </c>
      <c r="C379" s="5610" t="s">
        <v>2951</v>
      </c>
      <c r="D379" s="5610" t="s">
        <v>2952</v>
      </c>
      <c r="E379" s="5610" t="s">
        <v>2953</v>
      </c>
      <c r="F379" s="5610" t="s">
        <v>2954</v>
      </c>
      <c r="G379" s="5610" t="s">
        <v>28</v>
      </c>
      <c r="H379" s="5610" t="s">
        <v>28</v>
      </c>
      <c r="I379" s="5610" t="s">
        <v>1629</v>
      </c>
    </row>
    <row customHeight="1" ht="11.25">
      <c r="A380" s="5610" t="s">
        <v>2257</v>
      </c>
      <c r="B380" s="5610" t="s">
        <v>16</v>
      </c>
      <c r="C380" s="5610" t="s">
        <v>2955</v>
      </c>
      <c r="D380" s="5610" t="s">
        <v>2956</v>
      </c>
      <c r="E380" s="5610" t="s">
        <v>2957</v>
      </c>
      <c r="F380" s="5610" t="s">
        <v>2523</v>
      </c>
      <c r="G380" s="5610" t="s">
        <v>2958</v>
      </c>
      <c r="H380" s="5610" t="s">
        <v>28</v>
      </c>
      <c r="I380" s="5610" t="s">
        <v>1629</v>
      </c>
    </row>
    <row customHeight="1" ht="11.25">
      <c r="A381" s="5610" t="s">
        <v>2257</v>
      </c>
      <c r="B381" s="5610" t="s">
        <v>16</v>
      </c>
      <c r="C381" s="5610" t="s">
        <v>2474</v>
      </c>
      <c r="D381" s="5610" t="s">
        <v>2475</v>
      </c>
      <c r="E381" s="5610" t="s">
        <v>2476</v>
      </c>
      <c r="F381" s="5610" t="s">
        <v>2477</v>
      </c>
      <c r="G381" s="5610" t="s">
        <v>28</v>
      </c>
      <c r="H381" s="5610" t="s">
        <v>28</v>
      </c>
      <c r="I381" s="5610" t="s">
        <v>1629</v>
      </c>
    </row>
    <row customHeight="1" ht="11.25">
      <c r="A382" s="5610" t="s">
        <v>2257</v>
      </c>
      <c r="B382" s="5610" t="s">
        <v>16</v>
      </c>
      <c r="C382" s="5610" t="s">
        <v>2482</v>
      </c>
      <c r="D382" s="5610" t="s">
        <v>2483</v>
      </c>
      <c r="E382" s="5610" t="s">
        <v>2484</v>
      </c>
      <c r="F382" s="5610" t="s">
        <v>2485</v>
      </c>
      <c r="G382" s="5610" t="s">
        <v>28</v>
      </c>
      <c r="H382" s="5610" t="s">
        <v>28</v>
      </c>
      <c r="I382" s="5610" t="s">
        <v>1629</v>
      </c>
    </row>
    <row customHeight="1" ht="11.25">
      <c r="A383" s="5610" t="s">
        <v>2257</v>
      </c>
      <c r="B383" s="5610" t="s">
        <v>16</v>
      </c>
      <c r="C383" s="5610" t="s">
        <v>3125</v>
      </c>
      <c r="D383" s="5610" t="s">
        <v>3126</v>
      </c>
      <c r="E383" s="5610" t="s">
        <v>3127</v>
      </c>
      <c r="F383" s="5610" t="s">
        <v>2328</v>
      </c>
      <c r="G383" s="5610" t="s">
        <v>28</v>
      </c>
      <c r="H383" s="5610" t="s">
        <v>28</v>
      </c>
      <c r="I383" s="5610" t="s">
        <v>1629</v>
      </c>
    </row>
    <row customHeight="1" ht="11.25">
      <c r="A384" s="5610" t="s">
        <v>2257</v>
      </c>
      <c r="B384" s="5610" t="s">
        <v>16</v>
      </c>
      <c r="C384" s="5610" t="s">
        <v>3128</v>
      </c>
      <c r="D384" s="5610" t="s">
        <v>3129</v>
      </c>
      <c r="E384" s="5610" t="s">
        <v>3130</v>
      </c>
      <c r="F384" s="5610" t="s">
        <v>2523</v>
      </c>
      <c r="G384" s="5610" t="s">
        <v>28</v>
      </c>
      <c r="H384" s="5610" t="s">
        <v>28</v>
      </c>
      <c r="I384" s="5610" t="s">
        <v>1629</v>
      </c>
    </row>
    <row customHeight="1" ht="11.25">
      <c r="A385" s="5610" t="s">
        <v>2257</v>
      </c>
      <c r="B385" s="5610" t="s">
        <v>16</v>
      </c>
      <c r="C385" s="5610" t="s">
        <v>3131</v>
      </c>
      <c r="D385" s="5610" t="s">
        <v>3132</v>
      </c>
      <c r="E385" s="5610" t="s">
        <v>3133</v>
      </c>
      <c r="F385" s="5610" t="s">
        <v>2749</v>
      </c>
      <c r="G385" s="5610" t="s">
        <v>28</v>
      </c>
      <c r="H385" s="5610" t="s">
        <v>28</v>
      </c>
      <c r="I385" s="5610" t="s">
        <v>1629</v>
      </c>
    </row>
    <row customHeight="1" ht="11.25">
      <c r="A386" s="5610" t="s">
        <v>2257</v>
      </c>
      <c r="B386" s="5610" t="s">
        <v>16</v>
      </c>
      <c r="C386" s="5610" t="s">
        <v>3134</v>
      </c>
      <c r="D386" s="5610" t="s">
        <v>3135</v>
      </c>
      <c r="E386" s="5610" t="s">
        <v>3136</v>
      </c>
      <c r="F386" s="5610" t="s">
        <v>583</v>
      </c>
      <c r="G386" s="5610" t="s">
        <v>28</v>
      </c>
      <c r="H386" s="5610" t="s">
        <v>28</v>
      </c>
      <c r="I386" s="5610" t="s">
        <v>1629</v>
      </c>
    </row>
    <row customHeight="1" ht="11.25">
      <c r="A387" s="5610" t="s">
        <v>2257</v>
      </c>
      <c r="B387" s="5610" t="s">
        <v>16</v>
      </c>
      <c r="C387" s="5610" t="s">
        <v>3137</v>
      </c>
      <c r="D387" s="5610" t="s">
        <v>3138</v>
      </c>
      <c r="E387" s="5610" t="s">
        <v>3139</v>
      </c>
      <c r="F387" s="5610" t="s">
        <v>2268</v>
      </c>
      <c r="G387" s="5610" t="s">
        <v>28</v>
      </c>
      <c r="H387" s="5610" t="s">
        <v>28</v>
      </c>
      <c r="I387" s="5610" t="s">
        <v>1629</v>
      </c>
    </row>
    <row customHeight="1" ht="11.25">
      <c r="A388" s="5610" t="s">
        <v>2257</v>
      </c>
      <c r="B388" s="5610" t="s">
        <v>16</v>
      </c>
      <c r="C388" s="5610" t="s">
        <v>3140</v>
      </c>
      <c r="D388" s="5610" t="s">
        <v>3141</v>
      </c>
      <c r="E388" s="5610" t="s">
        <v>3142</v>
      </c>
      <c r="F388" s="5610" t="s">
        <v>2268</v>
      </c>
      <c r="G388" s="5610" t="s">
        <v>28</v>
      </c>
      <c r="H388" s="5610" t="s">
        <v>28</v>
      </c>
      <c r="I388" s="5610" t="s">
        <v>1629</v>
      </c>
    </row>
    <row customHeight="1" ht="11.25">
      <c r="A389" s="5610" t="s">
        <v>2257</v>
      </c>
      <c r="B389" s="5610" t="s">
        <v>16</v>
      </c>
      <c r="C389" s="5610" t="s">
        <v>3143</v>
      </c>
      <c r="D389" s="5610" t="s">
        <v>3144</v>
      </c>
      <c r="E389" s="5610" t="s">
        <v>3145</v>
      </c>
      <c r="F389" s="5610" t="s">
        <v>3146</v>
      </c>
      <c r="G389" s="5610" t="s">
        <v>28</v>
      </c>
      <c r="H389" s="5610" t="s">
        <v>28</v>
      </c>
      <c r="I389" s="5610" t="s">
        <v>1629</v>
      </c>
    </row>
    <row customHeight="1" ht="11.25">
      <c r="A390" s="5610" t="s">
        <v>2257</v>
      </c>
      <c r="B390" s="5610" t="s">
        <v>16</v>
      </c>
      <c r="C390" s="5610" t="s">
        <v>3147</v>
      </c>
      <c r="D390" s="5610" t="s">
        <v>3148</v>
      </c>
      <c r="E390" s="5610" t="s">
        <v>3149</v>
      </c>
      <c r="F390" s="5610" t="s">
        <v>3150</v>
      </c>
      <c r="G390" s="5610" t="s">
        <v>28</v>
      </c>
      <c r="H390" s="5610" t="s">
        <v>28</v>
      </c>
      <c r="I390" s="5610" t="s">
        <v>1629</v>
      </c>
    </row>
    <row customHeight="1" ht="11.25">
      <c r="A391" s="5610" t="s">
        <v>2257</v>
      </c>
      <c r="B391" s="5610" t="s">
        <v>16</v>
      </c>
      <c r="C391" s="5610" t="s">
        <v>3151</v>
      </c>
      <c r="D391" s="5610" t="s">
        <v>3152</v>
      </c>
      <c r="E391" s="5610" t="s">
        <v>3153</v>
      </c>
      <c r="F391" s="5610" t="s">
        <v>2392</v>
      </c>
      <c r="G391" s="5610" t="s">
        <v>28</v>
      </c>
      <c r="H391" s="5610" t="s">
        <v>28</v>
      </c>
      <c r="I391" s="5610" t="s">
        <v>1629</v>
      </c>
    </row>
    <row customHeight="1" ht="11.25">
      <c r="A392" s="5610" t="s">
        <v>2257</v>
      </c>
      <c r="B392" s="5610" t="s">
        <v>16</v>
      </c>
      <c r="C392" s="5610" t="s">
        <v>3154</v>
      </c>
      <c r="D392" s="5610" t="s">
        <v>3155</v>
      </c>
      <c r="E392" s="5610" t="s">
        <v>3156</v>
      </c>
      <c r="F392" s="5610" t="s">
        <v>2426</v>
      </c>
      <c r="G392" s="5610" t="s">
        <v>28</v>
      </c>
      <c r="H392" s="5610" t="s">
        <v>28</v>
      </c>
      <c r="I392" s="5610" t="s">
        <v>1629</v>
      </c>
    </row>
    <row customHeight="1" ht="11.25">
      <c r="A393" s="5610" t="s">
        <v>2257</v>
      </c>
      <c r="B393" s="5610" t="s">
        <v>16</v>
      </c>
      <c r="C393" s="5610" t="s">
        <v>3157</v>
      </c>
      <c r="D393" s="5610" t="s">
        <v>3158</v>
      </c>
      <c r="E393" s="5610" t="s">
        <v>3159</v>
      </c>
      <c r="F393" s="5610" t="s">
        <v>2384</v>
      </c>
      <c r="G393" s="5610" t="s">
        <v>28</v>
      </c>
      <c r="H393" s="5610" t="s">
        <v>28</v>
      </c>
      <c r="I393" s="5610" t="s">
        <v>1629</v>
      </c>
    </row>
    <row customHeight="1" ht="11.25">
      <c r="A394" s="5610" t="s">
        <v>2257</v>
      </c>
      <c r="B394" s="5610" t="s">
        <v>16</v>
      </c>
      <c r="C394" s="5610" t="s">
        <v>3160</v>
      </c>
      <c r="D394" s="5610" t="s">
        <v>3161</v>
      </c>
      <c r="E394" s="5610" t="s">
        <v>3162</v>
      </c>
      <c r="F394" s="5610" t="s">
        <v>2392</v>
      </c>
      <c r="G394" s="5610" t="s">
        <v>28</v>
      </c>
      <c r="H394" s="5610" t="s">
        <v>28</v>
      </c>
      <c r="I394" s="5610" t="s">
        <v>1629</v>
      </c>
    </row>
    <row customHeight="1" ht="11.25">
      <c r="A395" s="5610" t="s">
        <v>2257</v>
      </c>
      <c r="B395" s="5610" t="s">
        <v>16</v>
      </c>
      <c r="C395" s="5610" t="s">
        <v>3163</v>
      </c>
      <c r="D395" s="5610" t="s">
        <v>3164</v>
      </c>
      <c r="E395" s="5610" t="s">
        <v>3165</v>
      </c>
      <c r="F395" s="5610" t="s">
        <v>2907</v>
      </c>
      <c r="G395" s="5610" t="s">
        <v>28</v>
      </c>
      <c r="H395" s="5610" t="s">
        <v>28</v>
      </c>
      <c r="I395" s="5610" t="s">
        <v>1629</v>
      </c>
    </row>
    <row customHeight="1" ht="11.25">
      <c r="A396" s="5610" t="s">
        <v>2257</v>
      </c>
      <c r="B396" s="5610" t="s">
        <v>16</v>
      </c>
      <c r="C396" s="5610" t="s">
        <v>3166</v>
      </c>
      <c r="D396" s="5610" t="s">
        <v>3167</v>
      </c>
      <c r="E396" s="5610" t="s">
        <v>3168</v>
      </c>
      <c r="F396" s="5610" t="s">
        <v>2298</v>
      </c>
      <c r="G396" s="5610" t="s">
        <v>28</v>
      </c>
      <c r="H396" s="5610" t="s">
        <v>28</v>
      </c>
      <c r="I396" s="5610" t="s">
        <v>1629</v>
      </c>
    </row>
    <row customHeight="1" ht="11.25">
      <c r="A397" s="5610" t="s">
        <v>2257</v>
      </c>
      <c r="B397" s="5610" t="s">
        <v>16</v>
      </c>
      <c r="C397" s="5610" t="s">
        <v>3169</v>
      </c>
      <c r="D397" s="5610" t="s">
        <v>3170</v>
      </c>
      <c r="E397" s="5610" t="s">
        <v>3133</v>
      </c>
      <c r="F397" s="5610" t="s">
        <v>3171</v>
      </c>
      <c r="G397" s="5610" t="s">
        <v>3172</v>
      </c>
      <c r="H397" s="5610" t="s">
        <v>28</v>
      </c>
      <c r="I397" s="5610" t="s">
        <v>1629</v>
      </c>
    </row>
    <row customHeight="1" ht="11.25">
      <c r="A398" s="5610" t="s">
        <v>2257</v>
      </c>
      <c r="B398" s="5610" t="s">
        <v>16</v>
      </c>
      <c r="C398" s="5610" t="s">
        <v>3173</v>
      </c>
      <c r="D398" s="5610" t="s">
        <v>3174</v>
      </c>
      <c r="E398" s="5610" t="s">
        <v>3175</v>
      </c>
      <c r="F398" s="5610" t="s">
        <v>3150</v>
      </c>
      <c r="G398" s="5610" t="s">
        <v>28</v>
      </c>
      <c r="H398" s="5610" t="s">
        <v>28</v>
      </c>
      <c r="I398" s="5610" t="s">
        <v>1629</v>
      </c>
    </row>
    <row customHeight="1" ht="11.25">
      <c r="A399" s="5610" t="s">
        <v>2257</v>
      </c>
      <c r="B399" s="5610" t="s">
        <v>16</v>
      </c>
      <c r="C399" s="5610" t="s">
        <v>3176</v>
      </c>
      <c r="D399" s="5610" t="s">
        <v>3177</v>
      </c>
      <c r="E399" s="5610" t="s">
        <v>3178</v>
      </c>
      <c r="F399" s="5610" t="s">
        <v>3117</v>
      </c>
      <c r="G399" s="5610" t="s">
        <v>28</v>
      </c>
      <c r="H399" s="5610" t="s">
        <v>28</v>
      </c>
      <c r="I399" s="5610" t="s">
        <v>1629</v>
      </c>
    </row>
    <row customHeight="1" ht="11.25">
      <c r="A400" s="5610" t="s">
        <v>2257</v>
      </c>
      <c r="B400" s="5610" t="s">
        <v>16</v>
      </c>
      <c r="C400" s="5610" t="s">
        <v>3179</v>
      </c>
      <c r="D400" s="5610" t="s">
        <v>3180</v>
      </c>
      <c r="E400" s="5610" t="s">
        <v>3181</v>
      </c>
      <c r="F400" s="5610" t="s">
        <v>2328</v>
      </c>
      <c r="G400" s="5610" t="s">
        <v>28</v>
      </c>
      <c r="H400" s="5610" t="s">
        <v>28</v>
      </c>
      <c r="I400" s="5610" t="s">
        <v>1629</v>
      </c>
    </row>
    <row customHeight="1" ht="11.25">
      <c r="A401" s="5610" t="s">
        <v>2257</v>
      </c>
      <c r="B401" s="5610" t="s">
        <v>16</v>
      </c>
      <c r="C401" s="5610" t="s">
        <v>3182</v>
      </c>
      <c r="D401" s="5610" t="s">
        <v>3183</v>
      </c>
      <c r="E401" s="5610" t="s">
        <v>3184</v>
      </c>
      <c r="F401" s="5610" t="s">
        <v>2507</v>
      </c>
      <c r="G401" s="5610" t="s">
        <v>28</v>
      </c>
      <c r="H401" s="5610" t="s">
        <v>28</v>
      </c>
      <c r="I401" s="5610" t="s">
        <v>1629</v>
      </c>
    </row>
    <row customHeight="1" ht="11.25">
      <c r="A402" s="5610" t="s">
        <v>2257</v>
      </c>
      <c r="B402" s="5610" t="s">
        <v>16</v>
      </c>
      <c r="C402" s="5610" t="s">
        <v>3185</v>
      </c>
      <c r="D402" s="5610" t="s">
        <v>3186</v>
      </c>
      <c r="E402" s="5610" t="s">
        <v>3187</v>
      </c>
      <c r="F402" s="5610" t="s">
        <v>2720</v>
      </c>
      <c r="G402" s="5610" t="s">
        <v>28</v>
      </c>
      <c r="H402" s="5610" t="s">
        <v>28</v>
      </c>
      <c r="I402" s="5610" t="s">
        <v>1629</v>
      </c>
    </row>
    <row customHeight="1" ht="11.25">
      <c r="A403" s="5610" t="s">
        <v>2257</v>
      </c>
      <c r="B403" s="5610" t="s">
        <v>16</v>
      </c>
      <c r="C403" s="5610" t="s">
        <v>3188</v>
      </c>
      <c r="D403" s="5610" t="s">
        <v>3189</v>
      </c>
      <c r="E403" s="5610" t="s">
        <v>3190</v>
      </c>
      <c r="F403" s="5610" t="s">
        <v>2324</v>
      </c>
      <c r="G403" s="5610" t="s">
        <v>3191</v>
      </c>
      <c r="H403" s="5610" t="s">
        <v>28</v>
      </c>
      <c r="I403" s="5610" t="s">
        <v>1629</v>
      </c>
    </row>
    <row customHeight="1" ht="11.25">
      <c r="A404" s="5610" t="s">
        <v>2257</v>
      </c>
      <c r="B404" s="5610" t="s">
        <v>16</v>
      </c>
      <c r="C404" s="5610" t="s">
        <v>3192</v>
      </c>
      <c r="D404" s="5610" t="s">
        <v>3193</v>
      </c>
      <c r="E404" s="5610" t="s">
        <v>3194</v>
      </c>
      <c r="F404" s="5610" t="s">
        <v>2907</v>
      </c>
      <c r="G404" s="5610" t="s">
        <v>28</v>
      </c>
      <c r="H404" s="5610" t="s">
        <v>28</v>
      </c>
      <c r="I404" s="5610" t="s">
        <v>1629</v>
      </c>
    </row>
    <row customHeight="1" ht="11.25">
      <c r="A405" s="5610" t="s">
        <v>2257</v>
      </c>
      <c r="B405" s="5610" t="s">
        <v>16</v>
      </c>
      <c r="C405" s="5610" t="s">
        <v>3195</v>
      </c>
      <c r="D405" s="5610" t="s">
        <v>3193</v>
      </c>
      <c r="E405" s="5610" t="s">
        <v>3196</v>
      </c>
      <c r="F405" s="5610" t="s">
        <v>2376</v>
      </c>
      <c r="G405" s="5610" t="s">
        <v>3197</v>
      </c>
      <c r="H405" s="5610" t="s">
        <v>28</v>
      </c>
      <c r="I405" s="5610" t="s">
        <v>1629</v>
      </c>
    </row>
    <row customHeight="1" ht="11.25">
      <c r="A406" s="5610" t="s">
        <v>2257</v>
      </c>
      <c r="B406" s="5610" t="s">
        <v>16</v>
      </c>
      <c r="C406" s="5610" t="s">
        <v>2727</v>
      </c>
      <c r="D406" s="5610" t="s">
        <v>2728</v>
      </c>
      <c r="E406" s="5610" t="s">
        <v>2729</v>
      </c>
      <c r="F406" s="5610" t="s">
        <v>2730</v>
      </c>
      <c r="G406" s="5610" t="s">
        <v>28</v>
      </c>
      <c r="H406" s="5610" t="s">
        <v>28</v>
      </c>
      <c r="I406" s="5610" t="s">
        <v>1629</v>
      </c>
    </row>
    <row customHeight="1" ht="11.25">
      <c r="A407" s="5610" t="s">
        <v>2257</v>
      </c>
      <c r="B407" s="5610" t="s">
        <v>16</v>
      </c>
      <c r="C407" s="5610" t="s">
        <v>3198</v>
      </c>
      <c r="D407" s="5610" t="s">
        <v>3199</v>
      </c>
      <c r="E407" s="5610" t="s">
        <v>3200</v>
      </c>
      <c r="F407" s="5610" t="s">
        <v>2376</v>
      </c>
      <c r="G407" s="5610" t="s">
        <v>28</v>
      </c>
      <c r="H407" s="5610" t="s">
        <v>28</v>
      </c>
      <c r="I407" s="5610" t="s">
        <v>1629</v>
      </c>
    </row>
    <row customHeight="1" ht="11.25">
      <c r="A408" s="5610" t="s">
        <v>2257</v>
      </c>
      <c r="B408" s="5610" t="s">
        <v>16</v>
      </c>
      <c r="C408" s="5610" t="s">
        <v>3201</v>
      </c>
      <c r="D408" s="5610" t="s">
        <v>3202</v>
      </c>
      <c r="E408" s="5610" t="s">
        <v>3203</v>
      </c>
      <c r="F408" s="5610" t="s">
        <v>2346</v>
      </c>
      <c r="G408" s="5610" t="s">
        <v>3204</v>
      </c>
      <c r="H408" s="5610" t="s">
        <v>28</v>
      </c>
      <c r="I408" s="5610" t="s">
        <v>1629</v>
      </c>
    </row>
    <row customHeight="1" ht="11.25">
      <c r="A409" s="5610" t="s">
        <v>2257</v>
      </c>
      <c r="B409" s="5610" t="s">
        <v>16</v>
      </c>
      <c r="C409" s="5610" t="s">
        <v>3205</v>
      </c>
      <c r="D409" s="5610" t="s">
        <v>3206</v>
      </c>
      <c r="E409" s="5610" t="s">
        <v>3207</v>
      </c>
      <c r="F409" s="5610" t="s">
        <v>2346</v>
      </c>
      <c r="G409" s="5610" t="s">
        <v>28</v>
      </c>
      <c r="H409" s="5610" t="s">
        <v>28</v>
      </c>
      <c r="I409" s="5610" t="s">
        <v>1629</v>
      </c>
    </row>
    <row customHeight="1" ht="11.25">
      <c r="A410" s="5610" t="s">
        <v>2257</v>
      </c>
      <c r="B410" s="5610" t="s">
        <v>16</v>
      </c>
      <c r="C410" s="5610" t="s">
        <v>3208</v>
      </c>
      <c r="D410" s="5610" t="s">
        <v>3209</v>
      </c>
      <c r="E410" s="5610" t="s">
        <v>3210</v>
      </c>
      <c r="F410" s="5610" t="s">
        <v>2328</v>
      </c>
      <c r="G410" s="5610" t="s">
        <v>28</v>
      </c>
      <c r="H410" s="5610" t="s">
        <v>28</v>
      </c>
      <c r="I410" s="5610" t="s">
        <v>1629</v>
      </c>
    </row>
    <row customHeight="1" ht="11.25">
      <c r="A411" s="5610" t="s">
        <v>2257</v>
      </c>
      <c r="B411" s="5610" t="s">
        <v>16</v>
      </c>
      <c r="C411" s="5610" t="s">
        <v>3211</v>
      </c>
      <c r="D411" s="5610" t="s">
        <v>3212</v>
      </c>
      <c r="E411" s="5610" t="s">
        <v>3213</v>
      </c>
      <c r="F411" s="5610" t="s">
        <v>3171</v>
      </c>
      <c r="G411" s="5610" t="s">
        <v>28</v>
      </c>
      <c r="H411" s="5610" t="s">
        <v>28</v>
      </c>
      <c r="I411" s="5610" t="s">
        <v>1629</v>
      </c>
    </row>
    <row customHeight="1" ht="11.25">
      <c r="A412" s="5610" t="s">
        <v>2257</v>
      </c>
      <c r="B412" s="5610" t="s">
        <v>16</v>
      </c>
      <c r="C412" s="5610" t="s">
        <v>3214</v>
      </c>
      <c r="D412" s="5610" t="s">
        <v>3215</v>
      </c>
      <c r="E412" s="5610" t="s">
        <v>3216</v>
      </c>
      <c r="F412" s="5610" t="s">
        <v>2519</v>
      </c>
      <c r="G412" s="5610" t="s">
        <v>28</v>
      </c>
      <c r="H412" s="5610" t="s">
        <v>28</v>
      </c>
      <c r="I412" s="5610" t="s">
        <v>1629</v>
      </c>
    </row>
    <row customHeight="1" ht="11.25">
      <c r="A413" s="5610" t="s">
        <v>2257</v>
      </c>
      <c r="B413" s="5610" t="s">
        <v>16</v>
      </c>
      <c r="C413" s="5610" t="s">
        <v>3217</v>
      </c>
      <c r="D413" s="5610" t="s">
        <v>3218</v>
      </c>
      <c r="E413" s="5610" t="s">
        <v>3219</v>
      </c>
      <c r="F413" s="5610" t="s">
        <v>2699</v>
      </c>
      <c r="G413" s="5610" t="s">
        <v>3220</v>
      </c>
      <c r="H413" s="5610" t="s">
        <v>28</v>
      </c>
      <c r="I413" s="5610" t="s">
        <v>1629</v>
      </c>
    </row>
    <row customHeight="1" ht="11.25">
      <c r="A414" s="5610" t="s">
        <v>2257</v>
      </c>
      <c r="B414" s="5610" t="s">
        <v>16</v>
      </c>
      <c r="C414" s="5610" t="s">
        <v>3221</v>
      </c>
      <c r="D414" s="5610" t="s">
        <v>3222</v>
      </c>
      <c r="E414" s="5610" t="s">
        <v>3223</v>
      </c>
      <c r="F414" s="5610" t="s">
        <v>2817</v>
      </c>
      <c r="G414" s="5610" t="s">
        <v>28</v>
      </c>
      <c r="H414" s="5610" t="s">
        <v>28</v>
      </c>
      <c r="I414" s="5610" t="s">
        <v>1629</v>
      </c>
    </row>
    <row customHeight="1" ht="11.25">
      <c r="A415" s="5610" t="s">
        <v>2257</v>
      </c>
      <c r="B415" s="5610" t="s">
        <v>16</v>
      </c>
      <c r="C415" s="5610" t="s">
        <v>3224</v>
      </c>
      <c r="D415" s="5610" t="s">
        <v>3225</v>
      </c>
      <c r="E415" s="5610" t="s">
        <v>3226</v>
      </c>
      <c r="F415" s="5610" t="s">
        <v>2448</v>
      </c>
      <c r="G415" s="5610" t="s">
        <v>28</v>
      </c>
      <c r="H415" s="5610" t="s">
        <v>28</v>
      </c>
      <c r="I415" s="5610" t="s">
        <v>1629</v>
      </c>
    </row>
    <row customHeight="1" ht="11.25">
      <c r="A416" s="5610" t="s">
        <v>2257</v>
      </c>
      <c r="B416" s="5610" t="s">
        <v>16</v>
      </c>
      <c r="C416" s="5610" t="s">
        <v>3227</v>
      </c>
      <c r="D416" s="5610" t="s">
        <v>3228</v>
      </c>
      <c r="E416" s="5610" t="s">
        <v>3229</v>
      </c>
      <c r="F416" s="5610" t="s">
        <v>2380</v>
      </c>
      <c r="G416" s="5610" t="s">
        <v>28</v>
      </c>
      <c r="H416" s="5610" t="s">
        <v>28</v>
      </c>
      <c r="I416" s="5610" t="s">
        <v>1629</v>
      </c>
    </row>
    <row customHeight="1" ht="11.25">
      <c r="A417" s="5610" t="s">
        <v>2257</v>
      </c>
      <c r="B417" s="5610" t="s">
        <v>16</v>
      </c>
      <c r="C417" s="5610" t="s">
        <v>3230</v>
      </c>
      <c r="D417" s="5610" t="s">
        <v>3231</v>
      </c>
      <c r="E417" s="5610" t="s">
        <v>3232</v>
      </c>
      <c r="F417" s="5610" t="s">
        <v>2527</v>
      </c>
      <c r="G417" s="5610" t="s">
        <v>28</v>
      </c>
      <c r="H417" s="5610" t="s">
        <v>28</v>
      </c>
      <c r="I417" s="5610" t="s">
        <v>1629</v>
      </c>
    </row>
    <row customHeight="1" ht="11.25">
      <c r="A418" s="5610" t="s">
        <v>2257</v>
      </c>
      <c r="B418" s="5610" t="s">
        <v>16</v>
      </c>
      <c r="C418" s="5610" t="s">
        <v>3233</v>
      </c>
      <c r="D418" s="5610" t="s">
        <v>3234</v>
      </c>
      <c r="E418" s="5610" t="s">
        <v>3235</v>
      </c>
      <c r="F418" s="5610" t="s">
        <v>2298</v>
      </c>
      <c r="G418" s="5610" t="s">
        <v>28</v>
      </c>
      <c r="H418" s="5610" t="s">
        <v>28</v>
      </c>
      <c r="I418" s="5610" t="s">
        <v>1629</v>
      </c>
    </row>
    <row customHeight="1" ht="11.25">
      <c r="A419" s="5610" t="s">
        <v>2257</v>
      </c>
      <c r="B419" s="5610" t="s">
        <v>16</v>
      </c>
      <c r="C419" s="5610" t="s">
        <v>3236</v>
      </c>
      <c r="D419" s="5610" t="s">
        <v>3237</v>
      </c>
      <c r="E419" s="5610" t="s">
        <v>3238</v>
      </c>
      <c r="F419" s="5610" t="s">
        <v>2298</v>
      </c>
      <c r="G419" s="5610" t="s">
        <v>28</v>
      </c>
      <c r="H419" s="5610" t="s">
        <v>28</v>
      </c>
      <c r="I419" s="5610" t="s">
        <v>1629</v>
      </c>
    </row>
    <row customHeight="1" ht="11.25">
      <c r="A420" s="5610" t="s">
        <v>2257</v>
      </c>
      <c r="B420" s="5610" t="s">
        <v>16</v>
      </c>
      <c r="C420" s="5610" t="s">
        <v>3239</v>
      </c>
      <c r="D420" s="5610" t="s">
        <v>3240</v>
      </c>
      <c r="E420" s="5610" t="s">
        <v>3241</v>
      </c>
      <c r="F420" s="5610" t="s">
        <v>2500</v>
      </c>
      <c r="G420" s="5610" t="s">
        <v>28</v>
      </c>
      <c r="H420" s="5610" t="s">
        <v>28</v>
      </c>
      <c r="I420" s="5610" t="s">
        <v>1629</v>
      </c>
    </row>
    <row customHeight="1" ht="11.25">
      <c r="A421" s="5610" t="s">
        <v>2257</v>
      </c>
      <c r="B421" s="5610" t="s">
        <v>16</v>
      </c>
      <c r="C421" s="5610" t="s">
        <v>3242</v>
      </c>
      <c r="D421" s="5610" t="s">
        <v>3243</v>
      </c>
      <c r="E421" s="5610" t="s">
        <v>3244</v>
      </c>
      <c r="F421" s="5610" t="s">
        <v>2384</v>
      </c>
      <c r="G421" s="5610" t="s">
        <v>28</v>
      </c>
      <c r="H421" s="5610" t="s">
        <v>28</v>
      </c>
      <c r="I421" s="5610" t="s">
        <v>1629</v>
      </c>
    </row>
    <row customHeight="1" ht="11.25">
      <c r="A422" s="5610" t="s">
        <v>2257</v>
      </c>
      <c r="B422" s="5610" t="s">
        <v>16</v>
      </c>
      <c r="C422" s="5610" t="s">
        <v>28</v>
      </c>
      <c r="D422" s="5610" t="s">
        <v>2771</v>
      </c>
      <c r="E422" s="5610" t="s">
        <v>2772</v>
      </c>
      <c r="F422" s="5610" t="s">
        <v>2519</v>
      </c>
      <c r="G422" s="5610" t="s">
        <v>28</v>
      </c>
      <c r="H422" s="5610" t="s">
        <v>28</v>
      </c>
      <c r="I422" s="5610" t="s">
        <v>1629</v>
      </c>
    </row>
  </sheetData>
  <sheetProtection formatColumns="0" formatRows="0"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DFF577F-0A68-DBC8-65C8-A14D30B97EA8}" mc:Ignorable="x14ac xr xr2 xr3">
  <sheetPr>
    <tabColor rgb="FFFFCC99"/>
  </sheetPr>
  <dimension ref="A1:G464"/>
  <sheetViews>
    <sheetView topLeftCell="A1" showGridLines="0" workbookViewId="0">
      <selection activeCell="A1" sqref="A1"/>
    </sheetView>
  </sheetViews>
  <sheetFormatPr customHeight="1" defaultRowHeight="11.25"/>
  <cols>
    <col min="1" max="1" style="14218" width="9.140625"/>
  </cols>
  <sheetData>
    <row customHeight="1" ht="11.25">
      <c r="A1" s="657" t="s">
        <v>3245</v>
      </c>
      <c r="B1" s="346" t="s">
        <v>3246</v>
      </c>
      <c r="C1" s="346" t="s">
        <v>3247</v>
      </c>
      <c r="D1" s="346" t="s">
        <v>3248</v>
      </c>
      <c r="E1" s="233" t="s">
        <v>3249</v>
      </c>
      <c r="F1" s="233" t="s">
        <v>3250</v>
      </c>
      <c r="G1" s="233" t="s">
        <v>3251</v>
      </c>
    </row>
    <row customHeight="1" ht="11.25">
      <c r="A2" s="657" t="s">
        <v>16</v>
      </c>
      <c r="B2" s="0" t="s">
        <v>3252</v>
      </c>
      <c r="C2" s="0" t="s">
        <v>3253</v>
      </c>
      <c r="D2" s="0" t="s">
        <v>3252</v>
      </c>
      <c r="E2" s="0" t="s">
        <v>3253</v>
      </c>
      <c r="F2" s="0" t="s">
        <v>3254</v>
      </c>
      <c r="G2" s="0" t="s">
        <v>110</v>
      </c>
    </row>
    <row customHeight="1" ht="11.25">
      <c r="A3" s="657" t="s">
        <v>16</v>
      </c>
      <c r="B3" s="0" t="s">
        <v>3252</v>
      </c>
      <c r="C3" s="0" t="s">
        <v>3253</v>
      </c>
      <c r="D3" s="0" t="s">
        <v>3255</v>
      </c>
      <c r="E3" s="0" t="s">
        <v>3256</v>
      </c>
      <c r="F3" s="0" t="s">
        <v>3257</v>
      </c>
      <c r="G3" s="0" t="s">
        <v>111</v>
      </c>
    </row>
    <row customHeight="1" ht="11.25">
      <c r="A4" s="657" t="s">
        <v>16</v>
      </c>
      <c r="B4" s="0" t="s">
        <v>3252</v>
      </c>
      <c r="C4" s="0" t="s">
        <v>3253</v>
      </c>
      <c r="D4" s="0" t="s">
        <v>3258</v>
      </c>
      <c r="E4" s="0" t="s">
        <v>3259</v>
      </c>
      <c r="F4" s="0" t="s">
        <v>3257</v>
      </c>
      <c r="G4" s="0" t="s">
        <v>91</v>
      </c>
    </row>
    <row customHeight="1" ht="11.25">
      <c r="A5" s="657" t="s">
        <v>16</v>
      </c>
      <c r="B5" s="0" t="s">
        <v>3252</v>
      </c>
      <c r="C5" s="0" t="s">
        <v>3253</v>
      </c>
      <c r="D5" s="0" t="s">
        <v>3260</v>
      </c>
      <c r="E5" s="0" t="s">
        <v>3261</v>
      </c>
      <c r="F5" s="0" t="s">
        <v>3257</v>
      </c>
      <c r="G5" s="0" t="s">
        <v>92</v>
      </c>
    </row>
    <row customHeight="1" ht="11.25">
      <c r="A6" s="657" t="s">
        <v>16</v>
      </c>
      <c r="B6" s="0" t="s">
        <v>3252</v>
      </c>
      <c r="C6" s="0" t="s">
        <v>3253</v>
      </c>
      <c r="D6" s="0" t="s">
        <v>3262</v>
      </c>
      <c r="E6" s="0" t="s">
        <v>3263</v>
      </c>
      <c r="F6" s="0" t="s">
        <v>3257</v>
      </c>
      <c r="G6" s="0" t="s">
        <v>112</v>
      </c>
    </row>
    <row customHeight="1" ht="11.25">
      <c r="A7" s="657" t="s">
        <v>16</v>
      </c>
      <c r="B7" s="0" t="s">
        <v>3252</v>
      </c>
      <c r="C7" s="0" t="s">
        <v>3253</v>
      </c>
      <c r="D7" s="0" t="s">
        <v>3264</v>
      </c>
      <c r="E7" s="0" t="s">
        <v>3265</v>
      </c>
      <c r="F7" s="0" t="s">
        <v>3257</v>
      </c>
      <c r="G7" s="0" t="s">
        <v>93</v>
      </c>
    </row>
    <row customHeight="1" ht="11.25">
      <c r="A8" s="657" t="s">
        <v>16</v>
      </c>
      <c r="B8" s="0" t="s">
        <v>3252</v>
      </c>
      <c r="C8" s="0" t="s">
        <v>3253</v>
      </c>
      <c r="D8" s="0" t="s">
        <v>3266</v>
      </c>
      <c r="E8" s="0" t="s">
        <v>3267</v>
      </c>
      <c r="F8" s="0" t="s">
        <v>3257</v>
      </c>
      <c r="G8" s="0" t="s">
        <v>94</v>
      </c>
    </row>
    <row customHeight="1" ht="11.25">
      <c r="A9" s="657" t="s">
        <v>16</v>
      </c>
      <c r="B9" s="0" t="s">
        <v>3252</v>
      </c>
      <c r="C9" s="0" t="s">
        <v>3253</v>
      </c>
      <c r="D9" s="0" t="s">
        <v>3268</v>
      </c>
      <c r="E9" s="0" t="s">
        <v>3269</v>
      </c>
      <c r="F9" s="0" t="s">
        <v>3257</v>
      </c>
      <c r="G9" s="0" t="s">
        <v>113</v>
      </c>
    </row>
    <row customHeight="1" ht="11.25">
      <c r="A10" s="657" t="s">
        <v>16</v>
      </c>
      <c r="B10" s="0" t="s">
        <v>3252</v>
      </c>
      <c r="C10" s="0" t="s">
        <v>3253</v>
      </c>
      <c r="D10" s="0" t="s">
        <v>3270</v>
      </c>
      <c r="E10" s="0" t="s">
        <v>3271</v>
      </c>
      <c r="F10" s="0" t="s">
        <v>3257</v>
      </c>
      <c r="G10" s="0" t="s">
        <v>149</v>
      </c>
    </row>
    <row customHeight="1" ht="11.25">
      <c r="A11" s="657" t="s">
        <v>16</v>
      </c>
      <c r="B11" s="0" t="s">
        <v>3252</v>
      </c>
      <c r="C11" s="0" t="s">
        <v>3253</v>
      </c>
      <c r="D11" s="0" t="s">
        <v>3272</v>
      </c>
      <c r="E11" s="0" t="s">
        <v>3273</v>
      </c>
      <c r="F11" s="0" t="s">
        <v>3257</v>
      </c>
      <c r="G11" s="0" t="s">
        <v>150</v>
      </c>
    </row>
    <row customHeight="1" ht="11.25">
      <c r="A12" s="657" t="s">
        <v>16</v>
      </c>
      <c r="B12" s="0" t="s">
        <v>3252</v>
      </c>
      <c r="C12" s="0" t="s">
        <v>3253</v>
      </c>
      <c r="D12" s="0" t="s">
        <v>3274</v>
      </c>
      <c r="E12" s="0" t="s">
        <v>3275</v>
      </c>
      <c r="F12" s="0" t="s">
        <v>3257</v>
      </c>
      <c r="G12" s="0" t="s">
        <v>151</v>
      </c>
    </row>
    <row customHeight="1" ht="11.25">
      <c r="A13" s="657" t="s">
        <v>16</v>
      </c>
      <c r="B13" s="0" t="s">
        <v>3252</v>
      </c>
      <c r="C13" s="0" t="s">
        <v>3253</v>
      </c>
      <c r="D13" s="0" t="s">
        <v>3276</v>
      </c>
      <c r="E13" s="0" t="s">
        <v>3277</v>
      </c>
      <c r="F13" s="0" t="s">
        <v>3257</v>
      </c>
      <c r="G13" s="0" t="s">
        <v>152</v>
      </c>
    </row>
    <row customHeight="1" ht="11.25">
      <c r="A14" s="657" t="s">
        <v>16</v>
      </c>
      <c r="B14" s="0" t="s">
        <v>3252</v>
      </c>
      <c r="C14" s="0" t="s">
        <v>3253</v>
      </c>
      <c r="D14" s="0" t="s">
        <v>3278</v>
      </c>
      <c r="E14" s="0" t="s">
        <v>3279</v>
      </c>
      <c r="F14" s="0" t="s">
        <v>3257</v>
      </c>
      <c r="G14" s="0" t="s">
        <v>153</v>
      </c>
    </row>
    <row customHeight="1" ht="11.25">
      <c r="A15" s="657" t="s">
        <v>16</v>
      </c>
      <c r="B15" s="0" t="s">
        <v>3252</v>
      </c>
      <c r="C15" s="0" t="s">
        <v>3253</v>
      </c>
      <c r="D15" s="0" t="s">
        <v>3280</v>
      </c>
      <c r="E15" s="0" t="s">
        <v>3281</v>
      </c>
      <c r="F15" s="0" t="s">
        <v>3257</v>
      </c>
      <c r="G15" s="0" t="s">
        <v>154</v>
      </c>
    </row>
    <row customHeight="1" ht="11.25">
      <c r="A16" s="657" t="s">
        <v>16</v>
      </c>
      <c r="B16" s="0" t="s">
        <v>3252</v>
      </c>
      <c r="C16" s="0" t="s">
        <v>3253</v>
      </c>
      <c r="D16" s="0" t="s">
        <v>3282</v>
      </c>
      <c r="E16" s="0" t="s">
        <v>3283</v>
      </c>
      <c r="F16" s="0" t="s">
        <v>3257</v>
      </c>
      <c r="G16" s="0" t="s">
        <v>1473</v>
      </c>
    </row>
    <row customHeight="1" ht="11.25">
      <c r="A17" s="657" t="s">
        <v>16</v>
      </c>
      <c r="B17" s="0" t="s">
        <v>3252</v>
      </c>
      <c r="C17" s="0" t="s">
        <v>3253</v>
      </c>
      <c r="D17" s="0" t="s">
        <v>3284</v>
      </c>
      <c r="E17" s="0" t="s">
        <v>3285</v>
      </c>
      <c r="F17" s="0" t="s">
        <v>3257</v>
      </c>
      <c r="G17" s="0" t="s">
        <v>1479</v>
      </c>
    </row>
    <row customHeight="1" ht="11.25">
      <c r="A18" s="657" t="s">
        <v>16</v>
      </c>
      <c r="B18" s="0" t="s">
        <v>3252</v>
      </c>
      <c r="C18" s="0" t="s">
        <v>3253</v>
      </c>
      <c r="D18" s="0" t="s">
        <v>3286</v>
      </c>
      <c r="E18" s="0" t="s">
        <v>3287</v>
      </c>
      <c r="F18" s="0" t="s">
        <v>3257</v>
      </c>
      <c r="G18" s="0" t="s">
        <v>1491</v>
      </c>
    </row>
    <row customHeight="1" ht="11.25">
      <c r="A19" s="657" t="s">
        <v>16</v>
      </c>
      <c r="B19" s="0" t="s">
        <v>3252</v>
      </c>
      <c r="C19" s="0" t="s">
        <v>3253</v>
      </c>
      <c r="D19" s="0" t="s">
        <v>3288</v>
      </c>
      <c r="E19" s="0" t="s">
        <v>3289</v>
      </c>
      <c r="F19" s="0" t="s">
        <v>3257</v>
      </c>
      <c r="G19" s="0" t="s">
        <v>1505</v>
      </c>
    </row>
    <row customHeight="1" ht="11.25">
      <c r="A20" s="657" t="s">
        <v>16</v>
      </c>
      <c r="B20" s="0" t="s">
        <v>3252</v>
      </c>
      <c r="C20" s="0" t="s">
        <v>3253</v>
      </c>
      <c r="D20" s="0" t="s">
        <v>3290</v>
      </c>
      <c r="E20" s="0" t="s">
        <v>3291</v>
      </c>
      <c r="F20" s="0" t="s">
        <v>3257</v>
      </c>
      <c r="G20" s="0" t="s">
        <v>1517</v>
      </c>
    </row>
    <row customHeight="1" ht="11.25">
      <c r="A21" s="657" t="s">
        <v>16</v>
      </c>
      <c r="B21" s="0" t="s">
        <v>3292</v>
      </c>
      <c r="C21" s="0" t="s">
        <v>3293</v>
      </c>
      <c r="D21" s="0" t="s">
        <v>3292</v>
      </c>
      <c r="E21" s="0" t="s">
        <v>3293</v>
      </c>
      <c r="F21" s="0" t="s">
        <v>3254</v>
      </c>
      <c r="G21" s="0" t="s">
        <v>1526</v>
      </c>
    </row>
    <row customHeight="1" ht="11.25">
      <c r="A22" s="657" t="s">
        <v>16</v>
      </c>
      <c r="B22" s="0" t="s">
        <v>3292</v>
      </c>
      <c r="C22" s="0" t="s">
        <v>3293</v>
      </c>
      <c r="D22" s="0" t="s">
        <v>3294</v>
      </c>
      <c r="E22" s="0" t="s">
        <v>3295</v>
      </c>
      <c r="F22" s="0" t="s">
        <v>3296</v>
      </c>
      <c r="G22" s="0" t="s">
        <v>1542</v>
      </c>
    </row>
    <row customHeight="1" ht="11.25">
      <c r="A23" s="657" t="s">
        <v>16</v>
      </c>
      <c r="B23" s="0" t="s">
        <v>3292</v>
      </c>
      <c r="C23" s="0" t="s">
        <v>3293</v>
      </c>
      <c r="D23" s="0" t="s">
        <v>3297</v>
      </c>
      <c r="E23" s="0" t="s">
        <v>3298</v>
      </c>
      <c r="F23" s="0" t="s">
        <v>3257</v>
      </c>
      <c r="G23" s="0" t="s">
        <v>1549</v>
      </c>
    </row>
    <row customHeight="1" ht="11.25">
      <c r="A24" s="657" t="s">
        <v>16</v>
      </c>
      <c r="B24" s="0" t="s">
        <v>3292</v>
      </c>
      <c r="C24" s="0" t="s">
        <v>3293</v>
      </c>
      <c r="D24" s="0" t="s">
        <v>3299</v>
      </c>
      <c r="E24" s="0" t="s">
        <v>3300</v>
      </c>
      <c r="F24" s="0" t="s">
        <v>3257</v>
      </c>
      <c r="G24" s="0" t="s">
        <v>1557</v>
      </c>
    </row>
    <row customHeight="1" ht="11.25">
      <c r="A25" s="657" t="s">
        <v>16</v>
      </c>
      <c r="B25" s="0" t="s">
        <v>3292</v>
      </c>
      <c r="C25" s="0" t="s">
        <v>3293</v>
      </c>
      <c r="D25" s="0" t="s">
        <v>3301</v>
      </c>
      <c r="E25" s="0" t="s">
        <v>3302</v>
      </c>
      <c r="F25" s="0" t="s">
        <v>3257</v>
      </c>
      <c r="G25" s="0" t="s">
        <v>1564</v>
      </c>
    </row>
    <row customHeight="1" ht="11.25">
      <c r="A26" s="657" t="s">
        <v>16</v>
      </c>
      <c r="B26" s="0" t="s">
        <v>3292</v>
      </c>
      <c r="C26" s="0" t="s">
        <v>3293</v>
      </c>
      <c r="D26" s="0" t="s">
        <v>3303</v>
      </c>
      <c r="E26" s="0" t="s">
        <v>3304</v>
      </c>
      <c r="F26" s="0" t="s">
        <v>3257</v>
      </c>
      <c r="G26" s="0" t="s">
        <v>1568</v>
      </c>
    </row>
    <row customHeight="1" ht="11.25">
      <c r="A27" s="657" t="s">
        <v>16</v>
      </c>
      <c r="B27" s="0" t="s">
        <v>3292</v>
      </c>
      <c r="C27" s="0" t="s">
        <v>3293</v>
      </c>
      <c r="D27" s="0" t="s">
        <v>3305</v>
      </c>
      <c r="E27" s="0" t="s">
        <v>3306</v>
      </c>
      <c r="F27" s="0" t="s">
        <v>3257</v>
      </c>
      <c r="G27" s="0" t="s">
        <v>1573</v>
      </c>
    </row>
    <row customHeight="1" ht="11.25">
      <c r="A28" s="657" t="s">
        <v>16</v>
      </c>
      <c r="B28" s="0" t="s">
        <v>3292</v>
      </c>
      <c r="C28" s="0" t="s">
        <v>3293</v>
      </c>
      <c r="D28" s="0" t="s">
        <v>3307</v>
      </c>
      <c r="E28" s="0" t="s">
        <v>3308</v>
      </c>
      <c r="F28" s="0" t="s">
        <v>3257</v>
      </c>
      <c r="G28" s="0" t="s">
        <v>1581</v>
      </c>
    </row>
    <row customHeight="1" ht="11.25">
      <c r="A29" s="657" t="s">
        <v>16</v>
      </c>
      <c r="B29" s="0" t="s">
        <v>3292</v>
      </c>
      <c r="C29" s="0" t="s">
        <v>3293</v>
      </c>
      <c r="D29" s="0" t="s">
        <v>3309</v>
      </c>
      <c r="E29" s="0" t="s">
        <v>3310</v>
      </c>
      <c r="F29" s="0" t="s">
        <v>3257</v>
      </c>
      <c r="G29" s="0" t="s">
        <v>1583</v>
      </c>
    </row>
    <row customHeight="1" ht="11.25">
      <c r="A30" s="657" t="s">
        <v>16</v>
      </c>
      <c r="B30" s="0" t="s">
        <v>3292</v>
      </c>
      <c r="C30" s="0" t="s">
        <v>3293</v>
      </c>
      <c r="D30" s="0" t="s">
        <v>3311</v>
      </c>
      <c r="E30" s="0" t="s">
        <v>3312</v>
      </c>
      <c r="F30" s="0" t="s">
        <v>3257</v>
      </c>
      <c r="G30" s="0" t="s">
        <v>1586</v>
      </c>
    </row>
    <row customHeight="1" ht="11.25">
      <c r="A31" s="657" t="s">
        <v>16</v>
      </c>
      <c r="B31" s="0" t="s">
        <v>3292</v>
      </c>
      <c r="C31" s="0" t="s">
        <v>3293</v>
      </c>
      <c r="D31" s="0" t="s">
        <v>3313</v>
      </c>
      <c r="E31" s="0" t="s">
        <v>3314</v>
      </c>
      <c r="F31" s="0" t="s">
        <v>3257</v>
      </c>
      <c r="G31" s="0" t="s">
        <v>1591</v>
      </c>
    </row>
    <row customHeight="1" ht="11.25">
      <c r="A32" s="657" t="s">
        <v>16</v>
      </c>
      <c r="B32" s="0" t="s">
        <v>3292</v>
      </c>
      <c r="C32" s="0" t="s">
        <v>3293</v>
      </c>
      <c r="D32" s="0" t="s">
        <v>3315</v>
      </c>
      <c r="E32" s="0" t="s">
        <v>3316</v>
      </c>
      <c r="F32" s="0" t="s">
        <v>3257</v>
      </c>
      <c r="G32" s="0" t="s">
        <v>1593</v>
      </c>
    </row>
    <row customHeight="1" ht="11.25">
      <c r="A33" s="657" t="s">
        <v>16</v>
      </c>
      <c r="B33" s="0" t="s">
        <v>3317</v>
      </c>
      <c r="C33" s="0" t="s">
        <v>3318</v>
      </c>
      <c r="D33" s="0" t="s">
        <v>3319</v>
      </c>
      <c r="E33" s="0" t="s">
        <v>3320</v>
      </c>
      <c r="F33" s="0" t="s">
        <v>3257</v>
      </c>
      <c r="G33" s="0" t="s">
        <v>1595</v>
      </c>
    </row>
    <row customHeight="1" ht="11.25">
      <c r="A34" s="657" t="s">
        <v>16</v>
      </c>
      <c r="B34" s="0" t="s">
        <v>3317</v>
      </c>
      <c r="C34" s="0" t="s">
        <v>3318</v>
      </c>
      <c r="D34" s="0" t="s">
        <v>3317</v>
      </c>
      <c r="E34" s="0" t="s">
        <v>3318</v>
      </c>
      <c r="F34" s="0" t="s">
        <v>3254</v>
      </c>
      <c r="G34" s="0" t="s">
        <v>1597</v>
      </c>
    </row>
    <row customHeight="1" ht="11.25">
      <c r="A35" s="657" t="s">
        <v>16</v>
      </c>
      <c r="B35" s="0" t="s">
        <v>3317</v>
      </c>
      <c r="C35" s="0" t="s">
        <v>3318</v>
      </c>
      <c r="D35" s="0" t="s">
        <v>3321</v>
      </c>
      <c r="E35" s="0" t="s">
        <v>3322</v>
      </c>
      <c r="F35" s="0" t="s">
        <v>3257</v>
      </c>
      <c r="G35" s="0" t="s">
        <v>1602</v>
      </c>
    </row>
    <row customHeight="1" ht="11.25">
      <c r="A36" s="657" t="s">
        <v>16</v>
      </c>
      <c r="B36" s="0" t="s">
        <v>3317</v>
      </c>
      <c r="C36" s="0" t="s">
        <v>3318</v>
      </c>
      <c r="D36" s="0" t="s">
        <v>3323</v>
      </c>
      <c r="E36" s="0" t="s">
        <v>3324</v>
      </c>
      <c r="F36" s="0" t="s">
        <v>3257</v>
      </c>
      <c r="G36" s="0" t="s">
        <v>1607</v>
      </c>
    </row>
    <row customHeight="1" ht="11.25">
      <c r="A37" s="657" t="s">
        <v>16</v>
      </c>
      <c r="B37" s="0" t="s">
        <v>3317</v>
      </c>
      <c r="C37" s="0" t="s">
        <v>3318</v>
      </c>
      <c r="D37" s="0" t="s">
        <v>3325</v>
      </c>
      <c r="E37" s="0" t="s">
        <v>3326</v>
      </c>
      <c r="F37" s="0" t="s">
        <v>3257</v>
      </c>
      <c r="G37" s="0" t="s">
        <v>1611</v>
      </c>
    </row>
    <row customHeight="1" ht="11.25">
      <c r="A38" s="657" t="s">
        <v>16</v>
      </c>
      <c r="B38" s="0" t="s">
        <v>3317</v>
      </c>
      <c r="C38" s="0" t="s">
        <v>3318</v>
      </c>
      <c r="D38" s="0" t="s">
        <v>3327</v>
      </c>
      <c r="E38" s="0" t="s">
        <v>3328</v>
      </c>
      <c r="F38" s="0" t="s">
        <v>3257</v>
      </c>
      <c r="G38" s="0" t="s">
        <v>1619</v>
      </c>
    </row>
    <row customHeight="1" ht="11.25">
      <c r="A39" s="657" t="s">
        <v>16</v>
      </c>
      <c r="B39" s="0" t="s">
        <v>3329</v>
      </c>
      <c r="C39" s="0" t="s">
        <v>3330</v>
      </c>
      <c r="D39" s="0" t="s">
        <v>3329</v>
      </c>
      <c r="E39" s="0" t="s">
        <v>3330</v>
      </c>
      <c r="F39" s="0" t="s">
        <v>3254</v>
      </c>
      <c r="G39" s="0" t="s">
        <v>1625</v>
      </c>
    </row>
    <row customHeight="1" ht="11.25">
      <c r="A40" s="657" t="s">
        <v>16</v>
      </c>
      <c r="B40" s="0" t="s">
        <v>3329</v>
      </c>
      <c r="C40" s="0" t="s">
        <v>3330</v>
      </c>
      <c r="D40" s="0" t="s">
        <v>3331</v>
      </c>
      <c r="E40" s="0" t="s">
        <v>3332</v>
      </c>
      <c r="F40" s="0" t="s">
        <v>3296</v>
      </c>
      <c r="G40" s="0" t="s">
        <v>1630</v>
      </c>
    </row>
    <row customHeight="1" ht="11.25">
      <c r="A41" s="657" t="s">
        <v>16</v>
      </c>
      <c r="B41" s="0" t="s">
        <v>3329</v>
      </c>
      <c r="C41" s="0" t="s">
        <v>3330</v>
      </c>
      <c r="D41" s="0" t="s">
        <v>3333</v>
      </c>
      <c r="E41" s="0" t="s">
        <v>3334</v>
      </c>
      <c r="F41" s="0" t="s">
        <v>3257</v>
      </c>
      <c r="G41" s="0" t="s">
        <v>1634</v>
      </c>
    </row>
    <row customHeight="1" ht="11.25">
      <c r="A42" s="657" t="s">
        <v>16</v>
      </c>
      <c r="B42" s="0" t="s">
        <v>3329</v>
      </c>
      <c r="C42" s="0" t="s">
        <v>3330</v>
      </c>
      <c r="D42" s="0" t="s">
        <v>3335</v>
      </c>
      <c r="E42" s="0" t="s">
        <v>3336</v>
      </c>
      <c r="F42" s="0" t="s">
        <v>3257</v>
      </c>
      <c r="G42" s="0" t="s">
        <v>1637</v>
      </c>
    </row>
    <row customHeight="1" ht="11.25">
      <c r="A43" s="657" t="s">
        <v>16</v>
      </c>
      <c r="B43" s="0" t="s">
        <v>3329</v>
      </c>
      <c r="C43" s="0" t="s">
        <v>3330</v>
      </c>
      <c r="D43" s="0" t="s">
        <v>3337</v>
      </c>
      <c r="E43" s="0" t="s">
        <v>3338</v>
      </c>
      <c r="F43" s="0" t="s">
        <v>3257</v>
      </c>
      <c r="G43" s="0" t="s">
        <v>1644</v>
      </c>
    </row>
    <row customHeight="1" ht="11.25">
      <c r="A44" s="657" t="s">
        <v>16</v>
      </c>
      <c r="B44" s="0" t="s">
        <v>3329</v>
      </c>
      <c r="C44" s="0" t="s">
        <v>3330</v>
      </c>
      <c r="D44" s="0" t="s">
        <v>3339</v>
      </c>
      <c r="E44" s="0" t="s">
        <v>3340</v>
      </c>
      <c r="F44" s="0" t="s">
        <v>3257</v>
      </c>
      <c r="G44" s="0" t="s">
        <v>1653</v>
      </c>
    </row>
    <row customHeight="1" ht="11.25">
      <c r="A45" s="657" t="s">
        <v>16</v>
      </c>
      <c r="B45" s="0" t="s">
        <v>3329</v>
      </c>
      <c r="C45" s="0" t="s">
        <v>3330</v>
      </c>
      <c r="D45" s="0" t="s">
        <v>3341</v>
      </c>
      <c r="E45" s="0" t="s">
        <v>3342</v>
      </c>
      <c r="F45" s="0" t="s">
        <v>3257</v>
      </c>
      <c r="G45" s="0" t="s">
        <v>1658</v>
      </c>
    </row>
    <row customHeight="1" ht="11.25">
      <c r="A46" s="657" t="s">
        <v>16</v>
      </c>
      <c r="B46" s="0" t="s">
        <v>3329</v>
      </c>
      <c r="C46" s="0" t="s">
        <v>3330</v>
      </c>
      <c r="D46" s="0" t="s">
        <v>3343</v>
      </c>
      <c r="E46" s="0" t="s">
        <v>3344</v>
      </c>
      <c r="F46" s="0" t="s">
        <v>3257</v>
      </c>
      <c r="G46" s="0" t="s">
        <v>1662</v>
      </c>
    </row>
    <row customHeight="1" ht="11.25">
      <c r="A47" s="657" t="s">
        <v>16</v>
      </c>
      <c r="B47" s="0" t="s">
        <v>3329</v>
      </c>
      <c r="C47" s="0" t="s">
        <v>3330</v>
      </c>
      <c r="D47" s="0" t="s">
        <v>3345</v>
      </c>
      <c r="E47" s="0" t="s">
        <v>3346</v>
      </c>
      <c r="F47" s="0" t="s">
        <v>3257</v>
      </c>
      <c r="G47" s="0" t="s">
        <v>1668</v>
      </c>
    </row>
    <row customHeight="1" ht="11.25">
      <c r="A48" s="657" t="s">
        <v>16</v>
      </c>
      <c r="B48" s="0" t="s">
        <v>3329</v>
      </c>
      <c r="C48" s="0" t="s">
        <v>3330</v>
      </c>
      <c r="D48" s="0" t="s">
        <v>3347</v>
      </c>
      <c r="E48" s="0" t="s">
        <v>3348</v>
      </c>
      <c r="F48" s="0" t="s">
        <v>3257</v>
      </c>
      <c r="G48" s="0" t="s">
        <v>1673</v>
      </c>
    </row>
    <row customHeight="1" ht="11.25">
      <c r="A49" s="657" t="s">
        <v>16</v>
      </c>
      <c r="B49" s="0" t="s">
        <v>3329</v>
      </c>
      <c r="C49" s="0" t="s">
        <v>3330</v>
      </c>
      <c r="D49" s="0" t="s">
        <v>3349</v>
      </c>
      <c r="E49" s="0" t="s">
        <v>3350</v>
      </c>
      <c r="F49" s="0" t="s">
        <v>3257</v>
      </c>
      <c r="G49" s="0" t="s">
        <v>1676</v>
      </c>
    </row>
    <row customHeight="1" ht="11.25">
      <c r="A50" s="657" t="s">
        <v>16</v>
      </c>
      <c r="B50" s="0" t="s">
        <v>3329</v>
      </c>
      <c r="C50" s="0" t="s">
        <v>3330</v>
      </c>
      <c r="D50" s="0" t="s">
        <v>3351</v>
      </c>
      <c r="E50" s="0" t="s">
        <v>3352</v>
      </c>
      <c r="F50" s="0" t="s">
        <v>3257</v>
      </c>
      <c r="G50" s="0" t="s">
        <v>1679</v>
      </c>
    </row>
    <row customHeight="1" ht="11.25">
      <c r="A51" s="657" t="s">
        <v>16</v>
      </c>
      <c r="B51" s="0" t="s">
        <v>3329</v>
      </c>
      <c r="C51" s="0" t="s">
        <v>3330</v>
      </c>
      <c r="D51" s="0" t="s">
        <v>3353</v>
      </c>
      <c r="E51" s="0" t="s">
        <v>3354</v>
      </c>
      <c r="F51" s="0" t="s">
        <v>3296</v>
      </c>
      <c r="G51" s="0" t="s">
        <v>1684</v>
      </c>
    </row>
    <row customHeight="1" ht="11.25">
      <c r="A52" s="657" t="s">
        <v>16</v>
      </c>
      <c r="B52" s="0" t="s">
        <v>3355</v>
      </c>
      <c r="C52" s="0" t="s">
        <v>3356</v>
      </c>
      <c r="D52" s="0" t="s">
        <v>3355</v>
      </c>
      <c r="E52" s="0" t="s">
        <v>3356</v>
      </c>
      <c r="F52" s="0" t="s">
        <v>3254</v>
      </c>
      <c r="G52" s="0" t="s">
        <v>1688</v>
      </c>
    </row>
    <row customHeight="1" ht="11.25">
      <c r="A53" s="657" t="s">
        <v>16</v>
      </c>
      <c r="B53" s="0" t="s">
        <v>3355</v>
      </c>
      <c r="C53" s="0" t="s">
        <v>3356</v>
      </c>
      <c r="D53" s="0" t="s">
        <v>3357</v>
      </c>
      <c r="E53" s="0" t="s">
        <v>3358</v>
      </c>
      <c r="F53" s="0" t="s">
        <v>3257</v>
      </c>
      <c r="G53" s="0" t="s">
        <v>1690</v>
      </c>
    </row>
    <row customHeight="1" ht="11.25">
      <c r="A54" s="657" t="s">
        <v>16</v>
      </c>
      <c r="B54" s="0" t="s">
        <v>3355</v>
      </c>
      <c r="C54" s="0" t="s">
        <v>3356</v>
      </c>
      <c r="D54" s="0" t="s">
        <v>3359</v>
      </c>
      <c r="E54" s="0" t="s">
        <v>3360</v>
      </c>
      <c r="F54" s="0" t="s">
        <v>3257</v>
      </c>
      <c r="G54" s="0" t="s">
        <v>1693</v>
      </c>
    </row>
    <row customHeight="1" ht="11.25">
      <c r="A55" s="657" t="s">
        <v>16</v>
      </c>
      <c r="B55" s="0" t="s">
        <v>3355</v>
      </c>
      <c r="C55" s="0" t="s">
        <v>3356</v>
      </c>
      <c r="D55" s="0" t="s">
        <v>3361</v>
      </c>
      <c r="E55" s="0" t="s">
        <v>3362</v>
      </c>
      <c r="F55" s="0" t="s">
        <v>3257</v>
      </c>
      <c r="G55" s="0" t="s">
        <v>1697</v>
      </c>
    </row>
    <row customHeight="1" ht="11.25">
      <c r="A56" s="657" t="s">
        <v>16</v>
      </c>
      <c r="B56" s="0" t="s">
        <v>3355</v>
      </c>
      <c r="C56" s="0" t="s">
        <v>3356</v>
      </c>
      <c r="D56" s="0" t="s">
        <v>3363</v>
      </c>
      <c r="E56" s="0" t="s">
        <v>3364</v>
      </c>
      <c r="F56" s="0" t="s">
        <v>3257</v>
      </c>
      <c r="G56" s="0" t="s">
        <v>1700</v>
      </c>
    </row>
    <row customHeight="1" ht="11.25">
      <c r="A57" s="657" t="s">
        <v>16</v>
      </c>
      <c r="B57" s="0" t="s">
        <v>3355</v>
      </c>
      <c r="C57" s="0" t="s">
        <v>3356</v>
      </c>
      <c r="D57" s="0" t="s">
        <v>3365</v>
      </c>
      <c r="E57" s="0" t="s">
        <v>3366</v>
      </c>
      <c r="F57" s="0" t="s">
        <v>3257</v>
      </c>
      <c r="G57" s="0" t="s">
        <v>1703</v>
      </c>
    </row>
    <row customHeight="1" ht="11.25">
      <c r="A58" s="657" t="s">
        <v>16</v>
      </c>
      <c r="B58" s="0" t="s">
        <v>3355</v>
      </c>
      <c r="C58" s="0" t="s">
        <v>3356</v>
      </c>
      <c r="D58" s="0" t="s">
        <v>3367</v>
      </c>
      <c r="E58" s="0" t="s">
        <v>3368</v>
      </c>
      <c r="F58" s="0" t="s">
        <v>3257</v>
      </c>
      <c r="G58" s="0" t="s">
        <v>1706</v>
      </c>
    </row>
    <row customHeight="1" ht="11.25">
      <c r="A59" s="657" t="s">
        <v>16</v>
      </c>
      <c r="B59" s="0" t="s">
        <v>3355</v>
      </c>
      <c r="C59" s="0" t="s">
        <v>3356</v>
      </c>
      <c r="D59" s="0" t="s">
        <v>3369</v>
      </c>
      <c r="E59" s="0" t="s">
        <v>3370</v>
      </c>
      <c r="F59" s="0" t="s">
        <v>3257</v>
      </c>
      <c r="G59" s="0" t="s">
        <v>1710</v>
      </c>
    </row>
    <row customHeight="1" ht="11.25">
      <c r="A60" s="657" t="s">
        <v>16</v>
      </c>
      <c r="B60" s="0" t="s">
        <v>3371</v>
      </c>
      <c r="C60" s="0" t="s">
        <v>3372</v>
      </c>
      <c r="D60" s="0" t="s">
        <v>3371</v>
      </c>
      <c r="E60" s="0" t="s">
        <v>3372</v>
      </c>
      <c r="F60" s="0" t="s">
        <v>3254</v>
      </c>
      <c r="G60" s="0" t="s">
        <v>1713</v>
      </c>
    </row>
    <row customHeight="1" ht="11.25">
      <c r="A61" s="657" t="s">
        <v>16</v>
      </c>
      <c r="B61" s="0" t="s">
        <v>3371</v>
      </c>
      <c r="C61" s="0" t="s">
        <v>3372</v>
      </c>
      <c r="D61" s="0" t="s">
        <v>3373</v>
      </c>
      <c r="E61" s="0" t="s">
        <v>3374</v>
      </c>
      <c r="F61" s="0" t="s">
        <v>3257</v>
      </c>
      <c r="G61" s="0" t="s">
        <v>3375</v>
      </c>
    </row>
    <row customHeight="1" ht="11.25">
      <c r="A62" s="657" t="s">
        <v>16</v>
      </c>
      <c r="B62" s="0" t="s">
        <v>3371</v>
      </c>
      <c r="C62" s="0" t="s">
        <v>3372</v>
      </c>
      <c r="D62" s="0" t="s">
        <v>3376</v>
      </c>
      <c r="E62" s="0" t="s">
        <v>3377</v>
      </c>
      <c r="F62" s="0" t="s">
        <v>3257</v>
      </c>
      <c r="G62" s="0" t="s">
        <v>3378</v>
      </c>
    </row>
    <row customHeight="1" ht="11.25">
      <c r="A63" s="657" t="s">
        <v>16</v>
      </c>
      <c r="B63" s="0" t="s">
        <v>3371</v>
      </c>
      <c r="C63" s="0" t="s">
        <v>3372</v>
      </c>
      <c r="D63" s="0" t="s">
        <v>3379</v>
      </c>
      <c r="E63" s="0" t="s">
        <v>3380</v>
      </c>
      <c r="F63" s="0" t="s">
        <v>3257</v>
      </c>
      <c r="G63" s="0" t="s">
        <v>3381</v>
      </c>
    </row>
    <row customHeight="1" ht="11.25">
      <c r="A64" s="657" t="s">
        <v>16</v>
      </c>
      <c r="B64" s="0" t="s">
        <v>3371</v>
      </c>
      <c r="C64" s="0" t="s">
        <v>3372</v>
      </c>
      <c r="D64" s="0" t="s">
        <v>3382</v>
      </c>
      <c r="E64" s="0" t="s">
        <v>3383</v>
      </c>
      <c r="F64" s="0" t="s">
        <v>3257</v>
      </c>
      <c r="G64" s="0" t="s">
        <v>3384</v>
      </c>
    </row>
    <row customHeight="1" ht="11.25">
      <c r="A65" s="657" t="s">
        <v>16</v>
      </c>
      <c r="B65" s="0" t="s">
        <v>3371</v>
      </c>
      <c r="C65" s="0" t="s">
        <v>3372</v>
      </c>
      <c r="D65" s="0" t="s">
        <v>3385</v>
      </c>
      <c r="E65" s="0" t="s">
        <v>3386</v>
      </c>
      <c r="F65" s="0" t="s">
        <v>3257</v>
      </c>
      <c r="G65" s="0" t="s">
        <v>3387</v>
      </c>
    </row>
    <row customHeight="1" ht="11.25">
      <c r="A66" s="657" t="s">
        <v>16</v>
      </c>
      <c r="B66" s="0" t="s">
        <v>3371</v>
      </c>
      <c r="C66" s="0" t="s">
        <v>3372</v>
      </c>
      <c r="D66" s="0" t="s">
        <v>3388</v>
      </c>
      <c r="E66" s="0" t="s">
        <v>3389</v>
      </c>
      <c r="F66" s="0" t="s">
        <v>3257</v>
      </c>
      <c r="G66" s="0" t="s">
        <v>3390</v>
      </c>
    </row>
    <row customHeight="1" ht="11.25">
      <c r="A67" s="657" t="s">
        <v>16</v>
      </c>
      <c r="B67" s="0" t="s">
        <v>3371</v>
      </c>
      <c r="C67" s="0" t="s">
        <v>3372</v>
      </c>
      <c r="D67" s="0" t="s">
        <v>3391</v>
      </c>
      <c r="E67" s="0" t="s">
        <v>3392</v>
      </c>
      <c r="F67" s="0" t="s">
        <v>3257</v>
      </c>
      <c r="G67" s="0" t="s">
        <v>2031</v>
      </c>
    </row>
    <row customHeight="1" ht="11.25">
      <c r="A68" s="657" t="s">
        <v>16</v>
      </c>
      <c r="B68" s="0" t="s">
        <v>3371</v>
      </c>
      <c r="C68" s="0" t="s">
        <v>3372</v>
      </c>
      <c r="D68" s="0" t="s">
        <v>3393</v>
      </c>
      <c r="E68" s="0" t="s">
        <v>3394</v>
      </c>
      <c r="F68" s="0" t="s">
        <v>3257</v>
      </c>
      <c r="G68" s="0" t="s">
        <v>3395</v>
      </c>
    </row>
    <row customHeight="1" ht="11.25">
      <c r="A69" s="657" t="s">
        <v>16</v>
      </c>
      <c r="B69" s="0" t="s">
        <v>3371</v>
      </c>
      <c r="C69" s="0" t="s">
        <v>3372</v>
      </c>
      <c r="D69" s="0" t="s">
        <v>3396</v>
      </c>
      <c r="E69" s="0" t="s">
        <v>3397</v>
      </c>
      <c r="F69" s="0" t="s">
        <v>3257</v>
      </c>
      <c r="G69" s="0" t="s">
        <v>2234</v>
      </c>
    </row>
    <row customHeight="1" ht="11.25">
      <c r="A70" s="657" t="s">
        <v>16</v>
      </c>
      <c r="B70" s="0" t="s">
        <v>3371</v>
      </c>
      <c r="C70" s="0" t="s">
        <v>3372</v>
      </c>
      <c r="D70" s="0" t="s">
        <v>3398</v>
      </c>
      <c r="E70" s="0" t="s">
        <v>3399</v>
      </c>
      <c r="F70" s="0" t="s">
        <v>3257</v>
      </c>
      <c r="G70" s="0" t="s">
        <v>3400</v>
      </c>
    </row>
    <row customHeight="1" ht="11.25">
      <c r="A71" s="657" t="s">
        <v>16</v>
      </c>
      <c r="B71" s="0" t="s">
        <v>3401</v>
      </c>
      <c r="C71" s="0" t="s">
        <v>3402</v>
      </c>
      <c r="D71" s="0" t="s">
        <v>3403</v>
      </c>
      <c r="E71" s="0" t="s">
        <v>3404</v>
      </c>
      <c r="F71" s="0" t="s">
        <v>3257</v>
      </c>
      <c r="G71" s="0" t="s">
        <v>3405</v>
      </c>
    </row>
    <row customHeight="1" ht="11.25">
      <c r="A72" s="657" t="s">
        <v>16</v>
      </c>
      <c r="B72" s="0" t="s">
        <v>3401</v>
      </c>
      <c r="C72" s="0" t="s">
        <v>3402</v>
      </c>
      <c r="D72" s="0" t="s">
        <v>3401</v>
      </c>
      <c r="E72" s="0" t="s">
        <v>3402</v>
      </c>
      <c r="F72" s="0" t="s">
        <v>3254</v>
      </c>
      <c r="G72" s="0" t="s">
        <v>3406</v>
      </c>
    </row>
    <row customHeight="1" ht="11.25">
      <c r="A73" s="657" t="s">
        <v>16</v>
      </c>
      <c r="B73" s="0" t="s">
        <v>3401</v>
      </c>
      <c r="C73" s="0" t="s">
        <v>3402</v>
      </c>
      <c r="D73" s="0" t="s">
        <v>3407</v>
      </c>
      <c r="E73" s="0" t="s">
        <v>3408</v>
      </c>
      <c r="F73" s="0" t="s">
        <v>3257</v>
      </c>
      <c r="G73" s="0" t="s">
        <v>3409</v>
      </c>
    </row>
    <row customHeight="1" ht="11.25">
      <c r="A74" s="657" t="s">
        <v>16</v>
      </c>
      <c r="B74" s="0" t="s">
        <v>3401</v>
      </c>
      <c r="C74" s="0" t="s">
        <v>3402</v>
      </c>
      <c r="D74" s="0" t="s">
        <v>3410</v>
      </c>
      <c r="E74" s="0" t="s">
        <v>3411</v>
      </c>
      <c r="F74" s="0" t="s">
        <v>3257</v>
      </c>
      <c r="G74" s="0" t="s">
        <v>3412</v>
      </c>
    </row>
    <row customHeight="1" ht="11.25">
      <c r="A75" s="657" t="s">
        <v>16</v>
      </c>
      <c r="B75" s="0" t="s">
        <v>3401</v>
      </c>
      <c r="C75" s="0" t="s">
        <v>3402</v>
      </c>
      <c r="D75" s="0" t="s">
        <v>3413</v>
      </c>
      <c r="E75" s="0" t="s">
        <v>3414</v>
      </c>
      <c r="F75" s="0" t="s">
        <v>3257</v>
      </c>
      <c r="G75" s="0" t="s">
        <v>3415</v>
      </c>
    </row>
    <row customHeight="1" ht="11.25">
      <c r="A76" s="657" t="s">
        <v>16</v>
      </c>
      <c r="B76" s="0" t="s">
        <v>3416</v>
      </c>
      <c r="C76" s="0" t="s">
        <v>3417</v>
      </c>
      <c r="D76" s="0" t="s">
        <v>3416</v>
      </c>
      <c r="E76" s="0" t="s">
        <v>3417</v>
      </c>
      <c r="F76" s="0" t="s">
        <v>3254</v>
      </c>
      <c r="G76" s="0" t="s">
        <v>3418</v>
      </c>
    </row>
    <row customHeight="1" ht="11.25">
      <c r="A77" s="657" t="s">
        <v>16</v>
      </c>
      <c r="B77" s="0" t="s">
        <v>3416</v>
      </c>
      <c r="C77" s="0" t="s">
        <v>3417</v>
      </c>
      <c r="D77" s="0" t="s">
        <v>3419</v>
      </c>
      <c r="E77" s="0" t="s">
        <v>3420</v>
      </c>
      <c r="F77" s="0" t="s">
        <v>3257</v>
      </c>
      <c r="G77" s="0" t="s">
        <v>3421</v>
      </c>
    </row>
    <row customHeight="1" ht="11.25">
      <c r="A78" s="657" t="s">
        <v>16</v>
      </c>
      <c r="B78" s="0" t="s">
        <v>3416</v>
      </c>
      <c r="C78" s="0" t="s">
        <v>3417</v>
      </c>
      <c r="D78" s="0" t="s">
        <v>3422</v>
      </c>
      <c r="E78" s="0" t="s">
        <v>3423</v>
      </c>
      <c r="F78" s="0" t="s">
        <v>3257</v>
      </c>
      <c r="G78" s="0" t="s">
        <v>3424</v>
      </c>
    </row>
    <row customHeight="1" ht="11.25">
      <c r="A79" s="657" t="s">
        <v>16</v>
      </c>
      <c r="B79" s="0" t="s">
        <v>3416</v>
      </c>
      <c r="C79" s="0" t="s">
        <v>3417</v>
      </c>
      <c r="D79" s="0" t="s">
        <v>3425</v>
      </c>
      <c r="E79" s="0" t="s">
        <v>3426</v>
      </c>
      <c r="F79" s="0" t="s">
        <v>3257</v>
      </c>
      <c r="G79" s="0" t="s">
        <v>3427</v>
      </c>
    </row>
    <row customHeight="1" ht="11.25">
      <c r="A80" s="657" t="s">
        <v>16</v>
      </c>
      <c r="B80" s="0" t="s">
        <v>3416</v>
      </c>
      <c r="C80" s="0" t="s">
        <v>3417</v>
      </c>
      <c r="D80" s="0" t="s">
        <v>3428</v>
      </c>
      <c r="E80" s="0" t="s">
        <v>3429</v>
      </c>
      <c r="F80" s="0" t="s">
        <v>3257</v>
      </c>
      <c r="G80" s="0" t="s">
        <v>3430</v>
      </c>
    </row>
    <row customHeight="1" ht="11.25">
      <c r="A81" s="657" t="s">
        <v>16</v>
      </c>
      <c r="B81" s="0" t="s">
        <v>3416</v>
      </c>
      <c r="C81" s="0" t="s">
        <v>3417</v>
      </c>
      <c r="D81" s="0" t="s">
        <v>3431</v>
      </c>
      <c r="E81" s="0" t="s">
        <v>3432</v>
      </c>
      <c r="F81" s="0" t="s">
        <v>3257</v>
      </c>
      <c r="G81" s="0" t="s">
        <v>3433</v>
      </c>
    </row>
    <row customHeight="1" ht="11.25">
      <c r="A82" s="657" t="s">
        <v>16</v>
      </c>
      <c r="B82" s="0" t="s">
        <v>3416</v>
      </c>
      <c r="C82" s="0" t="s">
        <v>3417</v>
      </c>
      <c r="D82" s="0" t="s">
        <v>3434</v>
      </c>
      <c r="E82" s="0" t="s">
        <v>3435</v>
      </c>
      <c r="F82" s="0" t="s">
        <v>3257</v>
      </c>
      <c r="G82" s="0" t="s">
        <v>3436</v>
      </c>
    </row>
    <row customHeight="1" ht="11.25">
      <c r="A83" s="657" t="s">
        <v>16</v>
      </c>
      <c r="B83" s="0" t="s">
        <v>3416</v>
      </c>
      <c r="C83" s="0" t="s">
        <v>3417</v>
      </c>
      <c r="D83" s="0" t="s">
        <v>3437</v>
      </c>
      <c r="E83" s="0" t="s">
        <v>3438</v>
      </c>
      <c r="F83" s="0" t="s">
        <v>3257</v>
      </c>
      <c r="G83" s="0" t="s">
        <v>3439</v>
      </c>
    </row>
    <row customHeight="1" ht="11.25">
      <c r="A84" s="657" t="s">
        <v>16</v>
      </c>
      <c r="B84" s="0" t="s">
        <v>101</v>
      </c>
      <c r="C84" s="0" t="s">
        <v>102</v>
      </c>
      <c r="D84" s="0" t="s">
        <v>101</v>
      </c>
      <c r="E84" s="0" t="s">
        <v>102</v>
      </c>
      <c r="F84" s="0" t="s">
        <v>3440</v>
      </c>
      <c r="G84" s="0" t="s">
        <v>100</v>
      </c>
    </row>
    <row customHeight="1" ht="11.25">
      <c r="A85" s="657" t="s">
        <v>16</v>
      </c>
      <c r="B85" s="0" t="s">
        <v>3441</v>
      </c>
      <c r="C85" s="0" t="s">
        <v>3442</v>
      </c>
      <c r="D85" s="0" t="s">
        <v>3441</v>
      </c>
      <c r="E85" s="0" t="s">
        <v>3442</v>
      </c>
      <c r="F85" s="0" t="s">
        <v>3440</v>
      </c>
      <c r="G85" s="0" t="s">
        <v>3443</v>
      </c>
    </row>
    <row customHeight="1" ht="11.25">
      <c r="A86" s="657" t="s">
        <v>16</v>
      </c>
      <c r="B86" s="0" t="s">
        <v>3444</v>
      </c>
      <c r="C86" s="0" t="s">
        <v>3445</v>
      </c>
      <c r="D86" s="0" t="s">
        <v>3444</v>
      </c>
      <c r="E86" s="0" t="s">
        <v>3445</v>
      </c>
      <c r="F86" s="0" t="s">
        <v>3440</v>
      </c>
      <c r="G86" s="0" t="s">
        <v>3446</v>
      </c>
    </row>
    <row customHeight="1" ht="11.25">
      <c r="A87" s="657" t="s">
        <v>16</v>
      </c>
      <c r="B87" s="0" t="s">
        <v>3447</v>
      </c>
      <c r="C87" s="0" t="s">
        <v>3448</v>
      </c>
      <c r="D87" s="0" t="s">
        <v>3447</v>
      </c>
      <c r="E87" s="0" t="s">
        <v>3448</v>
      </c>
      <c r="F87" s="0" t="s">
        <v>3440</v>
      </c>
      <c r="G87" s="0" t="s">
        <v>3449</v>
      </c>
    </row>
    <row customHeight="1" ht="11.25">
      <c r="A88" s="657" t="s">
        <v>16</v>
      </c>
      <c r="B88" s="0" t="s">
        <v>3450</v>
      </c>
      <c r="C88" s="0" t="s">
        <v>3451</v>
      </c>
      <c r="D88" s="0" t="s">
        <v>3450</v>
      </c>
      <c r="E88" s="0" t="s">
        <v>3451</v>
      </c>
      <c r="F88" s="0" t="s">
        <v>3440</v>
      </c>
      <c r="G88" s="0" t="s">
        <v>3452</v>
      </c>
    </row>
    <row customHeight="1" ht="11.25">
      <c r="A89" s="657" t="s">
        <v>16</v>
      </c>
      <c r="B89" s="0" t="s">
        <v>3453</v>
      </c>
      <c r="C89" s="0" t="s">
        <v>3454</v>
      </c>
      <c r="D89" s="0" t="s">
        <v>3453</v>
      </c>
      <c r="E89" s="0" t="s">
        <v>3454</v>
      </c>
      <c r="F89" s="0" t="s">
        <v>3440</v>
      </c>
      <c r="G89" s="0" t="s">
        <v>3455</v>
      </c>
    </row>
    <row customHeight="1" ht="11.25">
      <c r="A90" s="657" t="s">
        <v>16</v>
      </c>
      <c r="B90" s="0" t="s">
        <v>3456</v>
      </c>
      <c r="C90" s="0" t="s">
        <v>3457</v>
      </c>
      <c r="D90" s="0" t="s">
        <v>3456</v>
      </c>
      <c r="E90" s="0" t="s">
        <v>3457</v>
      </c>
      <c r="F90" s="0" t="s">
        <v>3440</v>
      </c>
      <c r="G90" s="0" t="s">
        <v>3458</v>
      </c>
    </row>
    <row customHeight="1" ht="11.25">
      <c r="A91" s="657" t="s">
        <v>16</v>
      </c>
      <c r="B91" s="0" t="s">
        <v>3459</v>
      </c>
      <c r="C91" s="0" t="s">
        <v>3460</v>
      </c>
      <c r="D91" s="0" t="s">
        <v>3459</v>
      </c>
      <c r="E91" s="0" t="s">
        <v>3460</v>
      </c>
      <c r="F91" s="0" t="s">
        <v>3440</v>
      </c>
      <c r="G91" s="0" t="s">
        <v>3461</v>
      </c>
    </row>
    <row customHeight="1" ht="11.25">
      <c r="A92" s="657" t="s">
        <v>16</v>
      </c>
      <c r="B92" s="0" t="s">
        <v>3462</v>
      </c>
      <c r="C92" s="0" t="s">
        <v>3463</v>
      </c>
      <c r="D92" s="0" t="s">
        <v>3462</v>
      </c>
      <c r="E92" s="0" t="s">
        <v>3463</v>
      </c>
      <c r="F92" s="0" t="s">
        <v>3440</v>
      </c>
      <c r="G92" s="0" t="s">
        <v>3464</v>
      </c>
    </row>
    <row customHeight="1" ht="11.25">
      <c r="A93" s="657" t="s">
        <v>16</v>
      </c>
      <c r="B93" s="0" t="s">
        <v>3465</v>
      </c>
      <c r="C93" s="0" t="s">
        <v>3466</v>
      </c>
      <c r="D93" s="0" t="s">
        <v>3465</v>
      </c>
      <c r="E93" s="0" t="s">
        <v>3466</v>
      </c>
      <c r="F93" s="0" t="s">
        <v>3440</v>
      </c>
      <c r="G93" s="0" t="s">
        <v>3467</v>
      </c>
    </row>
    <row customHeight="1" ht="11.25">
      <c r="A94" s="657" t="s">
        <v>16</v>
      </c>
      <c r="B94" s="0" t="s">
        <v>3468</v>
      </c>
      <c r="C94" s="0" t="s">
        <v>3469</v>
      </c>
      <c r="D94" s="0" t="s">
        <v>3468</v>
      </c>
      <c r="E94" s="0" t="s">
        <v>3469</v>
      </c>
      <c r="F94" s="0" t="s">
        <v>3440</v>
      </c>
      <c r="G94" s="0" t="s">
        <v>3470</v>
      </c>
    </row>
    <row customHeight="1" ht="11.25">
      <c r="A95" s="657" t="s">
        <v>16</v>
      </c>
      <c r="B95" s="0" t="s">
        <v>3471</v>
      </c>
      <c r="C95" s="0" t="s">
        <v>3472</v>
      </c>
      <c r="D95" s="0" t="s">
        <v>3471</v>
      </c>
      <c r="E95" s="0" t="s">
        <v>3472</v>
      </c>
      <c r="F95" s="0" t="s">
        <v>3440</v>
      </c>
      <c r="G95" s="0" t="s">
        <v>3473</v>
      </c>
    </row>
    <row customHeight="1" ht="11.25">
      <c r="A96" s="657" t="s">
        <v>16</v>
      </c>
      <c r="B96" s="0" t="s">
        <v>3474</v>
      </c>
      <c r="C96" s="0" t="s">
        <v>3475</v>
      </c>
      <c r="D96" s="0" t="s">
        <v>3476</v>
      </c>
      <c r="E96" s="0" t="s">
        <v>3477</v>
      </c>
      <c r="F96" s="0" t="s">
        <v>3257</v>
      </c>
      <c r="G96" s="0" t="s">
        <v>3478</v>
      </c>
    </row>
    <row customHeight="1" ht="11.25">
      <c r="A97" s="657" t="s">
        <v>16</v>
      </c>
      <c r="B97" s="0" t="s">
        <v>3474</v>
      </c>
      <c r="C97" s="0" t="s">
        <v>3475</v>
      </c>
      <c r="D97" s="0" t="s">
        <v>3479</v>
      </c>
      <c r="E97" s="0" t="s">
        <v>3480</v>
      </c>
      <c r="F97" s="0" t="s">
        <v>3257</v>
      </c>
      <c r="G97" s="0" t="s">
        <v>3481</v>
      </c>
    </row>
    <row customHeight="1" ht="11.25">
      <c r="A98" s="657" t="s">
        <v>16</v>
      </c>
      <c r="B98" s="0" t="s">
        <v>3474</v>
      </c>
      <c r="C98" s="0" t="s">
        <v>3475</v>
      </c>
      <c r="D98" s="0" t="s">
        <v>3482</v>
      </c>
      <c r="E98" s="0" t="s">
        <v>3483</v>
      </c>
      <c r="F98" s="0" t="s">
        <v>3257</v>
      </c>
      <c r="G98" s="0" t="s">
        <v>3484</v>
      </c>
    </row>
    <row customHeight="1" ht="11.25">
      <c r="A99" s="657" t="s">
        <v>16</v>
      </c>
      <c r="B99" s="0" t="s">
        <v>3474</v>
      </c>
      <c r="C99" s="0" t="s">
        <v>3475</v>
      </c>
      <c r="D99" s="0" t="s">
        <v>3407</v>
      </c>
      <c r="E99" s="0" t="s">
        <v>3485</v>
      </c>
      <c r="F99" s="0" t="s">
        <v>3257</v>
      </c>
      <c r="G99" s="0" t="s">
        <v>3486</v>
      </c>
    </row>
    <row customHeight="1" ht="11.25">
      <c r="A100" s="657" t="s">
        <v>16</v>
      </c>
      <c r="B100" s="0" t="s">
        <v>3474</v>
      </c>
      <c r="C100" s="0" t="s">
        <v>3475</v>
      </c>
      <c r="D100" s="0" t="s">
        <v>3487</v>
      </c>
      <c r="E100" s="0" t="s">
        <v>3488</v>
      </c>
      <c r="F100" s="0" t="s">
        <v>3257</v>
      </c>
      <c r="G100" s="0" t="s">
        <v>3489</v>
      </c>
    </row>
    <row customHeight="1" ht="11.25">
      <c r="A101" s="657" t="s">
        <v>16</v>
      </c>
      <c r="B101" s="0" t="s">
        <v>3474</v>
      </c>
      <c r="C101" s="0" t="s">
        <v>3475</v>
      </c>
      <c r="D101" s="0" t="s">
        <v>3474</v>
      </c>
      <c r="E101" s="0" t="s">
        <v>3475</v>
      </c>
      <c r="F101" s="0" t="s">
        <v>3254</v>
      </c>
      <c r="G101" s="0" t="s">
        <v>3490</v>
      </c>
    </row>
    <row customHeight="1" ht="11.25">
      <c r="A102" s="657" t="s">
        <v>16</v>
      </c>
      <c r="B102" s="0" t="s">
        <v>3474</v>
      </c>
      <c r="C102" s="0" t="s">
        <v>3475</v>
      </c>
      <c r="D102" s="0" t="s">
        <v>3491</v>
      </c>
      <c r="E102" s="0" t="s">
        <v>3492</v>
      </c>
      <c r="F102" s="0" t="s">
        <v>3257</v>
      </c>
      <c r="G102" s="0" t="s">
        <v>3493</v>
      </c>
    </row>
    <row customHeight="1" ht="11.25">
      <c r="A103" s="657" t="s">
        <v>16</v>
      </c>
      <c r="B103" s="0" t="s">
        <v>3474</v>
      </c>
      <c r="C103" s="0" t="s">
        <v>3475</v>
      </c>
      <c r="D103" s="0" t="s">
        <v>3494</v>
      </c>
      <c r="E103" s="0" t="s">
        <v>3495</v>
      </c>
      <c r="F103" s="0" t="s">
        <v>3257</v>
      </c>
      <c r="G103" s="0" t="s">
        <v>3496</v>
      </c>
    </row>
    <row customHeight="1" ht="11.25">
      <c r="A104" s="657" t="s">
        <v>16</v>
      </c>
      <c r="B104" s="0" t="s">
        <v>3474</v>
      </c>
      <c r="C104" s="0" t="s">
        <v>3475</v>
      </c>
      <c r="D104" s="0" t="s">
        <v>3497</v>
      </c>
      <c r="E104" s="0" t="s">
        <v>3498</v>
      </c>
      <c r="F104" s="0" t="s">
        <v>3257</v>
      </c>
      <c r="G104" s="0" t="s">
        <v>3499</v>
      </c>
    </row>
    <row customHeight="1" ht="11.25">
      <c r="A105" s="657" t="s">
        <v>16</v>
      </c>
      <c r="B105" s="0" t="s">
        <v>3474</v>
      </c>
      <c r="C105" s="0" t="s">
        <v>3475</v>
      </c>
      <c r="D105" s="0" t="s">
        <v>3500</v>
      </c>
      <c r="E105" s="0" t="s">
        <v>3501</v>
      </c>
      <c r="F105" s="0" t="s">
        <v>3257</v>
      </c>
      <c r="G105" s="0" t="s">
        <v>3502</v>
      </c>
    </row>
    <row customHeight="1" ht="11.25">
      <c r="A106" s="657" t="s">
        <v>16</v>
      </c>
      <c r="B106" s="0" t="s">
        <v>3474</v>
      </c>
      <c r="C106" s="0" t="s">
        <v>3475</v>
      </c>
      <c r="D106" s="0" t="s">
        <v>3503</v>
      </c>
      <c r="E106" s="0" t="s">
        <v>3504</v>
      </c>
      <c r="F106" s="0" t="s">
        <v>3257</v>
      </c>
      <c r="G106" s="0" t="s">
        <v>3505</v>
      </c>
    </row>
    <row customHeight="1" ht="11.25">
      <c r="A107" s="657" t="s">
        <v>16</v>
      </c>
      <c r="B107" s="0" t="s">
        <v>3474</v>
      </c>
      <c r="C107" s="0" t="s">
        <v>3475</v>
      </c>
      <c r="D107" s="0" t="s">
        <v>3506</v>
      </c>
      <c r="E107" s="0" t="s">
        <v>3507</v>
      </c>
      <c r="F107" s="0" t="s">
        <v>3257</v>
      </c>
      <c r="G107" s="0" t="s">
        <v>3508</v>
      </c>
    </row>
    <row customHeight="1" ht="11.25">
      <c r="A108" s="657" t="s">
        <v>16</v>
      </c>
      <c r="B108" s="0" t="s">
        <v>3474</v>
      </c>
      <c r="C108" s="0" t="s">
        <v>3475</v>
      </c>
      <c r="D108" s="0" t="s">
        <v>3434</v>
      </c>
      <c r="E108" s="0" t="s">
        <v>3509</v>
      </c>
      <c r="F108" s="0" t="s">
        <v>3257</v>
      </c>
      <c r="G108" s="0" t="s">
        <v>3510</v>
      </c>
    </row>
    <row customHeight="1" ht="11.25">
      <c r="A109" s="657" t="s">
        <v>16</v>
      </c>
      <c r="B109" s="0" t="s">
        <v>3474</v>
      </c>
      <c r="C109" s="0" t="s">
        <v>3475</v>
      </c>
      <c r="D109" s="0" t="s">
        <v>3511</v>
      </c>
      <c r="E109" s="0" t="s">
        <v>3512</v>
      </c>
      <c r="F109" s="0" t="s">
        <v>3257</v>
      </c>
      <c r="G109" s="0" t="s">
        <v>3513</v>
      </c>
    </row>
    <row customHeight="1" ht="11.25">
      <c r="A110" s="657" t="s">
        <v>16</v>
      </c>
      <c r="B110" s="0" t="s">
        <v>3514</v>
      </c>
      <c r="C110" s="0" t="s">
        <v>3515</v>
      </c>
      <c r="D110" s="0" t="s">
        <v>3516</v>
      </c>
      <c r="E110" s="0" t="s">
        <v>3517</v>
      </c>
      <c r="F110" s="0" t="s">
        <v>3257</v>
      </c>
      <c r="G110" s="0" t="s">
        <v>3518</v>
      </c>
    </row>
    <row customHeight="1" ht="11.25">
      <c r="A111" s="657" t="s">
        <v>16</v>
      </c>
      <c r="B111" s="0" t="s">
        <v>3514</v>
      </c>
      <c r="C111" s="0" t="s">
        <v>3515</v>
      </c>
      <c r="D111" s="0" t="s">
        <v>3519</v>
      </c>
      <c r="E111" s="0" t="s">
        <v>3520</v>
      </c>
      <c r="F111" s="0" t="s">
        <v>3257</v>
      </c>
      <c r="G111" s="0" t="s">
        <v>3521</v>
      </c>
    </row>
    <row customHeight="1" ht="11.25">
      <c r="A112" s="657" t="s">
        <v>16</v>
      </c>
      <c r="B112" s="0" t="s">
        <v>3514</v>
      </c>
      <c r="C112" s="0" t="s">
        <v>3515</v>
      </c>
      <c r="D112" s="0" t="s">
        <v>3514</v>
      </c>
      <c r="E112" s="0" t="s">
        <v>3515</v>
      </c>
      <c r="F112" s="0" t="s">
        <v>3254</v>
      </c>
      <c r="G112" s="0" t="s">
        <v>3522</v>
      </c>
    </row>
    <row customHeight="1" ht="11.25">
      <c r="A113" s="657" t="s">
        <v>16</v>
      </c>
      <c r="B113" s="0" t="s">
        <v>3514</v>
      </c>
      <c r="C113" s="0" t="s">
        <v>3515</v>
      </c>
      <c r="D113" s="0" t="s">
        <v>3523</v>
      </c>
      <c r="E113" s="0" t="s">
        <v>3524</v>
      </c>
      <c r="F113" s="0" t="s">
        <v>3257</v>
      </c>
      <c r="G113" s="0" t="s">
        <v>3525</v>
      </c>
    </row>
    <row customHeight="1" ht="11.25">
      <c r="A114" s="657" t="s">
        <v>16</v>
      </c>
      <c r="B114" s="0" t="s">
        <v>3514</v>
      </c>
      <c r="C114" s="0" t="s">
        <v>3515</v>
      </c>
      <c r="D114" s="0" t="s">
        <v>3339</v>
      </c>
      <c r="E114" s="0" t="s">
        <v>3526</v>
      </c>
      <c r="F114" s="0" t="s">
        <v>3257</v>
      </c>
      <c r="G114" s="0" t="s">
        <v>3527</v>
      </c>
    </row>
    <row customHeight="1" ht="11.25">
      <c r="A115" s="657" t="s">
        <v>16</v>
      </c>
      <c r="B115" s="0" t="s">
        <v>3514</v>
      </c>
      <c r="C115" s="0" t="s">
        <v>3515</v>
      </c>
      <c r="D115" s="0" t="s">
        <v>3528</v>
      </c>
      <c r="E115" s="0" t="s">
        <v>3529</v>
      </c>
      <c r="F115" s="0" t="s">
        <v>3257</v>
      </c>
      <c r="G115" s="0" t="s">
        <v>3530</v>
      </c>
    </row>
    <row customHeight="1" ht="11.25">
      <c r="A116" s="657" t="s">
        <v>16</v>
      </c>
      <c r="B116" s="0" t="s">
        <v>3514</v>
      </c>
      <c r="C116" s="0" t="s">
        <v>3515</v>
      </c>
      <c r="D116" s="0" t="s">
        <v>3531</v>
      </c>
      <c r="E116" s="0" t="s">
        <v>3532</v>
      </c>
      <c r="F116" s="0" t="s">
        <v>3257</v>
      </c>
      <c r="G116" s="0" t="s">
        <v>3533</v>
      </c>
    </row>
    <row customHeight="1" ht="11.25">
      <c r="A117" s="657" t="s">
        <v>16</v>
      </c>
      <c r="B117" s="0" t="s">
        <v>3514</v>
      </c>
      <c r="C117" s="0" t="s">
        <v>3515</v>
      </c>
      <c r="D117" s="0" t="s">
        <v>3534</v>
      </c>
      <c r="E117" s="0" t="s">
        <v>3535</v>
      </c>
      <c r="F117" s="0" t="s">
        <v>3257</v>
      </c>
      <c r="G117" s="0" t="s">
        <v>3536</v>
      </c>
    </row>
    <row customHeight="1" ht="11.25">
      <c r="A118" s="657" t="s">
        <v>16</v>
      </c>
      <c r="B118" s="0" t="s">
        <v>3514</v>
      </c>
      <c r="C118" s="0" t="s">
        <v>3515</v>
      </c>
      <c r="D118" s="0" t="s">
        <v>3537</v>
      </c>
      <c r="E118" s="0" t="s">
        <v>3538</v>
      </c>
      <c r="F118" s="0" t="s">
        <v>3257</v>
      </c>
      <c r="G118" s="0" t="s">
        <v>3539</v>
      </c>
    </row>
    <row customHeight="1" ht="11.25">
      <c r="A119" s="657" t="s">
        <v>16</v>
      </c>
      <c r="B119" s="0" t="s">
        <v>3514</v>
      </c>
      <c r="C119" s="0" t="s">
        <v>3515</v>
      </c>
      <c r="D119" s="0" t="s">
        <v>3540</v>
      </c>
      <c r="E119" s="0" t="s">
        <v>3541</v>
      </c>
      <c r="F119" s="0" t="s">
        <v>3257</v>
      </c>
      <c r="G119" s="0" t="s">
        <v>3542</v>
      </c>
    </row>
    <row customHeight="1" ht="11.25">
      <c r="A120" s="657" t="s">
        <v>16</v>
      </c>
      <c r="B120" s="0" t="s">
        <v>3543</v>
      </c>
      <c r="C120" s="0" t="s">
        <v>3544</v>
      </c>
      <c r="D120" s="0" t="s">
        <v>3543</v>
      </c>
      <c r="E120" s="0" t="s">
        <v>3544</v>
      </c>
      <c r="F120" s="0" t="s">
        <v>3254</v>
      </c>
      <c r="G120" s="0" t="s">
        <v>3545</v>
      </c>
    </row>
    <row customHeight="1" ht="11.25">
      <c r="A121" s="657" t="s">
        <v>16</v>
      </c>
      <c r="B121" s="0" t="s">
        <v>3543</v>
      </c>
      <c r="C121" s="0" t="s">
        <v>3544</v>
      </c>
      <c r="D121" s="0" t="s">
        <v>3546</v>
      </c>
      <c r="E121" s="0" t="s">
        <v>3547</v>
      </c>
      <c r="F121" s="0" t="s">
        <v>3257</v>
      </c>
      <c r="G121" s="0" t="s">
        <v>3548</v>
      </c>
    </row>
    <row customHeight="1" ht="11.25">
      <c r="A122" s="657" t="s">
        <v>16</v>
      </c>
      <c r="B122" s="0" t="s">
        <v>3543</v>
      </c>
      <c r="C122" s="0" t="s">
        <v>3544</v>
      </c>
      <c r="D122" s="0" t="s">
        <v>3549</v>
      </c>
      <c r="E122" s="0" t="s">
        <v>3550</v>
      </c>
      <c r="F122" s="0" t="s">
        <v>3257</v>
      </c>
      <c r="G122" s="0" t="s">
        <v>3551</v>
      </c>
    </row>
    <row customHeight="1" ht="11.25">
      <c r="A123" s="657" t="s">
        <v>16</v>
      </c>
      <c r="B123" s="0" t="s">
        <v>3543</v>
      </c>
      <c r="C123" s="0" t="s">
        <v>3544</v>
      </c>
      <c r="D123" s="0" t="s">
        <v>3552</v>
      </c>
      <c r="E123" s="0" t="s">
        <v>3553</v>
      </c>
      <c r="F123" s="0" t="s">
        <v>3257</v>
      </c>
      <c r="G123" s="0" t="s">
        <v>3554</v>
      </c>
    </row>
    <row customHeight="1" ht="11.25">
      <c r="A124" s="657" t="s">
        <v>16</v>
      </c>
      <c r="B124" s="0" t="s">
        <v>3543</v>
      </c>
      <c r="C124" s="0" t="s">
        <v>3544</v>
      </c>
      <c r="D124" s="0" t="s">
        <v>3555</v>
      </c>
      <c r="E124" s="0" t="s">
        <v>3556</v>
      </c>
      <c r="F124" s="0" t="s">
        <v>3257</v>
      </c>
      <c r="G124" s="0" t="s">
        <v>3557</v>
      </c>
    </row>
    <row customHeight="1" ht="11.25">
      <c r="A125" s="657" t="s">
        <v>16</v>
      </c>
      <c r="B125" s="0" t="s">
        <v>3543</v>
      </c>
      <c r="C125" s="0" t="s">
        <v>3544</v>
      </c>
      <c r="D125" s="0" t="s">
        <v>3558</v>
      </c>
      <c r="E125" s="0" t="s">
        <v>3559</v>
      </c>
      <c r="F125" s="0" t="s">
        <v>3257</v>
      </c>
      <c r="G125" s="0" t="s">
        <v>3560</v>
      </c>
    </row>
    <row customHeight="1" ht="11.25">
      <c r="A126" s="657" t="s">
        <v>16</v>
      </c>
      <c r="B126" s="0" t="s">
        <v>3543</v>
      </c>
      <c r="C126" s="0" t="s">
        <v>3544</v>
      </c>
      <c r="D126" s="0" t="s">
        <v>3561</v>
      </c>
      <c r="E126" s="0" t="s">
        <v>3562</v>
      </c>
      <c r="F126" s="0" t="s">
        <v>3257</v>
      </c>
      <c r="G126" s="0" t="s">
        <v>3563</v>
      </c>
    </row>
    <row customHeight="1" ht="11.25">
      <c r="A127" s="657" t="s">
        <v>16</v>
      </c>
      <c r="B127" s="0" t="s">
        <v>3543</v>
      </c>
      <c r="C127" s="0" t="s">
        <v>3544</v>
      </c>
      <c r="D127" s="0" t="s">
        <v>3564</v>
      </c>
      <c r="E127" s="0" t="s">
        <v>3565</v>
      </c>
      <c r="F127" s="0" t="s">
        <v>3257</v>
      </c>
      <c r="G127" s="0" t="s">
        <v>3566</v>
      </c>
    </row>
    <row customHeight="1" ht="11.25">
      <c r="A128" s="657" t="s">
        <v>16</v>
      </c>
      <c r="B128" s="0" t="s">
        <v>3543</v>
      </c>
      <c r="C128" s="0" t="s">
        <v>3544</v>
      </c>
      <c r="D128" s="0" t="s">
        <v>3567</v>
      </c>
      <c r="E128" s="0" t="s">
        <v>3568</v>
      </c>
      <c r="F128" s="0" t="s">
        <v>3257</v>
      </c>
      <c r="G128" s="0" t="s">
        <v>3569</v>
      </c>
    </row>
    <row customHeight="1" ht="11.25">
      <c r="A129" s="657" t="s">
        <v>16</v>
      </c>
      <c r="B129" s="0" t="s">
        <v>3543</v>
      </c>
      <c r="C129" s="0" t="s">
        <v>3544</v>
      </c>
      <c r="D129" s="0" t="s">
        <v>3570</v>
      </c>
      <c r="E129" s="0" t="s">
        <v>3571</v>
      </c>
      <c r="F129" s="0" t="s">
        <v>3257</v>
      </c>
      <c r="G129" s="0" t="s">
        <v>3572</v>
      </c>
    </row>
    <row customHeight="1" ht="11.25">
      <c r="A130" s="657" t="s">
        <v>16</v>
      </c>
      <c r="B130" s="0" t="s">
        <v>3573</v>
      </c>
      <c r="C130" s="0" t="s">
        <v>3574</v>
      </c>
      <c r="D130" s="0" t="s">
        <v>3575</v>
      </c>
      <c r="E130" s="0" t="s">
        <v>3576</v>
      </c>
      <c r="F130" s="0" t="s">
        <v>3257</v>
      </c>
      <c r="G130" s="0" t="s">
        <v>3577</v>
      </c>
    </row>
    <row customHeight="1" ht="11.25">
      <c r="A131" s="657" t="s">
        <v>16</v>
      </c>
      <c r="B131" s="0" t="s">
        <v>3573</v>
      </c>
      <c r="C131" s="0" t="s">
        <v>3574</v>
      </c>
      <c r="D131" s="0" t="s">
        <v>3578</v>
      </c>
      <c r="E131" s="0" t="s">
        <v>3579</v>
      </c>
      <c r="F131" s="0" t="s">
        <v>3257</v>
      </c>
      <c r="G131" s="0" t="s">
        <v>3580</v>
      </c>
    </row>
    <row customHeight="1" ht="11.25">
      <c r="A132" s="657" t="s">
        <v>16</v>
      </c>
      <c r="B132" s="0" t="s">
        <v>3573</v>
      </c>
      <c r="C132" s="0" t="s">
        <v>3574</v>
      </c>
      <c r="D132" s="0" t="s">
        <v>3581</v>
      </c>
      <c r="E132" s="0" t="s">
        <v>3582</v>
      </c>
      <c r="F132" s="0" t="s">
        <v>3257</v>
      </c>
      <c r="G132" s="0" t="s">
        <v>3583</v>
      </c>
    </row>
    <row customHeight="1" ht="11.25">
      <c r="A133" s="657" t="s">
        <v>16</v>
      </c>
      <c r="B133" s="0" t="s">
        <v>3573</v>
      </c>
      <c r="C133" s="0" t="s">
        <v>3574</v>
      </c>
      <c r="D133" s="0" t="s">
        <v>3573</v>
      </c>
      <c r="E133" s="0" t="s">
        <v>3574</v>
      </c>
      <c r="F133" s="0" t="s">
        <v>3254</v>
      </c>
      <c r="G133" s="0" t="s">
        <v>3584</v>
      </c>
    </row>
    <row customHeight="1" ht="11.25">
      <c r="A134" s="657" t="s">
        <v>16</v>
      </c>
      <c r="B134" s="0" t="s">
        <v>3573</v>
      </c>
      <c r="C134" s="0" t="s">
        <v>3574</v>
      </c>
      <c r="D134" s="0" t="s">
        <v>3585</v>
      </c>
      <c r="E134" s="0" t="s">
        <v>3586</v>
      </c>
      <c r="F134" s="0" t="s">
        <v>3296</v>
      </c>
      <c r="G134" s="0" t="s">
        <v>3587</v>
      </c>
    </row>
    <row customHeight="1" ht="11.25">
      <c r="A135" s="657" t="s">
        <v>16</v>
      </c>
      <c r="B135" s="0" t="s">
        <v>3573</v>
      </c>
      <c r="C135" s="0" t="s">
        <v>3574</v>
      </c>
      <c r="D135" s="0" t="s">
        <v>3588</v>
      </c>
      <c r="E135" s="0" t="s">
        <v>3589</v>
      </c>
      <c r="F135" s="0" t="s">
        <v>3257</v>
      </c>
      <c r="G135" s="0" t="s">
        <v>3590</v>
      </c>
    </row>
    <row customHeight="1" ht="11.25">
      <c r="A136" s="657" t="s">
        <v>16</v>
      </c>
      <c r="B136" s="0" t="s">
        <v>3573</v>
      </c>
      <c r="C136" s="0" t="s">
        <v>3574</v>
      </c>
      <c r="D136" s="0" t="s">
        <v>3591</v>
      </c>
      <c r="E136" s="0" t="s">
        <v>3592</v>
      </c>
      <c r="F136" s="0" t="s">
        <v>3257</v>
      </c>
      <c r="G136" s="0" t="s">
        <v>3593</v>
      </c>
    </row>
    <row customHeight="1" ht="11.25">
      <c r="A137" s="657" t="s">
        <v>16</v>
      </c>
      <c r="B137" s="0" t="s">
        <v>3573</v>
      </c>
      <c r="C137" s="0" t="s">
        <v>3574</v>
      </c>
      <c r="D137" s="0" t="s">
        <v>3327</v>
      </c>
      <c r="E137" s="0" t="s">
        <v>3594</v>
      </c>
      <c r="F137" s="0" t="s">
        <v>3257</v>
      </c>
      <c r="G137" s="0" t="s">
        <v>3595</v>
      </c>
    </row>
    <row customHeight="1" ht="11.25">
      <c r="A138" s="657" t="s">
        <v>16</v>
      </c>
      <c r="B138" s="0" t="s">
        <v>3573</v>
      </c>
      <c r="C138" s="0" t="s">
        <v>3574</v>
      </c>
      <c r="D138" s="0" t="s">
        <v>3596</v>
      </c>
      <c r="E138" s="0" t="s">
        <v>3597</v>
      </c>
      <c r="F138" s="0" t="s">
        <v>3257</v>
      </c>
      <c r="G138" s="0" t="s">
        <v>3598</v>
      </c>
    </row>
    <row customHeight="1" ht="11.25">
      <c r="A139" s="657" t="s">
        <v>16</v>
      </c>
      <c r="B139" s="0" t="s">
        <v>3573</v>
      </c>
      <c r="C139" s="0" t="s">
        <v>3574</v>
      </c>
      <c r="D139" s="0" t="s">
        <v>3599</v>
      </c>
      <c r="E139" s="0" t="s">
        <v>3600</v>
      </c>
      <c r="F139" s="0" t="s">
        <v>3257</v>
      </c>
      <c r="G139" s="0" t="s">
        <v>3601</v>
      </c>
    </row>
    <row customHeight="1" ht="11.25">
      <c r="A140" s="657" t="s">
        <v>16</v>
      </c>
      <c r="B140" s="0" t="s">
        <v>3602</v>
      </c>
      <c r="C140" s="0" t="s">
        <v>3603</v>
      </c>
      <c r="D140" s="0" t="s">
        <v>3604</v>
      </c>
      <c r="E140" s="0" t="s">
        <v>3605</v>
      </c>
      <c r="F140" s="0" t="s">
        <v>3257</v>
      </c>
      <c r="G140" s="0" t="s">
        <v>3606</v>
      </c>
    </row>
    <row customHeight="1" ht="11.25">
      <c r="A141" s="657" t="s">
        <v>16</v>
      </c>
      <c r="B141" s="0" t="s">
        <v>3602</v>
      </c>
      <c r="C141" s="0" t="s">
        <v>3603</v>
      </c>
      <c r="D141" s="0" t="s">
        <v>3607</v>
      </c>
      <c r="E141" s="0" t="s">
        <v>3608</v>
      </c>
      <c r="F141" s="0" t="s">
        <v>3257</v>
      </c>
      <c r="G141" s="0" t="s">
        <v>3609</v>
      </c>
    </row>
    <row customHeight="1" ht="11.25">
      <c r="A142" s="657" t="s">
        <v>16</v>
      </c>
      <c r="B142" s="0" t="s">
        <v>3602</v>
      </c>
      <c r="C142" s="0" t="s">
        <v>3603</v>
      </c>
      <c r="D142" s="0" t="s">
        <v>3610</v>
      </c>
      <c r="E142" s="0" t="s">
        <v>3611</v>
      </c>
      <c r="F142" s="0" t="s">
        <v>3257</v>
      </c>
      <c r="G142" s="0" t="s">
        <v>3612</v>
      </c>
    </row>
    <row customHeight="1" ht="11.25">
      <c r="A143" s="657" t="s">
        <v>16</v>
      </c>
      <c r="B143" s="0" t="s">
        <v>3602</v>
      </c>
      <c r="C143" s="0" t="s">
        <v>3603</v>
      </c>
      <c r="D143" s="0" t="s">
        <v>3602</v>
      </c>
      <c r="E143" s="0" t="s">
        <v>3603</v>
      </c>
      <c r="F143" s="0" t="s">
        <v>3254</v>
      </c>
      <c r="G143" s="0" t="s">
        <v>3613</v>
      </c>
    </row>
    <row customHeight="1" ht="11.25">
      <c r="A144" s="657" t="s">
        <v>16</v>
      </c>
      <c r="B144" s="0" t="s">
        <v>3602</v>
      </c>
      <c r="C144" s="0" t="s">
        <v>3603</v>
      </c>
      <c r="D144" s="0" t="s">
        <v>3614</v>
      </c>
      <c r="E144" s="0" t="s">
        <v>3615</v>
      </c>
      <c r="F144" s="0" t="s">
        <v>3257</v>
      </c>
      <c r="G144" s="0" t="s">
        <v>3616</v>
      </c>
    </row>
    <row customHeight="1" ht="11.25">
      <c r="A145" s="657" t="s">
        <v>16</v>
      </c>
      <c r="B145" s="0" t="s">
        <v>3602</v>
      </c>
      <c r="C145" s="0" t="s">
        <v>3603</v>
      </c>
      <c r="D145" s="0" t="s">
        <v>3617</v>
      </c>
      <c r="E145" s="0" t="s">
        <v>3618</v>
      </c>
      <c r="F145" s="0" t="s">
        <v>3257</v>
      </c>
      <c r="G145" s="0" t="s">
        <v>3619</v>
      </c>
    </row>
    <row customHeight="1" ht="11.25">
      <c r="A146" s="657" t="s">
        <v>16</v>
      </c>
      <c r="B146" s="0" t="s">
        <v>3602</v>
      </c>
      <c r="C146" s="0" t="s">
        <v>3603</v>
      </c>
      <c r="D146" s="0" t="s">
        <v>3620</v>
      </c>
      <c r="E146" s="0" t="s">
        <v>3621</v>
      </c>
      <c r="F146" s="0" t="s">
        <v>3257</v>
      </c>
      <c r="G146" s="0" t="s">
        <v>3622</v>
      </c>
    </row>
    <row customHeight="1" ht="11.25">
      <c r="A147" s="657" t="s">
        <v>16</v>
      </c>
      <c r="B147" s="0" t="s">
        <v>3602</v>
      </c>
      <c r="C147" s="0" t="s">
        <v>3603</v>
      </c>
      <c r="D147" s="0" t="s">
        <v>3623</v>
      </c>
      <c r="E147" s="0" t="s">
        <v>3624</v>
      </c>
      <c r="F147" s="0" t="s">
        <v>3257</v>
      </c>
      <c r="G147" s="0" t="s">
        <v>3625</v>
      </c>
    </row>
    <row customHeight="1" ht="11.25">
      <c r="A148" s="657" t="s">
        <v>16</v>
      </c>
      <c r="B148" s="0" t="s">
        <v>3602</v>
      </c>
      <c r="C148" s="0" t="s">
        <v>3603</v>
      </c>
      <c r="D148" s="0" t="s">
        <v>3305</v>
      </c>
      <c r="E148" s="0" t="s">
        <v>3626</v>
      </c>
      <c r="F148" s="0" t="s">
        <v>3257</v>
      </c>
      <c r="G148" s="0" t="s">
        <v>3627</v>
      </c>
    </row>
    <row customHeight="1" ht="11.25">
      <c r="A149" s="657" t="s">
        <v>16</v>
      </c>
      <c r="B149" s="0" t="s">
        <v>3602</v>
      </c>
      <c r="C149" s="0" t="s">
        <v>3603</v>
      </c>
      <c r="D149" s="0" t="s">
        <v>3628</v>
      </c>
      <c r="E149" s="0" t="s">
        <v>3629</v>
      </c>
      <c r="F149" s="0" t="s">
        <v>3257</v>
      </c>
      <c r="G149" s="0" t="s">
        <v>3630</v>
      </c>
    </row>
    <row customHeight="1" ht="11.25">
      <c r="A150" s="657" t="s">
        <v>16</v>
      </c>
      <c r="B150" s="0" t="s">
        <v>3602</v>
      </c>
      <c r="C150" s="0" t="s">
        <v>3603</v>
      </c>
      <c r="D150" s="0" t="s">
        <v>3631</v>
      </c>
      <c r="E150" s="0" t="s">
        <v>3632</v>
      </c>
      <c r="F150" s="0" t="s">
        <v>3257</v>
      </c>
      <c r="G150" s="0" t="s">
        <v>3633</v>
      </c>
    </row>
    <row customHeight="1" ht="11.25">
      <c r="A151" s="657" t="s">
        <v>16</v>
      </c>
      <c r="B151" s="0" t="s">
        <v>3602</v>
      </c>
      <c r="C151" s="0" t="s">
        <v>3603</v>
      </c>
      <c r="D151" s="0" t="s">
        <v>3634</v>
      </c>
      <c r="E151" s="0" t="s">
        <v>3635</v>
      </c>
      <c r="F151" s="0" t="s">
        <v>3257</v>
      </c>
      <c r="G151" s="0" t="s">
        <v>3636</v>
      </c>
    </row>
    <row customHeight="1" ht="11.25">
      <c r="A152" s="657" t="s">
        <v>16</v>
      </c>
      <c r="B152" s="0" t="s">
        <v>3637</v>
      </c>
      <c r="C152" s="0" t="s">
        <v>3638</v>
      </c>
      <c r="D152" s="0" t="s">
        <v>3639</v>
      </c>
      <c r="E152" s="0" t="s">
        <v>3640</v>
      </c>
      <c r="F152" s="0" t="s">
        <v>3257</v>
      </c>
      <c r="G152" s="0" t="s">
        <v>3641</v>
      </c>
    </row>
    <row customHeight="1" ht="11.25">
      <c r="A153" s="657" t="s">
        <v>16</v>
      </c>
      <c r="B153" s="0" t="s">
        <v>3637</v>
      </c>
      <c r="C153" s="0" t="s">
        <v>3638</v>
      </c>
      <c r="D153" s="0" t="s">
        <v>3637</v>
      </c>
      <c r="E153" s="0" t="s">
        <v>3638</v>
      </c>
      <c r="F153" s="0" t="s">
        <v>3254</v>
      </c>
      <c r="G153" s="0" t="s">
        <v>3642</v>
      </c>
    </row>
    <row customHeight="1" ht="11.25">
      <c r="A154" s="657" t="s">
        <v>16</v>
      </c>
      <c r="B154" s="0" t="s">
        <v>3637</v>
      </c>
      <c r="C154" s="0" t="s">
        <v>3638</v>
      </c>
      <c r="D154" s="0" t="s">
        <v>3264</v>
      </c>
      <c r="E154" s="0" t="s">
        <v>3643</v>
      </c>
      <c r="F154" s="0" t="s">
        <v>3257</v>
      </c>
      <c r="G154" s="0" t="s">
        <v>3644</v>
      </c>
    </row>
    <row customHeight="1" ht="11.25">
      <c r="A155" s="657" t="s">
        <v>16</v>
      </c>
      <c r="B155" s="0" t="s">
        <v>3637</v>
      </c>
      <c r="C155" s="0" t="s">
        <v>3638</v>
      </c>
      <c r="D155" s="0" t="s">
        <v>3645</v>
      </c>
      <c r="E155" s="0" t="s">
        <v>3646</v>
      </c>
      <c r="F155" s="0" t="s">
        <v>3257</v>
      </c>
      <c r="G155" s="0" t="s">
        <v>3647</v>
      </c>
    </row>
    <row customHeight="1" ht="11.25">
      <c r="A156" s="657" t="s">
        <v>16</v>
      </c>
      <c r="B156" s="0" t="s">
        <v>3637</v>
      </c>
      <c r="C156" s="0" t="s">
        <v>3638</v>
      </c>
      <c r="D156" s="0" t="s">
        <v>3620</v>
      </c>
      <c r="E156" s="0" t="s">
        <v>3648</v>
      </c>
      <c r="F156" s="0" t="s">
        <v>3257</v>
      </c>
      <c r="G156" s="0" t="s">
        <v>3649</v>
      </c>
    </row>
    <row customHeight="1" ht="11.25">
      <c r="A157" s="657" t="s">
        <v>16</v>
      </c>
      <c r="B157" s="0" t="s">
        <v>3637</v>
      </c>
      <c r="C157" s="0" t="s">
        <v>3638</v>
      </c>
      <c r="D157" s="0" t="s">
        <v>3650</v>
      </c>
      <c r="E157" s="0" t="s">
        <v>3651</v>
      </c>
      <c r="F157" s="0" t="s">
        <v>3257</v>
      </c>
      <c r="G157" s="0" t="s">
        <v>3652</v>
      </c>
    </row>
    <row customHeight="1" ht="11.25">
      <c r="A158" s="657" t="s">
        <v>16</v>
      </c>
      <c r="B158" s="0" t="s">
        <v>3637</v>
      </c>
      <c r="C158" s="0" t="s">
        <v>3638</v>
      </c>
      <c r="D158" s="0" t="s">
        <v>3653</v>
      </c>
      <c r="E158" s="0" t="s">
        <v>3654</v>
      </c>
      <c r="F158" s="0" t="s">
        <v>3257</v>
      </c>
      <c r="G158" s="0" t="s">
        <v>3655</v>
      </c>
    </row>
    <row customHeight="1" ht="11.25">
      <c r="A159" s="657" t="s">
        <v>16</v>
      </c>
      <c r="B159" s="0" t="s">
        <v>3637</v>
      </c>
      <c r="C159" s="0" t="s">
        <v>3638</v>
      </c>
      <c r="D159" s="0" t="s">
        <v>3656</v>
      </c>
      <c r="E159" s="0" t="s">
        <v>3657</v>
      </c>
      <c r="F159" s="0" t="s">
        <v>3257</v>
      </c>
      <c r="G159" s="0" t="s">
        <v>3658</v>
      </c>
    </row>
    <row customHeight="1" ht="11.25">
      <c r="A160" s="657" t="s">
        <v>16</v>
      </c>
      <c r="B160" s="0" t="s">
        <v>3637</v>
      </c>
      <c r="C160" s="0" t="s">
        <v>3638</v>
      </c>
      <c r="D160" s="0" t="s">
        <v>3659</v>
      </c>
      <c r="E160" s="0" t="s">
        <v>3660</v>
      </c>
      <c r="F160" s="0" t="s">
        <v>3257</v>
      </c>
      <c r="G160" s="0" t="s">
        <v>3661</v>
      </c>
    </row>
    <row customHeight="1" ht="11.25">
      <c r="A161" s="657" t="s">
        <v>16</v>
      </c>
      <c r="B161" s="0" t="s">
        <v>3662</v>
      </c>
      <c r="C161" s="0" t="s">
        <v>3663</v>
      </c>
      <c r="D161" s="0" t="s">
        <v>3664</v>
      </c>
      <c r="E161" s="0" t="s">
        <v>3665</v>
      </c>
      <c r="F161" s="0" t="s">
        <v>3257</v>
      </c>
      <c r="G161" s="0" t="s">
        <v>3666</v>
      </c>
    </row>
    <row customHeight="1" ht="11.25">
      <c r="A162" s="657" t="s">
        <v>16</v>
      </c>
      <c r="B162" s="0" t="s">
        <v>3662</v>
      </c>
      <c r="C162" s="0" t="s">
        <v>3663</v>
      </c>
      <c r="D162" s="0" t="s">
        <v>3667</v>
      </c>
      <c r="E162" s="0" t="s">
        <v>3668</v>
      </c>
      <c r="F162" s="0" t="s">
        <v>3257</v>
      </c>
      <c r="G162" s="0" t="s">
        <v>3669</v>
      </c>
    </row>
    <row customHeight="1" ht="11.25">
      <c r="A163" s="657" t="s">
        <v>16</v>
      </c>
      <c r="B163" s="0" t="s">
        <v>3662</v>
      </c>
      <c r="C163" s="0" t="s">
        <v>3663</v>
      </c>
      <c r="D163" s="0" t="s">
        <v>3670</v>
      </c>
      <c r="E163" s="0" t="s">
        <v>3671</v>
      </c>
      <c r="F163" s="0" t="s">
        <v>3257</v>
      </c>
      <c r="G163" s="0" t="s">
        <v>3672</v>
      </c>
    </row>
    <row customHeight="1" ht="11.25">
      <c r="A164" s="657" t="s">
        <v>16</v>
      </c>
      <c r="B164" s="0" t="s">
        <v>3662</v>
      </c>
      <c r="C164" s="0" t="s">
        <v>3663</v>
      </c>
      <c r="D164" s="0" t="s">
        <v>3673</v>
      </c>
      <c r="E164" s="0" t="s">
        <v>3674</v>
      </c>
      <c r="F164" s="0" t="s">
        <v>3675</v>
      </c>
      <c r="G164" s="0" t="s">
        <v>3676</v>
      </c>
    </row>
    <row customHeight="1" ht="11.25">
      <c r="A165" s="657" t="s">
        <v>16</v>
      </c>
      <c r="B165" s="0" t="s">
        <v>3662</v>
      </c>
      <c r="C165" s="0" t="s">
        <v>3663</v>
      </c>
      <c r="D165" s="0" t="s">
        <v>3677</v>
      </c>
      <c r="E165" s="0" t="s">
        <v>3678</v>
      </c>
      <c r="F165" s="0" t="s">
        <v>3257</v>
      </c>
      <c r="G165" s="0" t="s">
        <v>3679</v>
      </c>
    </row>
    <row customHeight="1" ht="11.25">
      <c r="A166" s="657" t="s">
        <v>16</v>
      </c>
      <c r="B166" s="0" t="s">
        <v>3662</v>
      </c>
      <c r="C166" s="0" t="s">
        <v>3663</v>
      </c>
      <c r="D166" s="0" t="s">
        <v>3680</v>
      </c>
      <c r="E166" s="0" t="s">
        <v>3681</v>
      </c>
      <c r="F166" s="0" t="s">
        <v>3257</v>
      </c>
      <c r="G166" s="0" t="s">
        <v>3682</v>
      </c>
    </row>
    <row customHeight="1" ht="11.25">
      <c r="A167" s="657" t="s">
        <v>16</v>
      </c>
      <c r="B167" s="0" t="s">
        <v>3662</v>
      </c>
      <c r="C167" s="0" t="s">
        <v>3663</v>
      </c>
      <c r="D167" s="0" t="s">
        <v>3683</v>
      </c>
      <c r="E167" s="0" t="s">
        <v>3684</v>
      </c>
      <c r="F167" s="0" t="s">
        <v>3257</v>
      </c>
      <c r="G167" s="0" t="s">
        <v>3685</v>
      </c>
    </row>
    <row customHeight="1" ht="11.25">
      <c r="A168" s="657" t="s">
        <v>16</v>
      </c>
      <c r="B168" s="0" t="s">
        <v>3662</v>
      </c>
      <c r="C168" s="0" t="s">
        <v>3663</v>
      </c>
      <c r="D168" s="0" t="s">
        <v>3662</v>
      </c>
      <c r="E168" s="0" t="s">
        <v>3663</v>
      </c>
      <c r="F168" s="0" t="s">
        <v>3254</v>
      </c>
      <c r="G168" s="0" t="s">
        <v>3686</v>
      </c>
    </row>
    <row customHeight="1" ht="11.25">
      <c r="A169" s="657" t="s">
        <v>16</v>
      </c>
      <c r="B169" s="0" t="s">
        <v>3662</v>
      </c>
      <c r="C169" s="0" t="s">
        <v>3663</v>
      </c>
      <c r="D169" s="0" t="s">
        <v>3687</v>
      </c>
      <c r="E169" s="0" t="s">
        <v>3688</v>
      </c>
      <c r="F169" s="0" t="s">
        <v>3257</v>
      </c>
      <c r="G169" s="0" t="s">
        <v>3689</v>
      </c>
    </row>
    <row customHeight="1" ht="11.25">
      <c r="A170" s="657" t="s">
        <v>16</v>
      </c>
      <c r="B170" s="0" t="s">
        <v>3662</v>
      </c>
      <c r="C170" s="0" t="s">
        <v>3663</v>
      </c>
      <c r="D170" s="0" t="s">
        <v>3690</v>
      </c>
      <c r="E170" s="0" t="s">
        <v>3691</v>
      </c>
      <c r="F170" s="0" t="s">
        <v>3257</v>
      </c>
      <c r="G170" s="0" t="s">
        <v>3692</v>
      </c>
    </row>
    <row customHeight="1" ht="11.25">
      <c r="A171" s="657" t="s">
        <v>16</v>
      </c>
      <c r="B171" s="0" t="s">
        <v>3662</v>
      </c>
      <c r="C171" s="0" t="s">
        <v>3663</v>
      </c>
      <c r="D171" s="0" t="s">
        <v>3693</v>
      </c>
      <c r="E171" s="0" t="s">
        <v>3694</v>
      </c>
      <c r="F171" s="0" t="s">
        <v>3257</v>
      </c>
      <c r="G171" s="0" t="s">
        <v>3695</v>
      </c>
    </row>
    <row customHeight="1" ht="11.25">
      <c r="A172" s="657" t="s">
        <v>16</v>
      </c>
      <c r="B172" s="0" t="s">
        <v>3662</v>
      </c>
      <c r="C172" s="0" t="s">
        <v>3663</v>
      </c>
      <c r="D172" s="0" t="s">
        <v>3696</v>
      </c>
      <c r="E172" s="0" t="s">
        <v>3697</v>
      </c>
      <c r="F172" s="0" t="s">
        <v>3257</v>
      </c>
      <c r="G172" s="0" t="s">
        <v>3698</v>
      </c>
    </row>
    <row customHeight="1" ht="11.25">
      <c r="A173" s="657" t="s">
        <v>16</v>
      </c>
      <c r="B173" s="0" t="s">
        <v>3662</v>
      </c>
      <c r="C173" s="0" t="s">
        <v>3663</v>
      </c>
      <c r="D173" s="0" t="s">
        <v>3699</v>
      </c>
      <c r="E173" s="0" t="s">
        <v>3700</v>
      </c>
      <c r="F173" s="0" t="s">
        <v>3257</v>
      </c>
      <c r="G173" s="0" t="s">
        <v>3701</v>
      </c>
    </row>
    <row customHeight="1" ht="11.25">
      <c r="A174" s="657" t="s">
        <v>16</v>
      </c>
      <c r="B174" s="0" t="s">
        <v>3702</v>
      </c>
      <c r="C174" s="0" t="s">
        <v>3703</v>
      </c>
      <c r="D174" s="0" t="s">
        <v>3704</v>
      </c>
      <c r="E174" s="0" t="s">
        <v>3705</v>
      </c>
      <c r="F174" s="0" t="s">
        <v>3257</v>
      </c>
      <c r="G174" s="0" t="s">
        <v>3706</v>
      </c>
    </row>
    <row customHeight="1" ht="11.25">
      <c r="A175" s="657" t="s">
        <v>16</v>
      </c>
      <c r="B175" s="0" t="s">
        <v>3702</v>
      </c>
      <c r="C175" s="0" t="s">
        <v>3703</v>
      </c>
      <c r="D175" s="0" t="s">
        <v>3707</v>
      </c>
      <c r="E175" s="0" t="s">
        <v>3708</v>
      </c>
      <c r="F175" s="0" t="s">
        <v>3257</v>
      </c>
      <c r="G175" s="0" t="s">
        <v>3709</v>
      </c>
    </row>
    <row customHeight="1" ht="11.25">
      <c r="A176" s="657" t="s">
        <v>16</v>
      </c>
      <c r="B176" s="0" t="s">
        <v>3702</v>
      </c>
      <c r="C176" s="0" t="s">
        <v>3703</v>
      </c>
      <c r="D176" s="0" t="s">
        <v>3710</v>
      </c>
      <c r="E176" s="0" t="s">
        <v>3711</v>
      </c>
      <c r="F176" s="0" t="s">
        <v>3257</v>
      </c>
      <c r="G176" s="0" t="s">
        <v>3712</v>
      </c>
    </row>
    <row customHeight="1" ht="11.25">
      <c r="A177" s="657" t="s">
        <v>16</v>
      </c>
      <c r="B177" s="0" t="s">
        <v>3702</v>
      </c>
      <c r="C177" s="0" t="s">
        <v>3703</v>
      </c>
      <c r="D177" s="0" t="s">
        <v>3713</v>
      </c>
      <c r="E177" s="0" t="s">
        <v>3714</v>
      </c>
      <c r="F177" s="0" t="s">
        <v>3257</v>
      </c>
      <c r="G177" s="0" t="s">
        <v>3715</v>
      </c>
    </row>
    <row customHeight="1" ht="11.25">
      <c r="A178" s="657" t="s">
        <v>16</v>
      </c>
      <c r="B178" s="0" t="s">
        <v>3702</v>
      </c>
      <c r="C178" s="0" t="s">
        <v>3703</v>
      </c>
      <c r="D178" s="0" t="s">
        <v>3702</v>
      </c>
      <c r="E178" s="0" t="s">
        <v>3703</v>
      </c>
      <c r="F178" s="0" t="s">
        <v>3254</v>
      </c>
      <c r="G178" s="0" t="s">
        <v>3716</v>
      </c>
    </row>
    <row customHeight="1" ht="11.25">
      <c r="A179" s="657" t="s">
        <v>16</v>
      </c>
      <c r="B179" s="0" t="s">
        <v>3702</v>
      </c>
      <c r="C179" s="0" t="s">
        <v>3703</v>
      </c>
      <c r="D179" s="0" t="s">
        <v>3717</v>
      </c>
      <c r="E179" s="0" t="s">
        <v>3718</v>
      </c>
      <c r="F179" s="0" t="s">
        <v>3257</v>
      </c>
      <c r="G179" s="0" t="s">
        <v>3719</v>
      </c>
    </row>
    <row customHeight="1" ht="11.25">
      <c r="A180" s="657" t="s">
        <v>16</v>
      </c>
      <c r="B180" s="0" t="s">
        <v>3702</v>
      </c>
      <c r="C180" s="0" t="s">
        <v>3703</v>
      </c>
      <c r="D180" s="0" t="s">
        <v>3720</v>
      </c>
      <c r="E180" s="0" t="s">
        <v>3721</v>
      </c>
      <c r="F180" s="0" t="s">
        <v>3257</v>
      </c>
      <c r="G180" s="0" t="s">
        <v>3722</v>
      </c>
    </row>
    <row customHeight="1" ht="11.25">
      <c r="A181" s="657" t="s">
        <v>16</v>
      </c>
      <c r="B181" s="0" t="s">
        <v>3702</v>
      </c>
      <c r="C181" s="0" t="s">
        <v>3703</v>
      </c>
      <c r="D181" s="0" t="s">
        <v>3723</v>
      </c>
      <c r="E181" s="0" t="s">
        <v>3724</v>
      </c>
      <c r="F181" s="0" t="s">
        <v>3257</v>
      </c>
      <c r="G181" s="0" t="s">
        <v>3725</v>
      </c>
    </row>
    <row customHeight="1" ht="11.25">
      <c r="A182" s="657" t="s">
        <v>16</v>
      </c>
      <c r="B182" s="0" t="s">
        <v>3702</v>
      </c>
      <c r="C182" s="0" t="s">
        <v>3703</v>
      </c>
      <c r="D182" s="0" t="s">
        <v>3726</v>
      </c>
      <c r="E182" s="0" t="s">
        <v>3727</v>
      </c>
      <c r="F182" s="0" t="s">
        <v>3257</v>
      </c>
      <c r="G182" s="0" t="s">
        <v>3728</v>
      </c>
    </row>
    <row customHeight="1" ht="11.25">
      <c r="A183" s="657" t="s">
        <v>16</v>
      </c>
      <c r="B183" s="0" t="s">
        <v>3702</v>
      </c>
      <c r="C183" s="0" t="s">
        <v>3703</v>
      </c>
      <c r="D183" s="0" t="s">
        <v>3729</v>
      </c>
      <c r="E183" s="0" t="s">
        <v>3730</v>
      </c>
      <c r="F183" s="0" t="s">
        <v>3257</v>
      </c>
      <c r="G183" s="0" t="s">
        <v>3731</v>
      </c>
    </row>
    <row customHeight="1" ht="11.25">
      <c r="A184" s="657" t="s">
        <v>16</v>
      </c>
      <c r="B184" s="0" t="s">
        <v>3702</v>
      </c>
      <c r="C184" s="0" t="s">
        <v>3703</v>
      </c>
      <c r="D184" s="0" t="s">
        <v>3732</v>
      </c>
      <c r="E184" s="0" t="s">
        <v>3733</v>
      </c>
      <c r="F184" s="0" t="s">
        <v>3257</v>
      </c>
      <c r="G184" s="0" t="s">
        <v>3734</v>
      </c>
    </row>
    <row customHeight="1" ht="11.25">
      <c r="A185" s="657" t="s">
        <v>16</v>
      </c>
      <c r="B185" s="0" t="s">
        <v>3735</v>
      </c>
      <c r="C185" s="0" t="s">
        <v>3736</v>
      </c>
      <c r="D185" s="0" t="s">
        <v>3737</v>
      </c>
      <c r="E185" s="0" t="s">
        <v>3738</v>
      </c>
      <c r="F185" s="0" t="s">
        <v>3257</v>
      </c>
      <c r="G185" s="0" t="s">
        <v>3739</v>
      </c>
    </row>
    <row customHeight="1" ht="11.25">
      <c r="A186" s="657" t="s">
        <v>16</v>
      </c>
      <c r="B186" s="0" t="s">
        <v>3735</v>
      </c>
      <c r="C186" s="0" t="s">
        <v>3736</v>
      </c>
      <c r="D186" s="0" t="s">
        <v>3740</v>
      </c>
      <c r="E186" s="0" t="s">
        <v>3741</v>
      </c>
      <c r="F186" s="0" t="s">
        <v>3257</v>
      </c>
      <c r="G186" s="0" t="s">
        <v>3742</v>
      </c>
    </row>
    <row customHeight="1" ht="11.25">
      <c r="A187" s="657" t="s">
        <v>16</v>
      </c>
      <c r="B187" s="0" t="s">
        <v>3735</v>
      </c>
      <c r="C187" s="0" t="s">
        <v>3736</v>
      </c>
      <c r="D187" s="0" t="s">
        <v>3743</v>
      </c>
      <c r="E187" s="0" t="s">
        <v>3744</v>
      </c>
      <c r="F187" s="0" t="s">
        <v>3257</v>
      </c>
      <c r="G187" s="0" t="s">
        <v>3745</v>
      </c>
    </row>
    <row customHeight="1" ht="11.25">
      <c r="A188" s="657" t="s">
        <v>16</v>
      </c>
      <c r="B188" s="0" t="s">
        <v>3735</v>
      </c>
      <c r="C188" s="0" t="s">
        <v>3736</v>
      </c>
      <c r="D188" s="0" t="s">
        <v>3735</v>
      </c>
      <c r="E188" s="0" t="s">
        <v>3736</v>
      </c>
      <c r="F188" s="0" t="s">
        <v>3254</v>
      </c>
      <c r="G188" s="0" t="s">
        <v>3746</v>
      </c>
    </row>
    <row customHeight="1" ht="11.25">
      <c r="A189" s="657" t="s">
        <v>16</v>
      </c>
      <c r="B189" s="0" t="s">
        <v>3735</v>
      </c>
      <c r="C189" s="0" t="s">
        <v>3736</v>
      </c>
      <c r="D189" s="0" t="s">
        <v>3747</v>
      </c>
      <c r="E189" s="0" t="s">
        <v>3748</v>
      </c>
      <c r="F189" s="0" t="s">
        <v>3296</v>
      </c>
      <c r="G189" s="0" t="s">
        <v>3749</v>
      </c>
    </row>
    <row customHeight="1" ht="11.25">
      <c r="A190" s="657" t="s">
        <v>16</v>
      </c>
      <c r="B190" s="0" t="s">
        <v>3735</v>
      </c>
      <c r="C190" s="0" t="s">
        <v>3736</v>
      </c>
      <c r="D190" s="0" t="s">
        <v>3750</v>
      </c>
      <c r="E190" s="0" t="s">
        <v>3751</v>
      </c>
      <c r="F190" s="0" t="s">
        <v>3257</v>
      </c>
      <c r="G190" s="0" t="s">
        <v>3752</v>
      </c>
    </row>
    <row customHeight="1" ht="11.25">
      <c r="A191" s="657" t="s">
        <v>16</v>
      </c>
      <c r="B191" s="0" t="s">
        <v>3735</v>
      </c>
      <c r="C191" s="0" t="s">
        <v>3736</v>
      </c>
      <c r="D191" s="0" t="s">
        <v>3753</v>
      </c>
      <c r="E191" s="0" t="s">
        <v>3754</v>
      </c>
      <c r="F191" s="0" t="s">
        <v>3257</v>
      </c>
      <c r="G191" s="0" t="s">
        <v>3755</v>
      </c>
    </row>
    <row customHeight="1" ht="11.25">
      <c r="A192" s="657" t="s">
        <v>16</v>
      </c>
      <c r="B192" s="0" t="s">
        <v>3735</v>
      </c>
      <c r="C192" s="0" t="s">
        <v>3736</v>
      </c>
      <c r="D192" s="0" t="s">
        <v>3756</v>
      </c>
      <c r="E192" s="0" t="s">
        <v>3757</v>
      </c>
      <c r="F192" s="0" t="s">
        <v>3257</v>
      </c>
      <c r="G192" s="0" t="s">
        <v>3758</v>
      </c>
    </row>
    <row customHeight="1" ht="11.25">
      <c r="A193" s="657" t="s">
        <v>16</v>
      </c>
      <c r="B193" s="0" t="s">
        <v>3759</v>
      </c>
      <c r="C193" s="0" t="s">
        <v>3760</v>
      </c>
      <c r="D193" s="0" t="s">
        <v>3761</v>
      </c>
      <c r="E193" s="0" t="s">
        <v>3762</v>
      </c>
      <c r="F193" s="0" t="s">
        <v>3257</v>
      </c>
      <c r="G193" s="0" t="s">
        <v>3763</v>
      </c>
    </row>
    <row customHeight="1" ht="11.25">
      <c r="A194" s="657" t="s">
        <v>16</v>
      </c>
      <c r="B194" s="0" t="s">
        <v>3759</v>
      </c>
      <c r="C194" s="0" t="s">
        <v>3760</v>
      </c>
      <c r="D194" s="0" t="s">
        <v>3764</v>
      </c>
      <c r="E194" s="0" t="s">
        <v>3765</v>
      </c>
      <c r="F194" s="0" t="s">
        <v>3257</v>
      </c>
      <c r="G194" s="0" t="s">
        <v>3766</v>
      </c>
    </row>
    <row customHeight="1" ht="11.25">
      <c r="A195" s="657" t="s">
        <v>16</v>
      </c>
      <c r="B195" s="0" t="s">
        <v>3759</v>
      </c>
      <c r="C195" s="0" t="s">
        <v>3760</v>
      </c>
      <c r="D195" s="0" t="s">
        <v>3767</v>
      </c>
      <c r="E195" s="0" t="s">
        <v>3768</v>
      </c>
      <c r="F195" s="0" t="s">
        <v>3296</v>
      </c>
      <c r="G195" s="0" t="s">
        <v>3769</v>
      </c>
    </row>
    <row customHeight="1" ht="11.25">
      <c r="A196" s="657" t="s">
        <v>16</v>
      </c>
      <c r="B196" s="0" t="s">
        <v>3759</v>
      </c>
      <c r="C196" s="0" t="s">
        <v>3760</v>
      </c>
      <c r="D196" s="0" t="s">
        <v>3770</v>
      </c>
      <c r="E196" s="0" t="s">
        <v>3771</v>
      </c>
      <c r="F196" s="0" t="s">
        <v>3257</v>
      </c>
      <c r="G196" s="0" t="s">
        <v>3772</v>
      </c>
    </row>
    <row customHeight="1" ht="11.25">
      <c r="A197" s="657" t="s">
        <v>16</v>
      </c>
      <c r="B197" s="0" t="s">
        <v>3759</v>
      </c>
      <c r="C197" s="0" t="s">
        <v>3760</v>
      </c>
      <c r="D197" s="0" t="s">
        <v>3773</v>
      </c>
      <c r="E197" s="0" t="s">
        <v>3774</v>
      </c>
      <c r="F197" s="0" t="s">
        <v>3257</v>
      </c>
      <c r="G197" s="0" t="s">
        <v>3775</v>
      </c>
    </row>
    <row customHeight="1" ht="11.25">
      <c r="A198" s="657" t="s">
        <v>16</v>
      </c>
      <c r="B198" s="0" t="s">
        <v>3759</v>
      </c>
      <c r="C198" s="0" t="s">
        <v>3760</v>
      </c>
      <c r="D198" s="0" t="s">
        <v>3549</v>
      </c>
      <c r="E198" s="0" t="s">
        <v>3776</v>
      </c>
      <c r="F198" s="0" t="s">
        <v>3257</v>
      </c>
      <c r="G198" s="0" t="s">
        <v>3777</v>
      </c>
    </row>
    <row customHeight="1" ht="11.25">
      <c r="A199" s="657" t="s">
        <v>16</v>
      </c>
      <c r="B199" s="0" t="s">
        <v>3759</v>
      </c>
      <c r="C199" s="0" t="s">
        <v>3760</v>
      </c>
      <c r="D199" s="0" t="s">
        <v>3778</v>
      </c>
      <c r="E199" s="0" t="s">
        <v>3779</v>
      </c>
      <c r="F199" s="0" t="s">
        <v>3257</v>
      </c>
      <c r="G199" s="0" t="s">
        <v>3780</v>
      </c>
    </row>
    <row customHeight="1" ht="11.25">
      <c r="A200" s="657" t="s">
        <v>16</v>
      </c>
      <c r="B200" s="0" t="s">
        <v>3759</v>
      </c>
      <c r="C200" s="0" t="s">
        <v>3760</v>
      </c>
      <c r="D200" s="0" t="s">
        <v>3497</v>
      </c>
      <c r="E200" s="0" t="s">
        <v>3781</v>
      </c>
      <c r="F200" s="0" t="s">
        <v>3257</v>
      </c>
      <c r="G200" s="0" t="s">
        <v>3782</v>
      </c>
    </row>
    <row customHeight="1" ht="11.25">
      <c r="A201" s="657" t="s">
        <v>16</v>
      </c>
      <c r="B201" s="0" t="s">
        <v>3759</v>
      </c>
      <c r="C201" s="0" t="s">
        <v>3760</v>
      </c>
      <c r="D201" s="0" t="s">
        <v>3759</v>
      </c>
      <c r="E201" s="0" t="s">
        <v>3760</v>
      </c>
      <c r="F201" s="0" t="s">
        <v>3254</v>
      </c>
      <c r="G201" s="0" t="s">
        <v>3783</v>
      </c>
    </row>
    <row customHeight="1" ht="11.25">
      <c r="A202" s="657" t="s">
        <v>16</v>
      </c>
      <c r="B202" s="0" t="s">
        <v>3759</v>
      </c>
      <c r="C202" s="0" t="s">
        <v>3760</v>
      </c>
      <c r="D202" s="0" t="s">
        <v>3784</v>
      </c>
      <c r="E202" s="0" t="s">
        <v>3785</v>
      </c>
      <c r="F202" s="0" t="s">
        <v>3296</v>
      </c>
      <c r="G202" s="0" t="s">
        <v>3786</v>
      </c>
    </row>
    <row customHeight="1" ht="11.25">
      <c r="A203" s="657" t="s">
        <v>16</v>
      </c>
      <c r="B203" s="0" t="s">
        <v>3759</v>
      </c>
      <c r="C203" s="0" t="s">
        <v>3760</v>
      </c>
      <c r="D203" s="0" t="s">
        <v>3787</v>
      </c>
      <c r="E203" s="0" t="s">
        <v>3788</v>
      </c>
      <c r="F203" s="0" t="s">
        <v>3257</v>
      </c>
      <c r="G203" s="0" t="s">
        <v>3789</v>
      </c>
    </row>
    <row customHeight="1" ht="11.25">
      <c r="A204" s="657" t="s">
        <v>16</v>
      </c>
      <c r="B204" s="0" t="s">
        <v>3759</v>
      </c>
      <c r="C204" s="0" t="s">
        <v>3760</v>
      </c>
      <c r="D204" s="0" t="s">
        <v>3790</v>
      </c>
      <c r="E204" s="0" t="s">
        <v>3791</v>
      </c>
      <c r="F204" s="0" t="s">
        <v>3257</v>
      </c>
      <c r="G204" s="0" t="s">
        <v>3792</v>
      </c>
    </row>
    <row customHeight="1" ht="11.25">
      <c r="A205" s="657" t="s">
        <v>16</v>
      </c>
      <c r="B205" s="0" t="s">
        <v>3759</v>
      </c>
      <c r="C205" s="0" t="s">
        <v>3760</v>
      </c>
      <c r="D205" s="0" t="s">
        <v>3793</v>
      </c>
      <c r="E205" s="0" t="s">
        <v>3794</v>
      </c>
      <c r="F205" s="0" t="s">
        <v>3257</v>
      </c>
      <c r="G205" s="0" t="s">
        <v>3795</v>
      </c>
    </row>
    <row customHeight="1" ht="11.25">
      <c r="A206" s="657" t="s">
        <v>16</v>
      </c>
      <c r="B206" s="0" t="s">
        <v>3759</v>
      </c>
      <c r="C206" s="0" t="s">
        <v>3760</v>
      </c>
      <c r="D206" s="0" t="s">
        <v>3796</v>
      </c>
      <c r="E206" s="0" t="s">
        <v>3797</v>
      </c>
      <c r="F206" s="0" t="s">
        <v>3257</v>
      </c>
      <c r="G206" s="0" t="s">
        <v>3798</v>
      </c>
    </row>
    <row customHeight="1" ht="11.25">
      <c r="A207" s="657" t="s">
        <v>16</v>
      </c>
      <c r="B207" s="0" t="s">
        <v>3759</v>
      </c>
      <c r="C207" s="0" t="s">
        <v>3760</v>
      </c>
      <c r="D207" s="0" t="s">
        <v>3799</v>
      </c>
      <c r="E207" s="0" t="s">
        <v>3800</v>
      </c>
      <c r="F207" s="0" t="s">
        <v>3675</v>
      </c>
      <c r="G207" s="0" t="s">
        <v>3801</v>
      </c>
    </row>
    <row customHeight="1" ht="11.25">
      <c r="A208" s="657" t="s">
        <v>16</v>
      </c>
      <c r="B208" s="0" t="s">
        <v>3759</v>
      </c>
      <c r="C208" s="0" t="s">
        <v>3760</v>
      </c>
      <c r="D208" s="0" t="s">
        <v>3802</v>
      </c>
      <c r="E208" s="0" t="s">
        <v>3803</v>
      </c>
      <c r="F208" s="0" t="s">
        <v>3257</v>
      </c>
      <c r="G208" s="0" t="s">
        <v>3804</v>
      </c>
    </row>
    <row customHeight="1" ht="11.25">
      <c r="A209" s="657" t="s">
        <v>16</v>
      </c>
      <c r="B209" s="0" t="s">
        <v>3805</v>
      </c>
      <c r="C209" s="0" t="s">
        <v>3806</v>
      </c>
      <c r="D209" s="0" t="s">
        <v>3807</v>
      </c>
      <c r="E209" s="0" t="s">
        <v>3808</v>
      </c>
      <c r="F209" s="0" t="s">
        <v>3257</v>
      </c>
      <c r="G209" s="0" t="s">
        <v>3809</v>
      </c>
    </row>
    <row customHeight="1" ht="11.25">
      <c r="A210" s="657" t="s">
        <v>16</v>
      </c>
      <c r="B210" s="0" t="s">
        <v>3805</v>
      </c>
      <c r="C210" s="0" t="s">
        <v>3806</v>
      </c>
      <c r="D210" s="0" t="s">
        <v>3805</v>
      </c>
      <c r="E210" s="0" t="s">
        <v>3806</v>
      </c>
      <c r="F210" s="0" t="s">
        <v>3254</v>
      </c>
      <c r="G210" s="0" t="s">
        <v>3810</v>
      </c>
    </row>
    <row customHeight="1" ht="11.25">
      <c r="A211" s="657" t="s">
        <v>16</v>
      </c>
      <c r="B211" s="0" t="s">
        <v>3805</v>
      </c>
      <c r="C211" s="0" t="s">
        <v>3806</v>
      </c>
      <c r="D211" s="0" t="s">
        <v>3811</v>
      </c>
      <c r="E211" s="0" t="s">
        <v>3812</v>
      </c>
      <c r="F211" s="0" t="s">
        <v>3257</v>
      </c>
      <c r="G211" s="0" t="s">
        <v>3813</v>
      </c>
    </row>
    <row customHeight="1" ht="11.25">
      <c r="A212" s="657" t="s">
        <v>16</v>
      </c>
      <c r="B212" s="0" t="s">
        <v>3805</v>
      </c>
      <c r="C212" s="0" t="s">
        <v>3806</v>
      </c>
      <c r="D212" s="0" t="s">
        <v>3814</v>
      </c>
      <c r="E212" s="0" t="s">
        <v>3815</v>
      </c>
      <c r="F212" s="0" t="s">
        <v>3257</v>
      </c>
      <c r="G212" s="0" t="s">
        <v>3816</v>
      </c>
    </row>
    <row customHeight="1" ht="11.25">
      <c r="A213" s="657" t="s">
        <v>16</v>
      </c>
      <c r="B213" s="0" t="s">
        <v>3817</v>
      </c>
      <c r="C213" s="0" t="s">
        <v>3818</v>
      </c>
      <c r="D213" s="0" t="s">
        <v>3819</v>
      </c>
      <c r="E213" s="0" t="s">
        <v>3820</v>
      </c>
      <c r="F213" s="0" t="s">
        <v>3257</v>
      </c>
      <c r="G213" s="0" t="s">
        <v>3821</v>
      </c>
    </row>
    <row customHeight="1" ht="11.25">
      <c r="A214" s="657" t="s">
        <v>16</v>
      </c>
      <c r="B214" s="0" t="s">
        <v>3817</v>
      </c>
      <c r="C214" s="0" t="s">
        <v>3818</v>
      </c>
      <c r="D214" s="0" t="s">
        <v>3822</v>
      </c>
      <c r="E214" s="0" t="s">
        <v>3823</v>
      </c>
      <c r="F214" s="0" t="s">
        <v>3257</v>
      </c>
      <c r="G214" s="0" t="s">
        <v>3824</v>
      </c>
    </row>
    <row customHeight="1" ht="11.25">
      <c r="A215" s="657" t="s">
        <v>16</v>
      </c>
      <c r="B215" s="0" t="s">
        <v>3817</v>
      </c>
      <c r="C215" s="0" t="s">
        <v>3818</v>
      </c>
      <c r="D215" s="0" t="s">
        <v>3825</v>
      </c>
      <c r="E215" s="0" t="s">
        <v>3826</v>
      </c>
      <c r="F215" s="0" t="s">
        <v>3257</v>
      </c>
      <c r="G215" s="0" t="s">
        <v>3827</v>
      </c>
    </row>
    <row customHeight="1" ht="11.25">
      <c r="A216" s="657" t="s">
        <v>16</v>
      </c>
      <c r="B216" s="0" t="s">
        <v>3817</v>
      </c>
      <c r="C216" s="0" t="s">
        <v>3818</v>
      </c>
      <c r="D216" s="0" t="s">
        <v>3828</v>
      </c>
      <c r="E216" s="0" t="s">
        <v>3829</v>
      </c>
      <c r="F216" s="0" t="s">
        <v>3257</v>
      </c>
      <c r="G216" s="0" t="s">
        <v>3830</v>
      </c>
    </row>
    <row customHeight="1" ht="11.25">
      <c r="A217" s="657" t="s">
        <v>16</v>
      </c>
      <c r="B217" s="0" t="s">
        <v>3817</v>
      </c>
      <c r="C217" s="0" t="s">
        <v>3818</v>
      </c>
      <c r="D217" s="0" t="s">
        <v>3831</v>
      </c>
      <c r="E217" s="0" t="s">
        <v>3832</v>
      </c>
      <c r="F217" s="0" t="s">
        <v>3257</v>
      </c>
      <c r="G217" s="0" t="s">
        <v>3833</v>
      </c>
    </row>
    <row customHeight="1" ht="11.25">
      <c r="A218" s="657" t="s">
        <v>16</v>
      </c>
      <c r="B218" s="0" t="s">
        <v>3817</v>
      </c>
      <c r="C218" s="0" t="s">
        <v>3818</v>
      </c>
      <c r="D218" s="0" t="s">
        <v>3817</v>
      </c>
      <c r="E218" s="0" t="s">
        <v>3818</v>
      </c>
      <c r="F218" s="0" t="s">
        <v>3254</v>
      </c>
      <c r="G218" s="0" t="s">
        <v>3834</v>
      </c>
    </row>
    <row customHeight="1" ht="11.25">
      <c r="A219" s="657" t="s">
        <v>16</v>
      </c>
      <c r="B219" s="0" t="s">
        <v>3817</v>
      </c>
      <c r="C219" s="0" t="s">
        <v>3818</v>
      </c>
      <c r="D219" s="0" t="s">
        <v>3835</v>
      </c>
      <c r="E219" s="0" t="s">
        <v>3836</v>
      </c>
      <c r="F219" s="0" t="s">
        <v>3257</v>
      </c>
      <c r="G219" s="0" t="s">
        <v>3837</v>
      </c>
    </row>
    <row customHeight="1" ht="11.25">
      <c r="A220" s="657" t="s">
        <v>16</v>
      </c>
      <c r="B220" s="0" t="s">
        <v>3817</v>
      </c>
      <c r="C220" s="0" t="s">
        <v>3818</v>
      </c>
      <c r="D220" s="0" t="s">
        <v>3838</v>
      </c>
      <c r="E220" s="0" t="s">
        <v>3839</v>
      </c>
      <c r="F220" s="0" t="s">
        <v>3257</v>
      </c>
      <c r="G220" s="0" t="s">
        <v>3840</v>
      </c>
    </row>
    <row customHeight="1" ht="11.25">
      <c r="A221" s="657" t="s">
        <v>16</v>
      </c>
      <c r="B221" s="0" t="s">
        <v>3817</v>
      </c>
      <c r="C221" s="0" t="s">
        <v>3818</v>
      </c>
      <c r="D221" s="0" t="s">
        <v>3841</v>
      </c>
      <c r="E221" s="0" t="s">
        <v>3842</v>
      </c>
      <c r="F221" s="0" t="s">
        <v>3257</v>
      </c>
      <c r="G221" s="0" t="s">
        <v>3843</v>
      </c>
    </row>
    <row customHeight="1" ht="11.25">
      <c r="A222" s="657" t="s">
        <v>16</v>
      </c>
      <c r="B222" s="0" t="s">
        <v>3817</v>
      </c>
      <c r="C222" s="0" t="s">
        <v>3818</v>
      </c>
      <c r="D222" s="0" t="s">
        <v>3844</v>
      </c>
      <c r="E222" s="0" t="s">
        <v>3845</v>
      </c>
      <c r="F222" s="0" t="s">
        <v>3257</v>
      </c>
      <c r="G222" s="0" t="s">
        <v>3846</v>
      </c>
    </row>
    <row customHeight="1" ht="11.25">
      <c r="A223" s="657" t="s">
        <v>16</v>
      </c>
      <c r="B223" s="0" t="s">
        <v>3847</v>
      </c>
      <c r="C223" s="0" t="s">
        <v>3848</v>
      </c>
      <c r="D223" s="0" t="s">
        <v>3849</v>
      </c>
      <c r="E223" s="0" t="s">
        <v>3850</v>
      </c>
      <c r="F223" s="0" t="s">
        <v>3257</v>
      </c>
      <c r="G223" s="0" t="s">
        <v>3851</v>
      </c>
    </row>
    <row customHeight="1" ht="11.25">
      <c r="A224" s="657" t="s">
        <v>16</v>
      </c>
      <c r="B224" s="0" t="s">
        <v>3847</v>
      </c>
      <c r="C224" s="0" t="s">
        <v>3848</v>
      </c>
      <c r="D224" s="0" t="s">
        <v>3852</v>
      </c>
      <c r="E224" s="0" t="s">
        <v>3853</v>
      </c>
      <c r="F224" s="0" t="s">
        <v>3257</v>
      </c>
      <c r="G224" s="0" t="s">
        <v>3854</v>
      </c>
    </row>
    <row customHeight="1" ht="11.25">
      <c r="A225" s="657" t="s">
        <v>16</v>
      </c>
      <c r="B225" s="0" t="s">
        <v>3847</v>
      </c>
      <c r="C225" s="0" t="s">
        <v>3848</v>
      </c>
      <c r="D225" s="0" t="s">
        <v>3855</v>
      </c>
      <c r="E225" s="0" t="s">
        <v>3856</v>
      </c>
      <c r="F225" s="0" t="s">
        <v>3257</v>
      </c>
      <c r="G225" s="0" t="s">
        <v>3857</v>
      </c>
    </row>
    <row customHeight="1" ht="11.25">
      <c r="A226" s="657" t="s">
        <v>16</v>
      </c>
      <c r="B226" s="0" t="s">
        <v>3847</v>
      </c>
      <c r="C226" s="0" t="s">
        <v>3848</v>
      </c>
      <c r="D226" s="0" t="s">
        <v>3858</v>
      </c>
      <c r="E226" s="0" t="s">
        <v>3859</v>
      </c>
      <c r="F226" s="0" t="s">
        <v>3257</v>
      </c>
      <c r="G226" s="0" t="s">
        <v>3860</v>
      </c>
    </row>
    <row customHeight="1" ht="11.25">
      <c r="A227" s="657" t="s">
        <v>16</v>
      </c>
      <c r="B227" s="0" t="s">
        <v>3847</v>
      </c>
      <c r="C227" s="0" t="s">
        <v>3848</v>
      </c>
      <c r="D227" s="0" t="s">
        <v>3861</v>
      </c>
      <c r="E227" s="0" t="s">
        <v>3862</v>
      </c>
      <c r="F227" s="0" t="s">
        <v>3257</v>
      </c>
      <c r="G227" s="0" t="s">
        <v>3863</v>
      </c>
    </row>
    <row customHeight="1" ht="11.25">
      <c r="A228" s="657" t="s">
        <v>16</v>
      </c>
      <c r="B228" s="0" t="s">
        <v>3847</v>
      </c>
      <c r="C228" s="0" t="s">
        <v>3848</v>
      </c>
      <c r="D228" s="0" t="s">
        <v>3847</v>
      </c>
      <c r="E228" s="0" t="s">
        <v>3848</v>
      </c>
      <c r="F228" s="0" t="s">
        <v>3254</v>
      </c>
      <c r="G228" s="0" t="s">
        <v>3864</v>
      </c>
    </row>
    <row customHeight="1" ht="11.25">
      <c r="A229" s="657" t="s">
        <v>16</v>
      </c>
      <c r="B229" s="0" t="s">
        <v>3847</v>
      </c>
      <c r="C229" s="0" t="s">
        <v>3848</v>
      </c>
      <c r="D229" s="0" t="s">
        <v>3865</v>
      </c>
      <c r="E229" s="0" t="s">
        <v>3866</v>
      </c>
      <c r="F229" s="0" t="s">
        <v>3257</v>
      </c>
      <c r="G229" s="0" t="s">
        <v>3867</v>
      </c>
    </row>
    <row customHeight="1" ht="11.25">
      <c r="A230" s="657" t="s">
        <v>16</v>
      </c>
      <c r="B230" s="0" t="s">
        <v>3847</v>
      </c>
      <c r="C230" s="0" t="s">
        <v>3848</v>
      </c>
      <c r="D230" s="0" t="s">
        <v>3868</v>
      </c>
      <c r="E230" s="0" t="s">
        <v>3869</v>
      </c>
      <c r="F230" s="0" t="s">
        <v>3257</v>
      </c>
      <c r="G230" s="0" t="s">
        <v>3870</v>
      </c>
    </row>
    <row customHeight="1" ht="11.25">
      <c r="A231" s="657" t="s">
        <v>16</v>
      </c>
      <c r="B231" s="0" t="s">
        <v>3847</v>
      </c>
      <c r="C231" s="0" t="s">
        <v>3848</v>
      </c>
      <c r="D231" s="0" t="s">
        <v>3871</v>
      </c>
      <c r="E231" s="0" t="s">
        <v>3872</v>
      </c>
      <c r="F231" s="0" t="s">
        <v>3257</v>
      </c>
      <c r="G231" s="0" t="s">
        <v>3873</v>
      </c>
    </row>
    <row customHeight="1" ht="11.25">
      <c r="A232" s="657" t="s">
        <v>16</v>
      </c>
      <c r="B232" s="0" t="s">
        <v>3874</v>
      </c>
      <c r="C232" s="0" t="s">
        <v>3875</v>
      </c>
      <c r="D232" s="0" t="s">
        <v>3876</v>
      </c>
      <c r="E232" s="0" t="s">
        <v>3877</v>
      </c>
      <c r="F232" s="0" t="s">
        <v>3257</v>
      </c>
      <c r="G232" s="0" t="s">
        <v>3878</v>
      </c>
    </row>
    <row customHeight="1" ht="11.25">
      <c r="A233" s="657" t="s">
        <v>16</v>
      </c>
      <c r="B233" s="0" t="s">
        <v>3874</v>
      </c>
      <c r="C233" s="0" t="s">
        <v>3875</v>
      </c>
      <c r="D233" s="0" t="s">
        <v>3879</v>
      </c>
      <c r="E233" s="0" t="s">
        <v>3880</v>
      </c>
      <c r="F233" s="0" t="s">
        <v>3257</v>
      </c>
      <c r="G233" s="0" t="s">
        <v>3881</v>
      </c>
    </row>
    <row customHeight="1" ht="11.25">
      <c r="A234" s="657" t="s">
        <v>16</v>
      </c>
      <c r="B234" s="0" t="s">
        <v>3874</v>
      </c>
      <c r="C234" s="0" t="s">
        <v>3875</v>
      </c>
      <c r="D234" s="0" t="s">
        <v>3882</v>
      </c>
      <c r="E234" s="0" t="s">
        <v>3883</v>
      </c>
      <c r="F234" s="0" t="s">
        <v>3257</v>
      </c>
      <c r="G234" s="0" t="s">
        <v>3884</v>
      </c>
    </row>
    <row customHeight="1" ht="11.25">
      <c r="A235" s="657" t="s">
        <v>16</v>
      </c>
      <c r="B235" s="0" t="s">
        <v>3874</v>
      </c>
      <c r="C235" s="0" t="s">
        <v>3875</v>
      </c>
      <c r="D235" s="0" t="s">
        <v>3885</v>
      </c>
      <c r="E235" s="0" t="s">
        <v>3886</v>
      </c>
      <c r="F235" s="0" t="s">
        <v>3257</v>
      </c>
      <c r="G235" s="0" t="s">
        <v>3887</v>
      </c>
    </row>
    <row customHeight="1" ht="11.25">
      <c r="A236" s="657" t="s">
        <v>16</v>
      </c>
      <c r="B236" s="0" t="s">
        <v>3874</v>
      </c>
      <c r="C236" s="0" t="s">
        <v>3875</v>
      </c>
      <c r="D236" s="0" t="s">
        <v>3888</v>
      </c>
      <c r="E236" s="0" t="s">
        <v>3889</v>
      </c>
      <c r="F236" s="0" t="s">
        <v>3257</v>
      </c>
      <c r="G236" s="0" t="s">
        <v>3890</v>
      </c>
    </row>
    <row customHeight="1" ht="11.25">
      <c r="A237" s="657" t="s">
        <v>16</v>
      </c>
      <c r="B237" s="0" t="s">
        <v>3874</v>
      </c>
      <c r="C237" s="0" t="s">
        <v>3875</v>
      </c>
      <c r="D237" s="0" t="s">
        <v>3891</v>
      </c>
      <c r="E237" s="0" t="s">
        <v>3892</v>
      </c>
      <c r="F237" s="0" t="s">
        <v>3257</v>
      </c>
      <c r="G237" s="0" t="s">
        <v>3893</v>
      </c>
    </row>
    <row customHeight="1" ht="11.25">
      <c r="A238" s="657" t="s">
        <v>16</v>
      </c>
      <c r="B238" s="0" t="s">
        <v>3874</v>
      </c>
      <c r="C238" s="0" t="s">
        <v>3875</v>
      </c>
      <c r="D238" s="0" t="s">
        <v>3874</v>
      </c>
      <c r="E238" s="0" t="s">
        <v>3875</v>
      </c>
      <c r="F238" s="0" t="s">
        <v>3254</v>
      </c>
      <c r="G238" s="0" t="s">
        <v>3894</v>
      </c>
    </row>
    <row customHeight="1" ht="11.25">
      <c r="A239" s="657" t="s">
        <v>16</v>
      </c>
      <c r="B239" s="0" t="s">
        <v>3874</v>
      </c>
      <c r="C239" s="0" t="s">
        <v>3875</v>
      </c>
      <c r="D239" s="0" t="s">
        <v>3895</v>
      </c>
      <c r="E239" s="0" t="s">
        <v>3896</v>
      </c>
      <c r="F239" s="0" t="s">
        <v>3296</v>
      </c>
      <c r="G239" s="0" t="s">
        <v>3897</v>
      </c>
    </row>
    <row customHeight="1" ht="11.25">
      <c r="A240" s="657" t="s">
        <v>16</v>
      </c>
      <c r="B240" s="0" t="s">
        <v>3874</v>
      </c>
      <c r="C240" s="0" t="s">
        <v>3875</v>
      </c>
      <c r="D240" s="0" t="s">
        <v>3898</v>
      </c>
      <c r="E240" s="0" t="s">
        <v>3899</v>
      </c>
      <c r="F240" s="0" t="s">
        <v>3257</v>
      </c>
      <c r="G240" s="0" t="s">
        <v>3900</v>
      </c>
    </row>
    <row customHeight="1" ht="11.25">
      <c r="A241" s="657" t="s">
        <v>16</v>
      </c>
      <c r="B241" s="0" t="s">
        <v>3874</v>
      </c>
      <c r="C241" s="0" t="s">
        <v>3875</v>
      </c>
      <c r="D241" s="0" t="s">
        <v>3723</v>
      </c>
      <c r="E241" s="0" t="s">
        <v>3901</v>
      </c>
      <c r="F241" s="0" t="s">
        <v>3257</v>
      </c>
      <c r="G241" s="0" t="s">
        <v>3902</v>
      </c>
    </row>
    <row customHeight="1" ht="11.25">
      <c r="A242" s="657" t="s">
        <v>16</v>
      </c>
      <c r="B242" s="0" t="s">
        <v>3874</v>
      </c>
      <c r="C242" s="0" t="s">
        <v>3875</v>
      </c>
      <c r="D242" s="0" t="s">
        <v>3903</v>
      </c>
      <c r="E242" s="0" t="s">
        <v>3904</v>
      </c>
      <c r="F242" s="0" t="s">
        <v>3257</v>
      </c>
      <c r="G242" s="0" t="s">
        <v>3905</v>
      </c>
    </row>
    <row customHeight="1" ht="11.25">
      <c r="A243" s="657" t="s">
        <v>16</v>
      </c>
      <c r="B243" s="0" t="s">
        <v>3874</v>
      </c>
      <c r="C243" s="0" t="s">
        <v>3875</v>
      </c>
      <c r="D243" s="0" t="s">
        <v>3906</v>
      </c>
      <c r="E243" s="0" t="s">
        <v>3907</v>
      </c>
      <c r="F243" s="0" t="s">
        <v>3257</v>
      </c>
      <c r="G243" s="0" t="s">
        <v>3908</v>
      </c>
    </row>
    <row customHeight="1" ht="11.25">
      <c r="A244" s="657" t="s">
        <v>16</v>
      </c>
      <c r="B244" s="0" t="s">
        <v>3874</v>
      </c>
      <c r="C244" s="0" t="s">
        <v>3875</v>
      </c>
      <c r="D244" s="0" t="s">
        <v>3909</v>
      </c>
      <c r="E244" s="0" t="s">
        <v>3910</v>
      </c>
      <c r="F244" s="0" t="s">
        <v>3257</v>
      </c>
      <c r="G244" s="0" t="s">
        <v>3911</v>
      </c>
    </row>
    <row customHeight="1" ht="11.25">
      <c r="A245" s="657" t="s">
        <v>16</v>
      </c>
      <c r="B245" s="0" t="s">
        <v>3874</v>
      </c>
      <c r="C245" s="0" t="s">
        <v>3875</v>
      </c>
      <c r="D245" s="0" t="s">
        <v>3912</v>
      </c>
      <c r="E245" s="0" t="s">
        <v>3913</v>
      </c>
      <c r="F245" s="0" t="s">
        <v>3257</v>
      </c>
      <c r="G245" s="0" t="s">
        <v>3914</v>
      </c>
    </row>
    <row customHeight="1" ht="11.25">
      <c r="A246" s="657" t="s">
        <v>16</v>
      </c>
      <c r="B246" s="0" t="s">
        <v>3915</v>
      </c>
      <c r="C246" s="0" t="s">
        <v>3916</v>
      </c>
      <c r="D246" s="0" t="s">
        <v>3917</v>
      </c>
      <c r="E246" s="0" t="s">
        <v>3918</v>
      </c>
      <c r="F246" s="0" t="s">
        <v>3257</v>
      </c>
      <c r="G246" s="0" t="s">
        <v>3919</v>
      </c>
    </row>
    <row customHeight="1" ht="11.25">
      <c r="A247" s="657" t="s">
        <v>16</v>
      </c>
      <c r="B247" s="0" t="s">
        <v>3915</v>
      </c>
      <c r="C247" s="0" t="s">
        <v>3916</v>
      </c>
      <c r="D247" s="0" t="s">
        <v>3920</v>
      </c>
      <c r="E247" s="0" t="s">
        <v>3921</v>
      </c>
      <c r="F247" s="0" t="s">
        <v>3257</v>
      </c>
      <c r="G247" s="0" t="s">
        <v>3922</v>
      </c>
    </row>
    <row customHeight="1" ht="11.25">
      <c r="A248" s="657" t="s">
        <v>16</v>
      </c>
      <c r="B248" s="0" t="s">
        <v>3915</v>
      </c>
      <c r="C248" s="0" t="s">
        <v>3916</v>
      </c>
      <c r="D248" s="0" t="s">
        <v>3915</v>
      </c>
      <c r="E248" s="0" t="s">
        <v>3916</v>
      </c>
      <c r="F248" s="0" t="s">
        <v>3254</v>
      </c>
      <c r="G248" s="0" t="s">
        <v>3923</v>
      </c>
    </row>
    <row customHeight="1" ht="11.25">
      <c r="A249" s="657" t="s">
        <v>16</v>
      </c>
      <c r="B249" s="0" t="s">
        <v>3915</v>
      </c>
      <c r="C249" s="0" t="s">
        <v>3916</v>
      </c>
      <c r="D249" s="0" t="s">
        <v>3924</v>
      </c>
      <c r="E249" s="0" t="s">
        <v>3925</v>
      </c>
      <c r="F249" s="0" t="s">
        <v>3257</v>
      </c>
      <c r="G249" s="0" t="s">
        <v>3926</v>
      </c>
    </row>
    <row customHeight="1" ht="11.25">
      <c r="A250" s="657" t="s">
        <v>16</v>
      </c>
      <c r="B250" s="0" t="s">
        <v>3915</v>
      </c>
      <c r="C250" s="0" t="s">
        <v>3916</v>
      </c>
      <c r="D250" s="0" t="s">
        <v>3927</v>
      </c>
      <c r="E250" s="0" t="s">
        <v>3928</v>
      </c>
      <c r="F250" s="0" t="s">
        <v>3257</v>
      </c>
      <c r="G250" s="0" t="s">
        <v>3929</v>
      </c>
    </row>
    <row customHeight="1" ht="11.25">
      <c r="A251" s="657" t="s">
        <v>16</v>
      </c>
      <c r="B251" s="0" t="s">
        <v>3915</v>
      </c>
      <c r="C251" s="0" t="s">
        <v>3916</v>
      </c>
      <c r="D251" s="0" t="s">
        <v>3930</v>
      </c>
      <c r="E251" s="0" t="s">
        <v>3931</v>
      </c>
      <c r="F251" s="0" t="s">
        <v>3257</v>
      </c>
      <c r="G251" s="0" t="s">
        <v>3932</v>
      </c>
    </row>
    <row customHeight="1" ht="11.25">
      <c r="A252" s="657" t="s">
        <v>16</v>
      </c>
      <c r="B252" s="0" t="s">
        <v>3915</v>
      </c>
      <c r="C252" s="0" t="s">
        <v>3916</v>
      </c>
      <c r="D252" s="0" t="s">
        <v>3933</v>
      </c>
      <c r="E252" s="0" t="s">
        <v>3934</v>
      </c>
      <c r="F252" s="0" t="s">
        <v>3257</v>
      </c>
      <c r="G252" s="0" t="s">
        <v>3935</v>
      </c>
    </row>
    <row customHeight="1" ht="11.25">
      <c r="A253" s="657" t="s">
        <v>16</v>
      </c>
      <c r="B253" s="0" t="s">
        <v>3915</v>
      </c>
      <c r="C253" s="0" t="s">
        <v>3916</v>
      </c>
      <c r="D253" s="0" t="s">
        <v>3936</v>
      </c>
      <c r="E253" s="0" t="s">
        <v>3937</v>
      </c>
      <c r="F253" s="0" t="s">
        <v>3257</v>
      </c>
      <c r="G253" s="0" t="s">
        <v>3938</v>
      </c>
    </row>
    <row customHeight="1" ht="11.25">
      <c r="A254" s="657" t="s">
        <v>16</v>
      </c>
      <c r="B254" s="0" t="s">
        <v>3939</v>
      </c>
      <c r="C254" s="0" t="s">
        <v>3940</v>
      </c>
      <c r="D254" s="0" t="s">
        <v>3941</v>
      </c>
      <c r="E254" s="0" t="s">
        <v>3942</v>
      </c>
      <c r="F254" s="0" t="s">
        <v>3257</v>
      </c>
      <c r="G254" s="0" t="s">
        <v>3943</v>
      </c>
    </row>
    <row customHeight="1" ht="11.25">
      <c r="A255" s="657" t="s">
        <v>16</v>
      </c>
      <c r="B255" s="0" t="s">
        <v>3939</v>
      </c>
      <c r="C255" s="0" t="s">
        <v>3940</v>
      </c>
      <c r="D255" s="0" t="s">
        <v>3944</v>
      </c>
      <c r="E255" s="0" t="s">
        <v>3945</v>
      </c>
      <c r="F255" s="0" t="s">
        <v>3257</v>
      </c>
      <c r="G255" s="0" t="s">
        <v>3946</v>
      </c>
    </row>
    <row customHeight="1" ht="11.25">
      <c r="A256" s="657" t="s">
        <v>16</v>
      </c>
      <c r="B256" s="0" t="s">
        <v>3939</v>
      </c>
      <c r="C256" s="0" t="s">
        <v>3940</v>
      </c>
      <c r="D256" s="0" t="s">
        <v>3947</v>
      </c>
      <c r="E256" s="0" t="s">
        <v>3948</v>
      </c>
      <c r="F256" s="0" t="s">
        <v>3257</v>
      </c>
      <c r="G256" s="0" t="s">
        <v>3949</v>
      </c>
    </row>
    <row customHeight="1" ht="11.25">
      <c r="A257" s="657" t="s">
        <v>16</v>
      </c>
      <c r="B257" s="0" t="s">
        <v>3939</v>
      </c>
      <c r="C257" s="0" t="s">
        <v>3940</v>
      </c>
      <c r="D257" s="0" t="s">
        <v>3950</v>
      </c>
      <c r="E257" s="0" t="s">
        <v>3951</v>
      </c>
      <c r="F257" s="0" t="s">
        <v>3257</v>
      </c>
      <c r="G257" s="0" t="s">
        <v>3952</v>
      </c>
    </row>
    <row customHeight="1" ht="11.25">
      <c r="A258" s="657" t="s">
        <v>16</v>
      </c>
      <c r="B258" s="0" t="s">
        <v>3939</v>
      </c>
      <c r="C258" s="0" t="s">
        <v>3940</v>
      </c>
      <c r="D258" s="0" t="s">
        <v>3953</v>
      </c>
      <c r="E258" s="0" t="s">
        <v>3954</v>
      </c>
      <c r="F258" s="0" t="s">
        <v>3257</v>
      </c>
      <c r="G258" s="0" t="s">
        <v>3955</v>
      </c>
    </row>
    <row customHeight="1" ht="11.25">
      <c r="A259" s="657" t="s">
        <v>16</v>
      </c>
      <c r="B259" s="0" t="s">
        <v>3939</v>
      </c>
      <c r="C259" s="0" t="s">
        <v>3940</v>
      </c>
      <c r="D259" s="0" t="s">
        <v>3956</v>
      </c>
      <c r="E259" s="0" t="s">
        <v>3957</v>
      </c>
      <c r="F259" s="0" t="s">
        <v>3257</v>
      </c>
      <c r="G259" s="0" t="s">
        <v>3958</v>
      </c>
    </row>
    <row customHeight="1" ht="11.25">
      <c r="A260" s="657" t="s">
        <v>16</v>
      </c>
      <c r="B260" s="0" t="s">
        <v>3939</v>
      </c>
      <c r="C260" s="0" t="s">
        <v>3940</v>
      </c>
      <c r="D260" s="0" t="s">
        <v>3939</v>
      </c>
      <c r="E260" s="0" t="s">
        <v>3940</v>
      </c>
      <c r="F260" s="0" t="s">
        <v>3254</v>
      </c>
      <c r="G260" s="0" t="s">
        <v>3959</v>
      </c>
    </row>
    <row customHeight="1" ht="11.25">
      <c r="A261" s="657" t="s">
        <v>16</v>
      </c>
      <c r="B261" s="0" t="s">
        <v>3939</v>
      </c>
      <c r="C261" s="0" t="s">
        <v>3940</v>
      </c>
      <c r="D261" s="0" t="s">
        <v>3960</v>
      </c>
      <c r="E261" s="0" t="s">
        <v>3961</v>
      </c>
      <c r="F261" s="0" t="s">
        <v>3296</v>
      </c>
      <c r="G261" s="0" t="s">
        <v>3962</v>
      </c>
    </row>
    <row customHeight="1" ht="11.25">
      <c r="A262" s="657" t="s">
        <v>16</v>
      </c>
      <c r="B262" s="0" t="s">
        <v>3939</v>
      </c>
      <c r="C262" s="0" t="s">
        <v>3940</v>
      </c>
      <c r="D262" s="0" t="s">
        <v>3963</v>
      </c>
      <c r="E262" s="0" t="s">
        <v>3964</v>
      </c>
      <c r="F262" s="0" t="s">
        <v>3257</v>
      </c>
      <c r="G262" s="0" t="s">
        <v>3965</v>
      </c>
    </row>
    <row customHeight="1" ht="11.25">
      <c r="A263" s="657" t="s">
        <v>16</v>
      </c>
      <c r="B263" s="0" t="s">
        <v>3939</v>
      </c>
      <c r="C263" s="0" t="s">
        <v>3940</v>
      </c>
      <c r="D263" s="0" t="s">
        <v>3966</v>
      </c>
      <c r="E263" s="0" t="s">
        <v>3967</v>
      </c>
      <c r="F263" s="0" t="s">
        <v>3257</v>
      </c>
      <c r="G263" s="0" t="s">
        <v>3968</v>
      </c>
    </row>
    <row customHeight="1" ht="11.25">
      <c r="A264" s="657" t="s">
        <v>16</v>
      </c>
      <c r="B264" s="0" t="s">
        <v>3969</v>
      </c>
      <c r="C264" s="0" t="s">
        <v>3970</v>
      </c>
      <c r="D264" s="0" t="s">
        <v>3971</v>
      </c>
      <c r="E264" s="0" t="s">
        <v>3972</v>
      </c>
      <c r="F264" s="0" t="s">
        <v>3257</v>
      </c>
      <c r="G264" s="0" t="s">
        <v>3973</v>
      </c>
    </row>
    <row customHeight="1" ht="11.25">
      <c r="A265" s="657" t="s">
        <v>16</v>
      </c>
      <c r="B265" s="0" t="s">
        <v>3969</v>
      </c>
      <c r="C265" s="0" t="s">
        <v>3970</v>
      </c>
      <c r="D265" s="0" t="s">
        <v>3645</v>
      </c>
      <c r="E265" s="0" t="s">
        <v>3974</v>
      </c>
      <c r="F265" s="0" t="s">
        <v>3257</v>
      </c>
      <c r="G265" s="0" t="s">
        <v>3975</v>
      </c>
    </row>
    <row customHeight="1" ht="11.25">
      <c r="A266" s="657" t="s">
        <v>16</v>
      </c>
      <c r="B266" s="0" t="s">
        <v>3969</v>
      </c>
      <c r="C266" s="0" t="s">
        <v>3970</v>
      </c>
      <c r="D266" s="0" t="s">
        <v>3976</v>
      </c>
      <c r="E266" s="0" t="s">
        <v>3977</v>
      </c>
      <c r="F266" s="0" t="s">
        <v>3257</v>
      </c>
      <c r="G266" s="0" t="s">
        <v>3978</v>
      </c>
    </row>
    <row customHeight="1" ht="11.25">
      <c r="A267" s="657" t="s">
        <v>16</v>
      </c>
      <c r="B267" s="0" t="s">
        <v>3969</v>
      </c>
      <c r="C267" s="0" t="s">
        <v>3970</v>
      </c>
      <c r="D267" s="0" t="s">
        <v>3979</v>
      </c>
      <c r="E267" s="0" t="s">
        <v>3980</v>
      </c>
      <c r="F267" s="0" t="s">
        <v>3257</v>
      </c>
      <c r="G267" s="0" t="s">
        <v>3981</v>
      </c>
    </row>
    <row customHeight="1" ht="11.25">
      <c r="A268" s="657" t="s">
        <v>16</v>
      </c>
      <c r="B268" s="0" t="s">
        <v>3969</v>
      </c>
      <c r="C268" s="0" t="s">
        <v>3970</v>
      </c>
      <c r="D268" s="0" t="s">
        <v>3969</v>
      </c>
      <c r="E268" s="0" t="s">
        <v>3970</v>
      </c>
      <c r="F268" s="0" t="s">
        <v>3254</v>
      </c>
      <c r="G268" s="0" t="s">
        <v>3982</v>
      </c>
    </row>
    <row customHeight="1" ht="11.25">
      <c r="A269" s="657" t="s">
        <v>16</v>
      </c>
      <c r="B269" s="0" t="s">
        <v>3969</v>
      </c>
      <c r="C269" s="0" t="s">
        <v>3970</v>
      </c>
      <c r="D269" s="0" t="s">
        <v>3983</v>
      </c>
      <c r="E269" s="0" t="s">
        <v>3984</v>
      </c>
      <c r="F269" s="0" t="s">
        <v>3257</v>
      </c>
      <c r="G269" s="0" t="s">
        <v>3985</v>
      </c>
    </row>
    <row customHeight="1" ht="11.25">
      <c r="A270" s="657" t="s">
        <v>16</v>
      </c>
      <c r="B270" s="0" t="s">
        <v>3969</v>
      </c>
      <c r="C270" s="0" t="s">
        <v>3970</v>
      </c>
      <c r="D270" s="0" t="s">
        <v>3986</v>
      </c>
      <c r="E270" s="0" t="s">
        <v>3987</v>
      </c>
      <c r="F270" s="0" t="s">
        <v>3257</v>
      </c>
      <c r="G270" s="0" t="s">
        <v>3988</v>
      </c>
    </row>
    <row customHeight="1" ht="11.25">
      <c r="A271" s="657" t="s">
        <v>16</v>
      </c>
      <c r="B271" s="0" t="s">
        <v>3969</v>
      </c>
      <c r="C271" s="0" t="s">
        <v>3970</v>
      </c>
      <c r="D271" s="0" t="s">
        <v>3989</v>
      </c>
      <c r="E271" s="0" t="s">
        <v>3990</v>
      </c>
      <c r="F271" s="0" t="s">
        <v>3257</v>
      </c>
      <c r="G271" s="0" t="s">
        <v>3991</v>
      </c>
    </row>
    <row customHeight="1" ht="11.25">
      <c r="A272" s="657" t="s">
        <v>16</v>
      </c>
      <c r="B272" s="0" t="s">
        <v>3992</v>
      </c>
      <c r="C272" s="0" t="s">
        <v>3993</v>
      </c>
      <c r="D272" s="0" t="s">
        <v>3994</v>
      </c>
      <c r="E272" s="0" t="s">
        <v>3995</v>
      </c>
      <c r="F272" s="0" t="s">
        <v>3257</v>
      </c>
      <c r="G272" s="0" t="s">
        <v>3996</v>
      </c>
    </row>
    <row customHeight="1" ht="11.25">
      <c r="A273" s="657" t="s">
        <v>16</v>
      </c>
      <c r="B273" s="0" t="s">
        <v>3992</v>
      </c>
      <c r="C273" s="0" t="s">
        <v>3993</v>
      </c>
      <c r="D273" s="0" t="s">
        <v>3997</v>
      </c>
      <c r="E273" s="0" t="s">
        <v>3998</v>
      </c>
      <c r="F273" s="0" t="s">
        <v>3257</v>
      </c>
      <c r="G273" s="0" t="s">
        <v>3999</v>
      </c>
    </row>
    <row customHeight="1" ht="11.25">
      <c r="A274" s="657" t="s">
        <v>16</v>
      </c>
      <c r="B274" s="0" t="s">
        <v>3992</v>
      </c>
      <c r="C274" s="0" t="s">
        <v>3993</v>
      </c>
      <c r="D274" s="0" t="s">
        <v>4000</v>
      </c>
      <c r="E274" s="0" t="s">
        <v>4001</v>
      </c>
      <c r="F274" s="0" t="s">
        <v>3257</v>
      </c>
      <c r="G274" s="0" t="s">
        <v>4002</v>
      </c>
    </row>
    <row customHeight="1" ht="11.25">
      <c r="A275" s="657" t="s">
        <v>16</v>
      </c>
      <c r="B275" s="0" t="s">
        <v>3992</v>
      </c>
      <c r="C275" s="0" t="s">
        <v>3993</v>
      </c>
      <c r="D275" s="0" t="s">
        <v>4003</v>
      </c>
      <c r="E275" s="0" t="s">
        <v>4004</v>
      </c>
      <c r="F275" s="0" t="s">
        <v>3257</v>
      </c>
      <c r="G275" s="0" t="s">
        <v>4005</v>
      </c>
    </row>
    <row customHeight="1" ht="11.25">
      <c r="A276" s="657" t="s">
        <v>16</v>
      </c>
      <c r="B276" s="0" t="s">
        <v>3992</v>
      </c>
      <c r="C276" s="0" t="s">
        <v>3993</v>
      </c>
      <c r="D276" s="0" t="s">
        <v>4006</v>
      </c>
      <c r="E276" s="0" t="s">
        <v>4007</v>
      </c>
      <c r="F276" s="0" t="s">
        <v>3257</v>
      </c>
      <c r="G276" s="0" t="s">
        <v>4008</v>
      </c>
    </row>
    <row customHeight="1" ht="11.25">
      <c r="A277" s="657" t="s">
        <v>16</v>
      </c>
      <c r="B277" s="0" t="s">
        <v>3992</v>
      </c>
      <c r="C277" s="0" t="s">
        <v>3993</v>
      </c>
      <c r="D277" s="0" t="s">
        <v>4009</v>
      </c>
      <c r="E277" s="0" t="s">
        <v>4010</v>
      </c>
      <c r="F277" s="0" t="s">
        <v>3257</v>
      </c>
      <c r="G277" s="0" t="s">
        <v>4011</v>
      </c>
    </row>
    <row customHeight="1" ht="11.25">
      <c r="A278" s="657" t="s">
        <v>16</v>
      </c>
      <c r="B278" s="0" t="s">
        <v>3992</v>
      </c>
      <c r="C278" s="0" t="s">
        <v>3993</v>
      </c>
      <c r="D278" s="0" t="s">
        <v>3992</v>
      </c>
      <c r="E278" s="0" t="s">
        <v>3993</v>
      </c>
      <c r="F278" s="0" t="s">
        <v>3254</v>
      </c>
      <c r="G278" s="0" t="s">
        <v>4012</v>
      </c>
    </row>
    <row customHeight="1" ht="11.25">
      <c r="A279" s="657" t="s">
        <v>16</v>
      </c>
      <c r="B279" s="0" t="s">
        <v>3992</v>
      </c>
      <c r="C279" s="0" t="s">
        <v>3993</v>
      </c>
      <c r="D279" s="0" t="s">
        <v>3750</v>
      </c>
      <c r="E279" s="0" t="s">
        <v>4013</v>
      </c>
      <c r="F279" s="0" t="s">
        <v>3257</v>
      </c>
      <c r="G279" s="0" t="s">
        <v>4014</v>
      </c>
    </row>
    <row customHeight="1" ht="11.25">
      <c r="A280" s="657" t="s">
        <v>16</v>
      </c>
      <c r="B280" s="0" t="s">
        <v>3992</v>
      </c>
      <c r="C280" s="0" t="s">
        <v>3993</v>
      </c>
      <c r="D280" s="0" t="s">
        <v>4015</v>
      </c>
      <c r="E280" s="0" t="s">
        <v>4016</v>
      </c>
      <c r="F280" s="0" t="s">
        <v>3257</v>
      </c>
      <c r="G280" s="0" t="s">
        <v>4017</v>
      </c>
    </row>
    <row customHeight="1" ht="11.25">
      <c r="A281" s="657" t="s">
        <v>16</v>
      </c>
      <c r="B281" s="0" t="s">
        <v>3992</v>
      </c>
      <c r="C281" s="0" t="s">
        <v>3993</v>
      </c>
      <c r="D281" s="0" t="s">
        <v>4018</v>
      </c>
      <c r="E281" s="0" t="s">
        <v>4019</v>
      </c>
      <c r="F281" s="0" t="s">
        <v>3257</v>
      </c>
      <c r="G281" s="0" t="s">
        <v>4020</v>
      </c>
    </row>
    <row customHeight="1" ht="11.25">
      <c r="A282" s="657" t="s">
        <v>16</v>
      </c>
      <c r="B282" s="0" t="s">
        <v>3992</v>
      </c>
      <c r="C282" s="0" t="s">
        <v>3993</v>
      </c>
      <c r="D282" s="0" t="s">
        <v>4021</v>
      </c>
      <c r="E282" s="0" t="s">
        <v>4022</v>
      </c>
      <c r="F282" s="0" t="s">
        <v>3257</v>
      </c>
      <c r="G282" s="0" t="s">
        <v>4023</v>
      </c>
    </row>
    <row customHeight="1" ht="11.25">
      <c r="A283" s="657" t="s">
        <v>16</v>
      </c>
      <c r="B283" s="0" t="s">
        <v>3992</v>
      </c>
      <c r="C283" s="0" t="s">
        <v>3993</v>
      </c>
      <c r="D283" s="0" t="s">
        <v>4024</v>
      </c>
      <c r="E283" s="0" t="s">
        <v>4025</v>
      </c>
      <c r="F283" s="0" t="s">
        <v>3257</v>
      </c>
      <c r="G283" s="0" t="s">
        <v>4026</v>
      </c>
    </row>
    <row customHeight="1" ht="11.25">
      <c r="A284" s="657" t="s">
        <v>16</v>
      </c>
      <c r="B284" s="0" t="s">
        <v>3992</v>
      </c>
      <c r="C284" s="0" t="s">
        <v>3993</v>
      </c>
      <c r="D284" s="0" t="s">
        <v>4027</v>
      </c>
      <c r="E284" s="0" t="s">
        <v>4028</v>
      </c>
      <c r="F284" s="0" t="s">
        <v>3257</v>
      </c>
      <c r="G284" s="0" t="s">
        <v>4029</v>
      </c>
    </row>
    <row customHeight="1" ht="11.25">
      <c r="A285" s="657" t="s">
        <v>16</v>
      </c>
      <c r="B285" s="0" t="s">
        <v>3992</v>
      </c>
      <c r="C285" s="0" t="s">
        <v>3993</v>
      </c>
      <c r="D285" s="0" t="s">
        <v>4030</v>
      </c>
      <c r="E285" s="0" t="s">
        <v>4031</v>
      </c>
      <c r="F285" s="0" t="s">
        <v>3257</v>
      </c>
      <c r="G285" s="0" t="s">
        <v>4032</v>
      </c>
    </row>
    <row customHeight="1" ht="11.25">
      <c r="A286" s="657" t="s">
        <v>16</v>
      </c>
      <c r="B286" s="0" t="s">
        <v>3992</v>
      </c>
      <c r="C286" s="0" t="s">
        <v>3993</v>
      </c>
      <c r="D286" s="0" t="s">
        <v>4033</v>
      </c>
      <c r="E286" s="0" t="s">
        <v>4034</v>
      </c>
      <c r="F286" s="0" t="s">
        <v>3257</v>
      </c>
      <c r="G286" s="0" t="s">
        <v>4035</v>
      </c>
    </row>
    <row customHeight="1" ht="11.25">
      <c r="A287" s="657" t="s">
        <v>16</v>
      </c>
      <c r="B287" s="0" t="s">
        <v>3992</v>
      </c>
      <c r="C287" s="0" t="s">
        <v>3993</v>
      </c>
      <c r="D287" s="0" t="s">
        <v>4036</v>
      </c>
      <c r="E287" s="0" t="s">
        <v>4037</v>
      </c>
      <c r="F287" s="0" t="s">
        <v>3257</v>
      </c>
      <c r="G287" s="0" t="s">
        <v>4038</v>
      </c>
    </row>
    <row customHeight="1" ht="11.25">
      <c r="A288" s="657" t="s">
        <v>16</v>
      </c>
      <c r="B288" s="0" t="s">
        <v>3992</v>
      </c>
      <c r="C288" s="0" t="s">
        <v>3993</v>
      </c>
      <c r="D288" s="0" t="s">
        <v>4039</v>
      </c>
      <c r="E288" s="0" t="s">
        <v>4040</v>
      </c>
      <c r="F288" s="0" t="s">
        <v>3257</v>
      </c>
      <c r="G288" s="0" t="s">
        <v>4041</v>
      </c>
    </row>
    <row customHeight="1" ht="11.25">
      <c r="A289" s="657" t="s">
        <v>16</v>
      </c>
      <c r="B289" s="0" t="s">
        <v>3992</v>
      </c>
      <c r="C289" s="0" t="s">
        <v>3993</v>
      </c>
      <c r="D289" s="0" t="s">
        <v>4042</v>
      </c>
      <c r="E289" s="0" t="s">
        <v>4043</v>
      </c>
      <c r="F289" s="0" t="s">
        <v>3257</v>
      </c>
      <c r="G289" s="0" t="s">
        <v>4044</v>
      </c>
    </row>
    <row customHeight="1" ht="11.25">
      <c r="A290" s="657" t="s">
        <v>16</v>
      </c>
      <c r="B290" s="0" t="s">
        <v>3992</v>
      </c>
      <c r="C290" s="0" t="s">
        <v>3993</v>
      </c>
      <c r="D290" s="0" t="s">
        <v>4045</v>
      </c>
      <c r="E290" s="0" t="s">
        <v>4046</v>
      </c>
      <c r="F290" s="0" t="s">
        <v>3257</v>
      </c>
      <c r="G290" s="0" t="s">
        <v>4047</v>
      </c>
    </row>
    <row customHeight="1" ht="11.25">
      <c r="A291" s="657" t="s">
        <v>16</v>
      </c>
      <c r="B291" s="0" t="s">
        <v>4048</v>
      </c>
      <c r="C291" s="0" t="s">
        <v>4049</v>
      </c>
      <c r="D291" s="0" t="s">
        <v>3255</v>
      </c>
      <c r="E291" s="0" t="s">
        <v>4050</v>
      </c>
      <c r="F291" s="0" t="s">
        <v>3257</v>
      </c>
      <c r="G291" s="0" t="s">
        <v>4051</v>
      </c>
    </row>
    <row customHeight="1" ht="11.25">
      <c r="A292" s="657" t="s">
        <v>16</v>
      </c>
      <c r="B292" s="0" t="s">
        <v>4048</v>
      </c>
      <c r="C292" s="0" t="s">
        <v>4049</v>
      </c>
      <c r="D292" s="0" t="s">
        <v>3849</v>
      </c>
      <c r="E292" s="0" t="s">
        <v>4052</v>
      </c>
      <c r="F292" s="0" t="s">
        <v>3257</v>
      </c>
      <c r="G292" s="0" t="s">
        <v>4053</v>
      </c>
    </row>
    <row customHeight="1" ht="11.25">
      <c r="A293" s="657" t="s">
        <v>16</v>
      </c>
      <c r="B293" s="0" t="s">
        <v>4048</v>
      </c>
      <c r="C293" s="0" t="s">
        <v>4049</v>
      </c>
      <c r="D293" s="0" t="s">
        <v>4054</v>
      </c>
      <c r="E293" s="0" t="s">
        <v>4055</v>
      </c>
      <c r="F293" s="0" t="s">
        <v>3257</v>
      </c>
      <c r="G293" s="0" t="s">
        <v>4056</v>
      </c>
    </row>
    <row customHeight="1" ht="11.25">
      <c r="A294" s="657" t="s">
        <v>16</v>
      </c>
      <c r="B294" s="0" t="s">
        <v>4048</v>
      </c>
      <c r="C294" s="0" t="s">
        <v>4049</v>
      </c>
      <c r="D294" s="0" t="s">
        <v>4057</v>
      </c>
      <c r="E294" s="0" t="s">
        <v>4058</v>
      </c>
      <c r="F294" s="0" t="s">
        <v>3257</v>
      </c>
      <c r="G294" s="0" t="s">
        <v>4059</v>
      </c>
    </row>
    <row customHeight="1" ht="11.25">
      <c r="A295" s="657" t="s">
        <v>16</v>
      </c>
      <c r="B295" s="0" t="s">
        <v>4048</v>
      </c>
      <c r="C295" s="0" t="s">
        <v>4049</v>
      </c>
      <c r="D295" s="0" t="s">
        <v>4060</v>
      </c>
      <c r="E295" s="0" t="s">
        <v>4061</v>
      </c>
      <c r="F295" s="0" t="s">
        <v>3257</v>
      </c>
      <c r="G295" s="0" t="s">
        <v>4062</v>
      </c>
    </row>
    <row customHeight="1" ht="11.25">
      <c r="A296" s="657" t="s">
        <v>16</v>
      </c>
      <c r="B296" s="0" t="s">
        <v>4048</v>
      </c>
      <c r="C296" s="0" t="s">
        <v>4049</v>
      </c>
      <c r="D296" s="0" t="s">
        <v>4048</v>
      </c>
      <c r="E296" s="0" t="s">
        <v>4049</v>
      </c>
      <c r="F296" s="0" t="s">
        <v>3254</v>
      </c>
      <c r="G296" s="0" t="s">
        <v>4063</v>
      </c>
    </row>
    <row customHeight="1" ht="11.25">
      <c r="A297" s="657" t="s">
        <v>16</v>
      </c>
      <c r="B297" s="0" t="s">
        <v>4048</v>
      </c>
      <c r="C297" s="0" t="s">
        <v>4049</v>
      </c>
      <c r="D297" s="0" t="s">
        <v>4064</v>
      </c>
      <c r="E297" s="0" t="s">
        <v>4065</v>
      </c>
      <c r="F297" s="0" t="s">
        <v>3257</v>
      </c>
      <c r="G297" s="0" t="s">
        <v>4066</v>
      </c>
    </row>
    <row customHeight="1" ht="11.25">
      <c r="A298" s="657" t="s">
        <v>16</v>
      </c>
      <c r="B298" s="0" t="s">
        <v>4048</v>
      </c>
      <c r="C298" s="0" t="s">
        <v>4049</v>
      </c>
      <c r="D298" s="0" t="s">
        <v>4067</v>
      </c>
      <c r="E298" s="0" t="s">
        <v>4068</v>
      </c>
      <c r="F298" s="0" t="s">
        <v>3257</v>
      </c>
      <c r="G298" s="0" t="s">
        <v>4069</v>
      </c>
    </row>
    <row customHeight="1" ht="11.25">
      <c r="A299" s="657" t="s">
        <v>16</v>
      </c>
      <c r="B299" s="0" t="s">
        <v>4070</v>
      </c>
      <c r="C299" s="0" t="s">
        <v>4071</v>
      </c>
      <c r="D299" s="0" t="s">
        <v>3849</v>
      </c>
      <c r="E299" s="0" t="s">
        <v>4072</v>
      </c>
      <c r="F299" s="0" t="s">
        <v>3257</v>
      </c>
      <c r="G299" s="0" t="s">
        <v>4073</v>
      </c>
    </row>
    <row customHeight="1" ht="11.25">
      <c r="A300" s="657" t="s">
        <v>16</v>
      </c>
      <c r="B300" s="0" t="s">
        <v>4070</v>
      </c>
      <c r="C300" s="0" t="s">
        <v>4071</v>
      </c>
      <c r="D300" s="0" t="s">
        <v>4074</v>
      </c>
      <c r="E300" s="0" t="s">
        <v>4075</v>
      </c>
      <c r="F300" s="0" t="s">
        <v>3257</v>
      </c>
      <c r="G300" s="0" t="s">
        <v>4076</v>
      </c>
    </row>
    <row customHeight="1" ht="11.25">
      <c r="A301" s="657" t="s">
        <v>16</v>
      </c>
      <c r="B301" s="0" t="s">
        <v>4070</v>
      </c>
      <c r="C301" s="0" t="s">
        <v>4071</v>
      </c>
      <c r="D301" s="0" t="s">
        <v>4077</v>
      </c>
      <c r="E301" s="0" t="s">
        <v>4078</v>
      </c>
      <c r="F301" s="0" t="s">
        <v>3257</v>
      </c>
      <c r="G301" s="0" t="s">
        <v>4079</v>
      </c>
    </row>
    <row customHeight="1" ht="11.25">
      <c r="A302" s="657" t="s">
        <v>16</v>
      </c>
      <c r="B302" s="0" t="s">
        <v>4070</v>
      </c>
      <c r="C302" s="0" t="s">
        <v>4071</v>
      </c>
      <c r="D302" s="0" t="s">
        <v>4080</v>
      </c>
      <c r="E302" s="0" t="s">
        <v>4081</v>
      </c>
      <c r="F302" s="0" t="s">
        <v>3675</v>
      </c>
      <c r="G302" s="0" t="s">
        <v>4082</v>
      </c>
    </row>
    <row customHeight="1" ht="11.25">
      <c r="A303" s="657" t="s">
        <v>16</v>
      </c>
      <c r="B303" s="0" t="s">
        <v>4070</v>
      </c>
      <c r="C303" s="0" t="s">
        <v>4071</v>
      </c>
      <c r="D303" s="0" t="s">
        <v>4083</v>
      </c>
      <c r="E303" s="0" t="s">
        <v>4084</v>
      </c>
      <c r="F303" s="0" t="s">
        <v>3257</v>
      </c>
      <c r="G303" s="0" t="s">
        <v>4085</v>
      </c>
    </row>
    <row customHeight="1" ht="11.25">
      <c r="A304" s="657" t="s">
        <v>16</v>
      </c>
      <c r="B304" s="0" t="s">
        <v>4070</v>
      </c>
      <c r="C304" s="0" t="s">
        <v>4071</v>
      </c>
      <c r="D304" s="0" t="s">
        <v>4086</v>
      </c>
      <c r="E304" s="0" t="s">
        <v>4087</v>
      </c>
      <c r="F304" s="0" t="s">
        <v>3257</v>
      </c>
      <c r="G304" s="0" t="s">
        <v>4088</v>
      </c>
    </row>
    <row customHeight="1" ht="11.25">
      <c r="A305" s="657" t="s">
        <v>16</v>
      </c>
      <c r="B305" s="0" t="s">
        <v>4070</v>
      </c>
      <c r="C305" s="0" t="s">
        <v>4071</v>
      </c>
      <c r="D305" s="0" t="s">
        <v>3369</v>
      </c>
      <c r="E305" s="0" t="s">
        <v>4089</v>
      </c>
      <c r="F305" s="0" t="s">
        <v>3257</v>
      </c>
      <c r="G305" s="0" t="s">
        <v>4090</v>
      </c>
    </row>
    <row customHeight="1" ht="11.25">
      <c r="A306" s="657" t="s">
        <v>16</v>
      </c>
      <c r="B306" s="0" t="s">
        <v>4070</v>
      </c>
      <c r="C306" s="0" t="s">
        <v>4071</v>
      </c>
      <c r="D306" s="0" t="s">
        <v>4091</v>
      </c>
      <c r="E306" s="0" t="s">
        <v>4092</v>
      </c>
      <c r="F306" s="0" t="s">
        <v>3257</v>
      </c>
      <c r="G306" s="0" t="s">
        <v>4093</v>
      </c>
    </row>
    <row customHeight="1" ht="11.25">
      <c r="A307" s="657" t="s">
        <v>16</v>
      </c>
      <c r="B307" s="0" t="s">
        <v>4070</v>
      </c>
      <c r="C307" s="0" t="s">
        <v>4071</v>
      </c>
      <c r="D307" s="0" t="s">
        <v>4094</v>
      </c>
      <c r="E307" s="0" t="s">
        <v>4095</v>
      </c>
      <c r="F307" s="0" t="s">
        <v>3257</v>
      </c>
      <c r="G307" s="0" t="s">
        <v>4096</v>
      </c>
    </row>
    <row customHeight="1" ht="11.25">
      <c r="A308" s="657" t="s">
        <v>16</v>
      </c>
      <c r="B308" s="0" t="s">
        <v>4070</v>
      </c>
      <c r="C308" s="0" t="s">
        <v>4071</v>
      </c>
      <c r="D308" s="0" t="s">
        <v>4097</v>
      </c>
      <c r="E308" s="0" t="s">
        <v>4098</v>
      </c>
      <c r="F308" s="0" t="s">
        <v>3257</v>
      </c>
      <c r="G308" s="0" t="s">
        <v>4099</v>
      </c>
    </row>
    <row customHeight="1" ht="11.25">
      <c r="A309" s="657" t="s">
        <v>16</v>
      </c>
      <c r="B309" s="0" t="s">
        <v>4070</v>
      </c>
      <c r="C309" s="0" t="s">
        <v>4071</v>
      </c>
      <c r="D309" s="0" t="s">
        <v>4100</v>
      </c>
      <c r="E309" s="0" t="s">
        <v>4101</v>
      </c>
      <c r="F309" s="0" t="s">
        <v>3257</v>
      </c>
      <c r="G309" s="0" t="s">
        <v>4102</v>
      </c>
    </row>
    <row customHeight="1" ht="11.25">
      <c r="A310" s="657" t="s">
        <v>16</v>
      </c>
      <c r="B310" s="0" t="s">
        <v>4070</v>
      </c>
      <c r="C310" s="0" t="s">
        <v>4071</v>
      </c>
      <c r="D310" s="0" t="s">
        <v>4070</v>
      </c>
      <c r="E310" s="0" t="s">
        <v>4071</v>
      </c>
      <c r="F310" s="0" t="s">
        <v>3254</v>
      </c>
      <c r="G310" s="0" t="s">
        <v>4103</v>
      </c>
    </row>
    <row customHeight="1" ht="11.25">
      <c r="A311" s="657" t="s">
        <v>16</v>
      </c>
      <c r="B311" s="0" t="s">
        <v>4070</v>
      </c>
      <c r="C311" s="0" t="s">
        <v>4071</v>
      </c>
      <c r="D311" s="0" t="s">
        <v>4104</v>
      </c>
      <c r="E311" s="0" t="s">
        <v>4105</v>
      </c>
      <c r="F311" s="0" t="s">
        <v>3257</v>
      </c>
      <c r="G311" s="0" t="s">
        <v>4106</v>
      </c>
    </row>
    <row customHeight="1" ht="11.25">
      <c r="A312" s="657" t="s">
        <v>16</v>
      </c>
      <c r="B312" s="0" t="s">
        <v>4107</v>
      </c>
      <c r="C312" s="0" t="s">
        <v>4108</v>
      </c>
      <c r="D312" s="0" t="s">
        <v>4109</v>
      </c>
      <c r="E312" s="0" t="s">
        <v>4110</v>
      </c>
      <c r="F312" s="0" t="s">
        <v>3257</v>
      </c>
      <c r="G312" s="0" t="s">
        <v>4111</v>
      </c>
    </row>
    <row customHeight="1" ht="11.25">
      <c r="A313" s="657" t="s">
        <v>16</v>
      </c>
      <c r="B313" s="0" t="s">
        <v>4107</v>
      </c>
      <c r="C313" s="0" t="s">
        <v>4108</v>
      </c>
      <c r="D313" s="0" t="s">
        <v>3581</v>
      </c>
      <c r="E313" s="0" t="s">
        <v>4112</v>
      </c>
      <c r="F313" s="0" t="s">
        <v>3257</v>
      </c>
      <c r="G313" s="0" t="s">
        <v>4113</v>
      </c>
    </row>
    <row customHeight="1" ht="11.25">
      <c r="A314" s="657" t="s">
        <v>16</v>
      </c>
      <c r="B314" s="0" t="s">
        <v>4107</v>
      </c>
      <c r="C314" s="0" t="s">
        <v>4108</v>
      </c>
      <c r="D314" s="0" t="s">
        <v>4114</v>
      </c>
      <c r="E314" s="0" t="s">
        <v>4115</v>
      </c>
      <c r="F314" s="0" t="s">
        <v>3257</v>
      </c>
      <c r="G314" s="0" t="s">
        <v>4116</v>
      </c>
    </row>
    <row customHeight="1" ht="11.25">
      <c r="A315" s="657" t="s">
        <v>16</v>
      </c>
      <c r="B315" s="0" t="s">
        <v>4107</v>
      </c>
      <c r="C315" s="0" t="s">
        <v>4108</v>
      </c>
      <c r="D315" s="0" t="s">
        <v>3617</v>
      </c>
      <c r="E315" s="0" t="s">
        <v>4117</v>
      </c>
      <c r="F315" s="0" t="s">
        <v>3257</v>
      </c>
      <c r="G315" s="0" t="s">
        <v>4118</v>
      </c>
    </row>
    <row customHeight="1" ht="11.25">
      <c r="A316" s="657" t="s">
        <v>16</v>
      </c>
      <c r="B316" s="0" t="s">
        <v>4107</v>
      </c>
      <c r="C316" s="0" t="s">
        <v>4108</v>
      </c>
      <c r="D316" s="0" t="s">
        <v>3591</v>
      </c>
      <c r="E316" s="0" t="s">
        <v>4119</v>
      </c>
      <c r="F316" s="0" t="s">
        <v>3257</v>
      </c>
      <c r="G316" s="0" t="s">
        <v>4120</v>
      </c>
    </row>
    <row customHeight="1" ht="11.25">
      <c r="A317" s="657" t="s">
        <v>16</v>
      </c>
      <c r="B317" s="0" t="s">
        <v>4107</v>
      </c>
      <c r="C317" s="0" t="s">
        <v>4108</v>
      </c>
      <c r="D317" s="0" t="s">
        <v>4121</v>
      </c>
      <c r="E317" s="0" t="s">
        <v>4122</v>
      </c>
      <c r="F317" s="0" t="s">
        <v>3257</v>
      </c>
      <c r="G317" s="0" t="s">
        <v>4123</v>
      </c>
    </row>
    <row customHeight="1" ht="11.25">
      <c r="A318" s="657" t="s">
        <v>16</v>
      </c>
      <c r="B318" s="0" t="s">
        <v>4107</v>
      </c>
      <c r="C318" s="0" t="s">
        <v>4108</v>
      </c>
      <c r="D318" s="0" t="s">
        <v>4124</v>
      </c>
      <c r="E318" s="0" t="s">
        <v>4125</v>
      </c>
      <c r="F318" s="0" t="s">
        <v>3257</v>
      </c>
      <c r="G318" s="0" t="s">
        <v>4126</v>
      </c>
    </row>
    <row customHeight="1" ht="11.25">
      <c r="A319" s="657" t="s">
        <v>16</v>
      </c>
      <c r="B319" s="0" t="s">
        <v>4107</v>
      </c>
      <c r="C319" s="0" t="s">
        <v>4108</v>
      </c>
      <c r="D319" s="0" t="s">
        <v>4127</v>
      </c>
      <c r="E319" s="0" t="s">
        <v>4128</v>
      </c>
      <c r="F319" s="0" t="s">
        <v>3257</v>
      </c>
      <c r="G319" s="0" t="s">
        <v>4129</v>
      </c>
    </row>
    <row customHeight="1" ht="11.25">
      <c r="A320" s="657" t="s">
        <v>16</v>
      </c>
      <c r="B320" s="0" t="s">
        <v>4107</v>
      </c>
      <c r="C320" s="0" t="s">
        <v>4108</v>
      </c>
      <c r="D320" s="0" t="s">
        <v>4107</v>
      </c>
      <c r="E320" s="0" t="s">
        <v>4108</v>
      </c>
      <c r="F320" s="0" t="s">
        <v>3254</v>
      </c>
      <c r="G320" s="0" t="s">
        <v>4130</v>
      </c>
    </row>
    <row customHeight="1" ht="11.25">
      <c r="A321" s="657" t="s">
        <v>16</v>
      </c>
      <c r="B321" s="0" t="s">
        <v>4107</v>
      </c>
      <c r="C321" s="0" t="s">
        <v>4108</v>
      </c>
      <c r="D321" s="0" t="s">
        <v>3930</v>
      </c>
      <c r="E321" s="0" t="s">
        <v>4131</v>
      </c>
      <c r="F321" s="0" t="s">
        <v>3257</v>
      </c>
      <c r="G321" s="0" t="s">
        <v>4132</v>
      </c>
    </row>
    <row customHeight="1" ht="11.25">
      <c r="A322" s="657" t="s">
        <v>16</v>
      </c>
      <c r="B322" s="0" t="s">
        <v>4107</v>
      </c>
      <c r="C322" s="0" t="s">
        <v>4108</v>
      </c>
      <c r="D322" s="0" t="s">
        <v>4133</v>
      </c>
      <c r="E322" s="0" t="s">
        <v>4134</v>
      </c>
      <c r="F322" s="0" t="s">
        <v>3257</v>
      </c>
      <c r="G322" s="0" t="s">
        <v>4135</v>
      </c>
    </row>
    <row customHeight="1" ht="11.25">
      <c r="A323" s="657" t="s">
        <v>16</v>
      </c>
      <c r="B323" s="0" t="s">
        <v>4107</v>
      </c>
      <c r="C323" s="0" t="s">
        <v>4108</v>
      </c>
      <c r="D323" s="0" t="s">
        <v>3790</v>
      </c>
      <c r="E323" s="0" t="s">
        <v>4136</v>
      </c>
      <c r="F323" s="0" t="s">
        <v>3257</v>
      </c>
      <c r="G323" s="0" t="s">
        <v>4137</v>
      </c>
    </row>
    <row customHeight="1" ht="11.25">
      <c r="A324" s="657" t="s">
        <v>16</v>
      </c>
      <c r="B324" s="0" t="s">
        <v>4138</v>
      </c>
      <c r="C324" s="0" t="s">
        <v>4139</v>
      </c>
      <c r="D324" s="0" t="s">
        <v>4140</v>
      </c>
      <c r="E324" s="0" t="s">
        <v>4141</v>
      </c>
      <c r="F324" s="0" t="s">
        <v>3257</v>
      </c>
      <c r="G324" s="0" t="s">
        <v>4142</v>
      </c>
    </row>
    <row customHeight="1" ht="11.25">
      <c r="A325" s="657" t="s">
        <v>16</v>
      </c>
      <c r="B325" s="0" t="s">
        <v>4138</v>
      </c>
      <c r="C325" s="0" t="s">
        <v>4139</v>
      </c>
      <c r="D325" s="0" t="s">
        <v>3494</v>
      </c>
      <c r="E325" s="0" t="s">
        <v>4143</v>
      </c>
      <c r="F325" s="0" t="s">
        <v>3257</v>
      </c>
      <c r="G325" s="0" t="s">
        <v>4144</v>
      </c>
    </row>
    <row customHeight="1" ht="11.25">
      <c r="A326" s="657" t="s">
        <v>16</v>
      </c>
      <c r="B326" s="0" t="s">
        <v>4138</v>
      </c>
      <c r="C326" s="0" t="s">
        <v>4139</v>
      </c>
      <c r="D326" s="0" t="s">
        <v>4145</v>
      </c>
      <c r="E326" s="0" t="s">
        <v>4146</v>
      </c>
      <c r="F326" s="0" t="s">
        <v>3257</v>
      </c>
      <c r="G326" s="0" t="s">
        <v>4147</v>
      </c>
    </row>
    <row customHeight="1" ht="11.25">
      <c r="A327" s="657" t="s">
        <v>16</v>
      </c>
      <c r="B327" s="0" t="s">
        <v>4138</v>
      </c>
      <c r="C327" s="0" t="s">
        <v>4139</v>
      </c>
      <c r="D327" s="0" t="s">
        <v>4148</v>
      </c>
      <c r="E327" s="0" t="s">
        <v>4149</v>
      </c>
      <c r="F327" s="0" t="s">
        <v>3257</v>
      </c>
      <c r="G327" s="0" t="s">
        <v>4150</v>
      </c>
    </row>
    <row customHeight="1" ht="11.25">
      <c r="A328" s="657" t="s">
        <v>16</v>
      </c>
      <c r="B328" s="0" t="s">
        <v>4138</v>
      </c>
      <c r="C328" s="0" t="s">
        <v>4139</v>
      </c>
      <c r="D328" s="0" t="s">
        <v>4151</v>
      </c>
      <c r="E328" s="0" t="s">
        <v>4152</v>
      </c>
      <c r="F328" s="0" t="s">
        <v>3257</v>
      </c>
      <c r="G328" s="0" t="s">
        <v>4153</v>
      </c>
    </row>
    <row customHeight="1" ht="11.25">
      <c r="A329" s="657" t="s">
        <v>16</v>
      </c>
      <c r="B329" s="0" t="s">
        <v>4138</v>
      </c>
      <c r="C329" s="0" t="s">
        <v>4139</v>
      </c>
      <c r="D329" s="0" t="s">
        <v>4138</v>
      </c>
      <c r="E329" s="0" t="s">
        <v>4139</v>
      </c>
      <c r="F329" s="0" t="s">
        <v>3254</v>
      </c>
      <c r="G329" s="0" t="s">
        <v>4154</v>
      </c>
    </row>
    <row customHeight="1" ht="11.25">
      <c r="A330" s="657" t="s">
        <v>16</v>
      </c>
      <c r="B330" s="0" t="s">
        <v>4138</v>
      </c>
      <c r="C330" s="0" t="s">
        <v>4139</v>
      </c>
      <c r="D330" s="0" t="s">
        <v>4155</v>
      </c>
      <c r="E330" s="0" t="s">
        <v>4156</v>
      </c>
      <c r="F330" s="0" t="s">
        <v>3257</v>
      </c>
      <c r="G330" s="0" t="s">
        <v>4157</v>
      </c>
    </row>
    <row customHeight="1" ht="11.25">
      <c r="A331" s="657" t="s">
        <v>16</v>
      </c>
      <c r="B331" s="0" t="s">
        <v>4138</v>
      </c>
      <c r="C331" s="0" t="s">
        <v>4139</v>
      </c>
      <c r="D331" s="0" t="s">
        <v>4158</v>
      </c>
      <c r="E331" s="0" t="s">
        <v>4159</v>
      </c>
      <c r="F331" s="0" t="s">
        <v>3257</v>
      </c>
      <c r="G331" s="0" t="s">
        <v>4160</v>
      </c>
    </row>
    <row customHeight="1" ht="11.25">
      <c r="A332" s="657" t="s">
        <v>16</v>
      </c>
      <c r="B332" s="0" t="s">
        <v>4138</v>
      </c>
      <c r="C332" s="0" t="s">
        <v>4139</v>
      </c>
      <c r="D332" s="0" t="s">
        <v>4161</v>
      </c>
      <c r="E332" s="0" t="s">
        <v>4162</v>
      </c>
      <c r="F332" s="0" t="s">
        <v>3257</v>
      </c>
      <c r="G332" s="0" t="s">
        <v>4163</v>
      </c>
    </row>
    <row customHeight="1" ht="11.25">
      <c r="A333" s="657" t="s">
        <v>16</v>
      </c>
      <c r="B333" s="0" t="s">
        <v>4138</v>
      </c>
      <c r="C333" s="0" t="s">
        <v>4139</v>
      </c>
      <c r="D333" s="0" t="s">
        <v>4164</v>
      </c>
      <c r="E333" s="0" t="s">
        <v>4165</v>
      </c>
      <c r="F333" s="0" t="s">
        <v>3257</v>
      </c>
      <c r="G333" s="0" t="s">
        <v>4166</v>
      </c>
    </row>
    <row customHeight="1" ht="11.25">
      <c r="A334" s="657" t="s">
        <v>16</v>
      </c>
      <c r="B334" s="0" t="s">
        <v>4167</v>
      </c>
      <c r="C334" s="0" t="s">
        <v>4168</v>
      </c>
      <c r="D334" s="0" t="s">
        <v>4169</v>
      </c>
      <c r="E334" s="0" t="s">
        <v>4170</v>
      </c>
      <c r="F334" s="0" t="s">
        <v>3257</v>
      </c>
      <c r="G334" s="0" t="s">
        <v>4171</v>
      </c>
    </row>
    <row customHeight="1" ht="11.25">
      <c r="A335" s="657" t="s">
        <v>16</v>
      </c>
      <c r="B335" s="0" t="s">
        <v>4167</v>
      </c>
      <c r="C335" s="0" t="s">
        <v>4168</v>
      </c>
      <c r="D335" s="0" t="s">
        <v>4172</v>
      </c>
      <c r="E335" s="0" t="s">
        <v>4173</v>
      </c>
      <c r="F335" s="0" t="s">
        <v>3257</v>
      </c>
      <c r="G335" s="0" t="s">
        <v>4174</v>
      </c>
    </row>
    <row customHeight="1" ht="11.25">
      <c r="A336" s="657" t="s">
        <v>16</v>
      </c>
      <c r="B336" s="0" t="s">
        <v>4167</v>
      </c>
      <c r="C336" s="0" t="s">
        <v>4168</v>
      </c>
      <c r="D336" s="0" t="s">
        <v>4175</v>
      </c>
      <c r="E336" s="0" t="s">
        <v>4176</v>
      </c>
      <c r="F336" s="0" t="s">
        <v>3257</v>
      </c>
      <c r="G336" s="0" t="s">
        <v>4177</v>
      </c>
    </row>
    <row customHeight="1" ht="11.25">
      <c r="A337" s="657" t="s">
        <v>16</v>
      </c>
      <c r="B337" s="0" t="s">
        <v>4167</v>
      </c>
      <c r="C337" s="0" t="s">
        <v>4168</v>
      </c>
      <c r="D337" s="0" t="s">
        <v>4178</v>
      </c>
      <c r="E337" s="0" t="s">
        <v>4179</v>
      </c>
      <c r="F337" s="0" t="s">
        <v>3257</v>
      </c>
      <c r="G337" s="0" t="s">
        <v>4180</v>
      </c>
    </row>
    <row customHeight="1" ht="11.25">
      <c r="A338" s="657" t="s">
        <v>16</v>
      </c>
      <c r="B338" s="0" t="s">
        <v>4167</v>
      </c>
      <c r="C338" s="0" t="s">
        <v>4168</v>
      </c>
      <c r="D338" s="0" t="s">
        <v>3750</v>
      </c>
      <c r="E338" s="0" t="s">
        <v>4181</v>
      </c>
      <c r="F338" s="0" t="s">
        <v>3257</v>
      </c>
      <c r="G338" s="0" t="s">
        <v>4182</v>
      </c>
    </row>
    <row customHeight="1" ht="11.25">
      <c r="A339" s="657" t="s">
        <v>16</v>
      </c>
      <c r="B339" s="0" t="s">
        <v>4167</v>
      </c>
      <c r="C339" s="0" t="s">
        <v>4168</v>
      </c>
      <c r="D339" s="0" t="s">
        <v>4183</v>
      </c>
      <c r="E339" s="0" t="s">
        <v>4184</v>
      </c>
      <c r="F339" s="0" t="s">
        <v>3257</v>
      </c>
      <c r="G339" s="0" t="s">
        <v>4185</v>
      </c>
    </row>
    <row customHeight="1" ht="11.25">
      <c r="A340" s="657" t="s">
        <v>16</v>
      </c>
      <c r="B340" s="0" t="s">
        <v>4167</v>
      </c>
      <c r="C340" s="0" t="s">
        <v>4168</v>
      </c>
      <c r="D340" s="0" t="s">
        <v>4186</v>
      </c>
      <c r="E340" s="0" t="s">
        <v>4187</v>
      </c>
      <c r="F340" s="0" t="s">
        <v>3257</v>
      </c>
      <c r="G340" s="0" t="s">
        <v>4188</v>
      </c>
    </row>
    <row customHeight="1" ht="11.25">
      <c r="A341" s="657" t="s">
        <v>16</v>
      </c>
      <c r="B341" s="0" t="s">
        <v>4167</v>
      </c>
      <c r="C341" s="0" t="s">
        <v>4168</v>
      </c>
      <c r="D341" s="0" t="s">
        <v>4167</v>
      </c>
      <c r="E341" s="0" t="s">
        <v>4168</v>
      </c>
      <c r="F341" s="0" t="s">
        <v>3254</v>
      </c>
      <c r="G341" s="0" t="s">
        <v>4189</v>
      </c>
    </row>
    <row customHeight="1" ht="11.25">
      <c r="A342" s="657" t="s">
        <v>16</v>
      </c>
      <c r="B342" s="0" t="s">
        <v>4167</v>
      </c>
      <c r="C342" s="0" t="s">
        <v>4168</v>
      </c>
      <c r="D342" s="0" t="s">
        <v>4190</v>
      </c>
      <c r="E342" s="0" t="s">
        <v>4191</v>
      </c>
      <c r="F342" s="0" t="s">
        <v>3296</v>
      </c>
      <c r="G342" s="0" t="s">
        <v>4192</v>
      </c>
    </row>
    <row customHeight="1" ht="11.25">
      <c r="A343" s="657" t="s">
        <v>16</v>
      </c>
      <c r="B343" s="0" t="s">
        <v>4167</v>
      </c>
      <c r="C343" s="0" t="s">
        <v>4168</v>
      </c>
      <c r="D343" s="0" t="s">
        <v>4193</v>
      </c>
      <c r="E343" s="0" t="s">
        <v>4194</v>
      </c>
      <c r="F343" s="0" t="s">
        <v>3257</v>
      </c>
      <c r="G343" s="0" t="s">
        <v>4195</v>
      </c>
    </row>
    <row customHeight="1" ht="11.25">
      <c r="A344" s="657" t="s">
        <v>16</v>
      </c>
      <c r="B344" s="0" t="s">
        <v>4167</v>
      </c>
      <c r="C344" s="0" t="s">
        <v>4168</v>
      </c>
      <c r="D344" s="0" t="s">
        <v>4196</v>
      </c>
      <c r="E344" s="0" t="s">
        <v>4197</v>
      </c>
      <c r="F344" s="0" t="s">
        <v>3257</v>
      </c>
      <c r="G344" s="0" t="s">
        <v>4198</v>
      </c>
    </row>
    <row customHeight="1" ht="11.25">
      <c r="A345" s="657" t="s">
        <v>16</v>
      </c>
      <c r="B345" s="0" t="s">
        <v>4199</v>
      </c>
      <c r="C345" s="0" t="s">
        <v>4200</v>
      </c>
      <c r="D345" s="0" t="s">
        <v>4201</v>
      </c>
      <c r="E345" s="0" t="s">
        <v>4202</v>
      </c>
      <c r="F345" s="0" t="s">
        <v>3257</v>
      </c>
      <c r="G345" s="0" t="s">
        <v>4203</v>
      </c>
    </row>
    <row customHeight="1" ht="11.25">
      <c r="A346" s="657" t="s">
        <v>16</v>
      </c>
      <c r="B346" s="0" t="s">
        <v>4199</v>
      </c>
      <c r="C346" s="0" t="s">
        <v>4200</v>
      </c>
      <c r="D346" s="0" t="s">
        <v>4204</v>
      </c>
      <c r="E346" s="0" t="s">
        <v>4205</v>
      </c>
      <c r="F346" s="0" t="s">
        <v>3257</v>
      </c>
      <c r="G346" s="0" t="s">
        <v>4206</v>
      </c>
    </row>
    <row customHeight="1" ht="11.25">
      <c r="A347" s="657" t="s">
        <v>16</v>
      </c>
      <c r="B347" s="0" t="s">
        <v>4199</v>
      </c>
      <c r="C347" s="0" t="s">
        <v>4200</v>
      </c>
      <c r="D347" s="0" t="s">
        <v>3645</v>
      </c>
      <c r="E347" s="0" t="s">
        <v>4207</v>
      </c>
      <c r="F347" s="0" t="s">
        <v>3257</v>
      </c>
      <c r="G347" s="0" t="s">
        <v>4208</v>
      </c>
    </row>
    <row customHeight="1" ht="11.25">
      <c r="A348" s="657" t="s">
        <v>16</v>
      </c>
      <c r="B348" s="0" t="s">
        <v>4199</v>
      </c>
      <c r="C348" s="0" t="s">
        <v>4200</v>
      </c>
      <c r="D348" s="0" t="s">
        <v>3720</v>
      </c>
      <c r="E348" s="0" t="s">
        <v>4209</v>
      </c>
      <c r="F348" s="0" t="s">
        <v>3257</v>
      </c>
      <c r="G348" s="0" t="s">
        <v>4210</v>
      </c>
    </row>
    <row customHeight="1" ht="11.25">
      <c r="A349" s="657" t="s">
        <v>16</v>
      </c>
      <c r="B349" s="0" t="s">
        <v>4199</v>
      </c>
      <c r="C349" s="0" t="s">
        <v>4200</v>
      </c>
      <c r="D349" s="0" t="s">
        <v>4211</v>
      </c>
      <c r="E349" s="0" t="s">
        <v>4212</v>
      </c>
      <c r="F349" s="0" t="s">
        <v>3257</v>
      </c>
      <c r="G349" s="0" t="s">
        <v>4213</v>
      </c>
    </row>
    <row customHeight="1" ht="11.25">
      <c r="A350" s="657" t="s">
        <v>16</v>
      </c>
      <c r="B350" s="0" t="s">
        <v>4199</v>
      </c>
      <c r="C350" s="0" t="s">
        <v>4200</v>
      </c>
      <c r="D350" s="0" t="s">
        <v>4214</v>
      </c>
      <c r="E350" s="0" t="s">
        <v>4215</v>
      </c>
      <c r="F350" s="0" t="s">
        <v>3257</v>
      </c>
      <c r="G350" s="0" t="s">
        <v>4216</v>
      </c>
    </row>
    <row customHeight="1" ht="11.25">
      <c r="A351" s="657" t="s">
        <v>16</v>
      </c>
      <c r="B351" s="0" t="s">
        <v>4199</v>
      </c>
      <c r="C351" s="0" t="s">
        <v>4200</v>
      </c>
      <c r="D351" s="0" t="s">
        <v>3723</v>
      </c>
      <c r="E351" s="0" t="s">
        <v>4217</v>
      </c>
      <c r="F351" s="0" t="s">
        <v>3257</v>
      </c>
      <c r="G351" s="0" t="s">
        <v>4218</v>
      </c>
    </row>
    <row customHeight="1" ht="11.25">
      <c r="A352" s="657" t="s">
        <v>16</v>
      </c>
      <c r="B352" s="0" t="s">
        <v>4199</v>
      </c>
      <c r="C352" s="0" t="s">
        <v>4200</v>
      </c>
      <c r="D352" s="0" t="s">
        <v>4219</v>
      </c>
      <c r="E352" s="0" t="s">
        <v>4220</v>
      </c>
      <c r="F352" s="0" t="s">
        <v>3257</v>
      </c>
      <c r="G352" s="0" t="s">
        <v>4221</v>
      </c>
    </row>
    <row customHeight="1" ht="11.25">
      <c r="A353" s="657" t="s">
        <v>16</v>
      </c>
      <c r="B353" s="0" t="s">
        <v>4199</v>
      </c>
      <c r="C353" s="0" t="s">
        <v>4200</v>
      </c>
      <c r="D353" s="0" t="s">
        <v>4222</v>
      </c>
      <c r="E353" s="0" t="s">
        <v>4223</v>
      </c>
      <c r="F353" s="0" t="s">
        <v>3257</v>
      </c>
      <c r="G353" s="0" t="s">
        <v>4224</v>
      </c>
    </row>
    <row customHeight="1" ht="11.25">
      <c r="A354" s="657" t="s">
        <v>16</v>
      </c>
      <c r="B354" s="0" t="s">
        <v>4199</v>
      </c>
      <c r="C354" s="0" t="s">
        <v>4200</v>
      </c>
      <c r="D354" s="0" t="s">
        <v>4199</v>
      </c>
      <c r="E354" s="0" t="s">
        <v>4200</v>
      </c>
      <c r="F354" s="0" t="s">
        <v>3254</v>
      </c>
      <c r="G354" s="0" t="s">
        <v>4225</v>
      </c>
    </row>
    <row customHeight="1" ht="11.25">
      <c r="A355" s="657" t="s">
        <v>16</v>
      </c>
      <c r="B355" s="0" t="s">
        <v>4199</v>
      </c>
      <c r="C355" s="0" t="s">
        <v>4200</v>
      </c>
      <c r="D355" s="0" t="s">
        <v>4226</v>
      </c>
      <c r="E355" s="0" t="s">
        <v>4227</v>
      </c>
      <c r="F355" s="0" t="s">
        <v>3257</v>
      </c>
      <c r="G355" s="0" t="s">
        <v>4228</v>
      </c>
    </row>
    <row customHeight="1" ht="11.25">
      <c r="A356" s="657" t="s">
        <v>16</v>
      </c>
      <c r="B356" s="0" t="s">
        <v>4229</v>
      </c>
      <c r="C356" s="0" t="s">
        <v>4230</v>
      </c>
      <c r="D356" s="0" t="s">
        <v>4231</v>
      </c>
      <c r="E356" s="0" t="s">
        <v>4232</v>
      </c>
      <c r="F356" s="0" t="s">
        <v>3257</v>
      </c>
      <c r="G356" s="0" t="s">
        <v>4233</v>
      </c>
    </row>
    <row customHeight="1" ht="11.25">
      <c r="A357" s="657" t="s">
        <v>16</v>
      </c>
      <c r="B357" s="0" t="s">
        <v>4229</v>
      </c>
      <c r="C357" s="0" t="s">
        <v>4230</v>
      </c>
      <c r="D357" s="0" t="s">
        <v>4234</v>
      </c>
      <c r="E357" s="0" t="s">
        <v>4235</v>
      </c>
      <c r="F357" s="0" t="s">
        <v>3257</v>
      </c>
      <c r="G357" s="0" t="s">
        <v>4236</v>
      </c>
    </row>
    <row customHeight="1" ht="11.25">
      <c r="A358" s="657" t="s">
        <v>16</v>
      </c>
      <c r="B358" s="0" t="s">
        <v>4229</v>
      </c>
      <c r="C358" s="0" t="s">
        <v>4230</v>
      </c>
      <c r="D358" s="0" t="s">
        <v>4237</v>
      </c>
      <c r="E358" s="0" t="s">
        <v>4238</v>
      </c>
      <c r="F358" s="0" t="s">
        <v>3257</v>
      </c>
      <c r="G358" s="0" t="s">
        <v>4239</v>
      </c>
    </row>
    <row customHeight="1" ht="11.25">
      <c r="A359" s="657" t="s">
        <v>16</v>
      </c>
      <c r="B359" s="0" t="s">
        <v>4229</v>
      </c>
      <c r="C359" s="0" t="s">
        <v>4230</v>
      </c>
      <c r="D359" s="0" t="s">
        <v>3879</v>
      </c>
      <c r="E359" s="0" t="s">
        <v>4240</v>
      </c>
      <c r="F359" s="0" t="s">
        <v>3257</v>
      </c>
      <c r="G359" s="0" t="s">
        <v>4241</v>
      </c>
    </row>
    <row customHeight="1" ht="11.25">
      <c r="A360" s="657" t="s">
        <v>16</v>
      </c>
      <c r="B360" s="0" t="s">
        <v>4229</v>
      </c>
      <c r="C360" s="0" t="s">
        <v>4230</v>
      </c>
      <c r="D360" s="0" t="s">
        <v>3623</v>
      </c>
      <c r="E360" s="0" t="s">
        <v>4242</v>
      </c>
      <c r="F360" s="0" t="s">
        <v>3257</v>
      </c>
      <c r="G360" s="0" t="s">
        <v>4243</v>
      </c>
    </row>
    <row customHeight="1" ht="11.25">
      <c r="A361" s="657" t="s">
        <v>16</v>
      </c>
      <c r="B361" s="0" t="s">
        <v>4229</v>
      </c>
      <c r="C361" s="0" t="s">
        <v>4230</v>
      </c>
      <c r="D361" s="0" t="s">
        <v>4229</v>
      </c>
      <c r="E361" s="0" t="s">
        <v>4230</v>
      </c>
      <c r="F361" s="0" t="s">
        <v>3254</v>
      </c>
      <c r="G361" s="0" t="s">
        <v>4244</v>
      </c>
    </row>
    <row customHeight="1" ht="11.25">
      <c r="A362" s="657" t="s">
        <v>16</v>
      </c>
      <c r="B362" s="0" t="s">
        <v>4229</v>
      </c>
      <c r="C362" s="0" t="s">
        <v>4230</v>
      </c>
      <c r="D362" s="0" t="s">
        <v>4245</v>
      </c>
      <c r="E362" s="0" t="s">
        <v>4246</v>
      </c>
      <c r="F362" s="0" t="s">
        <v>3257</v>
      </c>
      <c r="G362" s="0" t="s">
        <v>4247</v>
      </c>
    </row>
    <row customHeight="1" ht="11.25">
      <c r="A363" s="657" t="s">
        <v>16</v>
      </c>
      <c r="B363" s="0" t="s">
        <v>4248</v>
      </c>
      <c r="C363" s="0" t="s">
        <v>4249</v>
      </c>
      <c r="D363" s="0" t="s">
        <v>4169</v>
      </c>
      <c r="E363" s="0" t="s">
        <v>4250</v>
      </c>
      <c r="F363" s="0" t="s">
        <v>3257</v>
      </c>
      <c r="G363" s="0" t="s">
        <v>4251</v>
      </c>
    </row>
    <row customHeight="1" ht="11.25">
      <c r="A364" s="657" t="s">
        <v>16</v>
      </c>
      <c r="B364" s="0" t="s">
        <v>4248</v>
      </c>
      <c r="C364" s="0" t="s">
        <v>4249</v>
      </c>
      <c r="D364" s="0" t="s">
        <v>4252</v>
      </c>
      <c r="E364" s="0" t="s">
        <v>4253</v>
      </c>
      <c r="F364" s="0" t="s">
        <v>3257</v>
      </c>
      <c r="G364" s="0" t="s">
        <v>4254</v>
      </c>
    </row>
    <row customHeight="1" ht="11.25">
      <c r="A365" s="657" t="s">
        <v>16</v>
      </c>
      <c r="B365" s="0" t="s">
        <v>4248</v>
      </c>
      <c r="C365" s="0" t="s">
        <v>4249</v>
      </c>
      <c r="D365" s="0" t="s">
        <v>3858</v>
      </c>
      <c r="E365" s="0" t="s">
        <v>4255</v>
      </c>
      <c r="F365" s="0" t="s">
        <v>3257</v>
      </c>
      <c r="G365" s="0" t="s">
        <v>4256</v>
      </c>
    </row>
    <row customHeight="1" ht="11.25">
      <c r="A366" s="657" t="s">
        <v>16</v>
      </c>
      <c r="B366" s="0" t="s">
        <v>4248</v>
      </c>
      <c r="C366" s="0" t="s">
        <v>4249</v>
      </c>
      <c r="D366" s="0" t="s">
        <v>4257</v>
      </c>
      <c r="E366" s="0" t="s">
        <v>4258</v>
      </c>
      <c r="F366" s="0" t="s">
        <v>3257</v>
      </c>
      <c r="G366" s="0" t="s">
        <v>4259</v>
      </c>
    </row>
    <row customHeight="1" ht="11.25">
      <c r="A367" s="657" t="s">
        <v>16</v>
      </c>
      <c r="B367" s="0" t="s">
        <v>4248</v>
      </c>
      <c r="C367" s="0" t="s">
        <v>4249</v>
      </c>
      <c r="D367" s="0" t="s">
        <v>4260</v>
      </c>
      <c r="E367" s="0" t="s">
        <v>4261</v>
      </c>
      <c r="F367" s="0" t="s">
        <v>3257</v>
      </c>
      <c r="G367" s="0" t="s">
        <v>4262</v>
      </c>
    </row>
    <row customHeight="1" ht="11.25">
      <c r="A368" s="657" t="s">
        <v>16</v>
      </c>
      <c r="B368" s="0" t="s">
        <v>4248</v>
      </c>
      <c r="C368" s="0" t="s">
        <v>4249</v>
      </c>
      <c r="D368" s="0" t="s">
        <v>3327</v>
      </c>
      <c r="E368" s="0" t="s">
        <v>4263</v>
      </c>
      <c r="F368" s="0" t="s">
        <v>3257</v>
      </c>
      <c r="G368" s="0" t="s">
        <v>4264</v>
      </c>
    </row>
    <row customHeight="1" ht="11.25">
      <c r="A369" s="657" t="s">
        <v>16</v>
      </c>
      <c r="B369" s="0" t="s">
        <v>4248</v>
      </c>
      <c r="C369" s="0" t="s">
        <v>4249</v>
      </c>
      <c r="D369" s="0" t="s">
        <v>4265</v>
      </c>
      <c r="E369" s="0" t="s">
        <v>4266</v>
      </c>
      <c r="F369" s="0" t="s">
        <v>3257</v>
      </c>
      <c r="G369" s="0" t="s">
        <v>4267</v>
      </c>
    </row>
    <row customHeight="1" ht="11.25">
      <c r="A370" s="657" t="s">
        <v>16</v>
      </c>
      <c r="B370" s="0" t="s">
        <v>4248</v>
      </c>
      <c r="C370" s="0" t="s">
        <v>4249</v>
      </c>
      <c r="D370" s="0" t="s">
        <v>4268</v>
      </c>
      <c r="E370" s="0" t="s">
        <v>4269</v>
      </c>
      <c r="F370" s="0" t="s">
        <v>3257</v>
      </c>
      <c r="G370" s="0" t="s">
        <v>4270</v>
      </c>
    </row>
    <row customHeight="1" ht="11.25">
      <c r="A371" s="657" t="s">
        <v>16</v>
      </c>
      <c r="B371" s="0" t="s">
        <v>4248</v>
      </c>
      <c r="C371" s="0" t="s">
        <v>4249</v>
      </c>
      <c r="D371" s="0" t="s">
        <v>4248</v>
      </c>
      <c r="E371" s="0" t="s">
        <v>4249</v>
      </c>
      <c r="F371" s="0" t="s">
        <v>3254</v>
      </c>
      <c r="G371" s="0" t="s">
        <v>4271</v>
      </c>
    </row>
    <row customHeight="1" ht="11.25">
      <c r="A372" s="657" t="s">
        <v>16</v>
      </c>
      <c r="B372" s="0" t="s">
        <v>4248</v>
      </c>
      <c r="C372" s="0" t="s">
        <v>4249</v>
      </c>
      <c r="D372" s="0" t="s">
        <v>4272</v>
      </c>
      <c r="E372" s="0" t="s">
        <v>4273</v>
      </c>
      <c r="F372" s="0" t="s">
        <v>3296</v>
      </c>
      <c r="G372" s="0" t="s">
        <v>4274</v>
      </c>
    </row>
    <row customHeight="1" ht="11.25">
      <c r="A373" s="657" t="s">
        <v>16</v>
      </c>
      <c r="B373" s="0" t="s">
        <v>4248</v>
      </c>
      <c r="C373" s="0" t="s">
        <v>4249</v>
      </c>
      <c r="D373" s="0" t="s">
        <v>4275</v>
      </c>
      <c r="E373" s="0" t="s">
        <v>4276</v>
      </c>
      <c r="F373" s="0" t="s">
        <v>3257</v>
      </c>
      <c r="G373" s="0" t="s">
        <v>4277</v>
      </c>
    </row>
    <row customHeight="1" ht="11.25">
      <c r="A374" s="657" t="s">
        <v>16</v>
      </c>
      <c r="B374" s="0" t="s">
        <v>4248</v>
      </c>
      <c r="C374" s="0" t="s">
        <v>4249</v>
      </c>
      <c r="D374" s="0" t="s">
        <v>4278</v>
      </c>
      <c r="E374" s="0" t="s">
        <v>4279</v>
      </c>
      <c r="F374" s="0" t="s">
        <v>3257</v>
      </c>
      <c r="G374" s="0" t="s">
        <v>4280</v>
      </c>
    </row>
    <row customHeight="1" ht="11.25">
      <c r="A375" s="657" t="s">
        <v>16</v>
      </c>
      <c r="B375" s="0" t="s">
        <v>4281</v>
      </c>
      <c r="C375" s="0" t="s">
        <v>4282</v>
      </c>
      <c r="D375" s="0" t="s">
        <v>4283</v>
      </c>
      <c r="E375" s="0" t="s">
        <v>4284</v>
      </c>
      <c r="F375" s="0" t="s">
        <v>3257</v>
      </c>
      <c r="G375" s="0" t="s">
        <v>4285</v>
      </c>
    </row>
    <row customHeight="1" ht="11.25">
      <c r="A376" s="657" t="s">
        <v>16</v>
      </c>
      <c r="B376" s="0" t="s">
        <v>4281</v>
      </c>
      <c r="C376" s="0" t="s">
        <v>4282</v>
      </c>
      <c r="D376" s="0" t="s">
        <v>4286</v>
      </c>
      <c r="E376" s="0" t="s">
        <v>4287</v>
      </c>
      <c r="F376" s="0" t="s">
        <v>3257</v>
      </c>
      <c r="G376" s="0" t="s">
        <v>4288</v>
      </c>
    </row>
    <row customHeight="1" ht="11.25">
      <c r="A377" s="657" t="s">
        <v>16</v>
      </c>
      <c r="B377" s="0" t="s">
        <v>4281</v>
      </c>
      <c r="C377" s="0" t="s">
        <v>4282</v>
      </c>
      <c r="D377" s="0" t="s">
        <v>4289</v>
      </c>
      <c r="E377" s="0" t="s">
        <v>4290</v>
      </c>
      <c r="F377" s="0" t="s">
        <v>3257</v>
      </c>
      <c r="G377" s="0" t="s">
        <v>4291</v>
      </c>
    </row>
    <row customHeight="1" ht="11.25">
      <c r="A378" s="657" t="s">
        <v>16</v>
      </c>
      <c r="B378" s="0" t="s">
        <v>4281</v>
      </c>
      <c r="C378" s="0" t="s">
        <v>4282</v>
      </c>
      <c r="D378" s="0" t="s">
        <v>4292</v>
      </c>
      <c r="E378" s="0" t="s">
        <v>4293</v>
      </c>
      <c r="F378" s="0" t="s">
        <v>3257</v>
      </c>
      <c r="G378" s="0" t="s">
        <v>4294</v>
      </c>
    </row>
    <row customHeight="1" ht="11.25">
      <c r="A379" s="657" t="s">
        <v>16</v>
      </c>
      <c r="B379" s="0" t="s">
        <v>4281</v>
      </c>
      <c r="C379" s="0" t="s">
        <v>4282</v>
      </c>
      <c r="D379" s="0" t="s">
        <v>4295</v>
      </c>
      <c r="E379" s="0" t="s">
        <v>4296</v>
      </c>
      <c r="F379" s="0" t="s">
        <v>3257</v>
      </c>
      <c r="G379" s="0" t="s">
        <v>4297</v>
      </c>
    </row>
    <row customHeight="1" ht="11.25">
      <c r="A380" s="657" t="s">
        <v>16</v>
      </c>
      <c r="B380" s="0" t="s">
        <v>4281</v>
      </c>
      <c r="C380" s="0" t="s">
        <v>4282</v>
      </c>
      <c r="D380" s="0" t="s">
        <v>4298</v>
      </c>
      <c r="E380" s="0" t="s">
        <v>4299</v>
      </c>
      <c r="F380" s="0" t="s">
        <v>3257</v>
      </c>
      <c r="G380" s="0" t="s">
        <v>4300</v>
      </c>
    </row>
    <row customHeight="1" ht="11.25">
      <c r="A381" s="657" t="s">
        <v>16</v>
      </c>
      <c r="B381" s="0" t="s">
        <v>4281</v>
      </c>
      <c r="C381" s="0" t="s">
        <v>4282</v>
      </c>
      <c r="D381" s="0" t="s">
        <v>4301</v>
      </c>
      <c r="E381" s="0" t="s">
        <v>4302</v>
      </c>
      <c r="F381" s="0" t="s">
        <v>3257</v>
      </c>
      <c r="G381" s="0" t="s">
        <v>4303</v>
      </c>
    </row>
    <row customHeight="1" ht="11.25">
      <c r="A382" s="657" t="s">
        <v>16</v>
      </c>
      <c r="B382" s="0" t="s">
        <v>4281</v>
      </c>
      <c r="C382" s="0" t="s">
        <v>4282</v>
      </c>
      <c r="D382" s="0" t="s">
        <v>4281</v>
      </c>
      <c r="E382" s="0" t="s">
        <v>4282</v>
      </c>
      <c r="F382" s="0" t="s">
        <v>3254</v>
      </c>
      <c r="G382" s="0" t="s">
        <v>4304</v>
      </c>
    </row>
    <row customHeight="1" ht="11.25">
      <c r="A383" s="657" t="s">
        <v>16</v>
      </c>
      <c r="B383" s="0" t="s">
        <v>4281</v>
      </c>
      <c r="C383" s="0" t="s">
        <v>4282</v>
      </c>
      <c r="D383" s="0" t="s">
        <v>4305</v>
      </c>
      <c r="E383" s="0" t="s">
        <v>4306</v>
      </c>
      <c r="F383" s="0" t="s">
        <v>3296</v>
      </c>
      <c r="G383" s="0" t="s">
        <v>4307</v>
      </c>
    </row>
    <row customHeight="1" ht="11.25">
      <c r="A384" s="657" t="s">
        <v>16</v>
      </c>
      <c r="B384" s="0" t="s">
        <v>4281</v>
      </c>
      <c r="C384" s="0" t="s">
        <v>4282</v>
      </c>
      <c r="D384" s="0" t="s">
        <v>4308</v>
      </c>
      <c r="E384" s="0" t="s">
        <v>4309</v>
      </c>
      <c r="F384" s="0" t="s">
        <v>3257</v>
      </c>
      <c r="G384" s="0" t="s">
        <v>4310</v>
      </c>
    </row>
    <row customHeight="1" ht="11.25">
      <c r="A385" s="657" t="s">
        <v>16</v>
      </c>
      <c r="B385" s="0" t="s">
        <v>4281</v>
      </c>
      <c r="C385" s="0" t="s">
        <v>4282</v>
      </c>
      <c r="D385" s="0" t="s">
        <v>4311</v>
      </c>
      <c r="E385" s="0" t="s">
        <v>4312</v>
      </c>
      <c r="F385" s="0" t="s">
        <v>3257</v>
      </c>
      <c r="G385" s="0" t="s">
        <v>4313</v>
      </c>
    </row>
    <row customHeight="1" ht="11.25">
      <c r="A386" s="657" t="s">
        <v>16</v>
      </c>
      <c r="B386" s="0" t="s">
        <v>4314</v>
      </c>
      <c r="C386" s="0" t="s">
        <v>4315</v>
      </c>
      <c r="D386" s="0" t="s">
        <v>4316</v>
      </c>
      <c r="E386" s="0" t="s">
        <v>4317</v>
      </c>
      <c r="F386" s="0" t="s">
        <v>3257</v>
      </c>
      <c r="G386" s="0" t="s">
        <v>4318</v>
      </c>
    </row>
    <row customHeight="1" ht="11.25">
      <c r="A387" s="657" t="s">
        <v>16</v>
      </c>
      <c r="B387" s="0" t="s">
        <v>4314</v>
      </c>
      <c r="C387" s="0" t="s">
        <v>4315</v>
      </c>
      <c r="D387" s="0" t="s">
        <v>4314</v>
      </c>
      <c r="E387" s="0" t="s">
        <v>4315</v>
      </c>
      <c r="F387" s="0" t="s">
        <v>3254</v>
      </c>
      <c r="G387" s="0" t="s">
        <v>4319</v>
      </c>
    </row>
    <row customHeight="1" ht="11.25">
      <c r="A388" s="657" t="s">
        <v>16</v>
      </c>
      <c r="B388" s="0" t="s">
        <v>4314</v>
      </c>
      <c r="C388" s="0" t="s">
        <v>4315</v>
      </c>
      <c r="D388" s="0" t="s">
        <v>4320</v>
      </c>
      <c r="E388" s="0" t="s">
        <v>4321</v>
      </c>
      <c r="F388" s="0" t="s">
        <v>3257</v>
      </c>
      <c r="G388" s="0" t="s">
        <v>4322</v>
      </c>
    </row>
    <row customHeight="1" ht="11.25">
      <c r="A389" s="657" t="s">
        <v>16</v>
      </c>
      <c r="B389" s="0" t="s">
        <v>4314</v>
      </c>
      <c r="C389" s="0" t="s">
        <v>4315</v>
      </c>
      <c r="D389" s="0" t="s">
        <v>4323</v>
      </c>
      <c r="E389" s="0" t="s">
        <v>4324</v>
      </c>
      <c r="F389" s="0" t="s">
        <v>3257</v>
      </c>
      <c r="G389" s="0" t="s">
        <v>4325</v>
      </c>
    </row>
    <row customHeight="1" ht="11.25">
      <c r="A390" s="657" t="s">
        <v>16</v>
      </c>
      <c r="B390" s="0" t="s">
        <v>4326</v>
      </c>
      <c r="C390" s="0" t="s">
        <v>4327</v>
      </c>
      <c r="D390" s="0" t="s">
        <v>4328</v>
      </c>
      <c r="E390" s="0" t="s">
        <v>4329</v>
      </c>
      <c r="F390" s="0" t="s">
        <v>3257</v>
      </c>
      <c r="G390" s="0" t="s">
        <v>4330</v>
      </c>
    </row>
    <row customHeight="1" ht="11.25">
      <c r="A391" s="657" t="s">
        <v>16</v>
      </c>
      <c r="B391" s="0" t="s">
        <v>4326</v>
      </c>
      <c r="C391" s="0" t="s">
        <v>4327</v>
      </c>
      <c r="D391" s="0" t="s">
        <v>4331</v>
      </c>
      <c r="E391" s="0" t="s">
        <v>4332</v>
      </c>
      <c r="F391" s="0" t="s">
        <v>3257</v>
      </c>
      <c r="G391" s="0" t="s">
        <v>4333</v>
      </c>
    </row>
    <row customHeight="1" ht="11.25">
      <c r="A392" s="657" t="s">
        <v>16</v>
      </c>
      <c r="B392" s="0" t="s">
        <v>4326</v>
      </c>
      <c r="C392" s="0" t="s">
        <v>4327</v>
      </c>
      <c r="D392" s="0" t="s">
        <v>4334</v>
      </c>
      <c r="E392" s="0" t="s">
        <v>4335</v>
      </c>
      <c r="F392" s="0" t="s">
        <v>3257</v>
      </c>
      <c r="G392" s="0" t="s">
        <v>4336</v>
      </c>
    </row>
    <row customHeight="1" ht="11.25">
      <c r="A393" s="657" t="s">
        <v>16</v>
      </c>
      <c r="B393" s="0" t="s">
        <v>4326</v>
      </c>
      <c r="C393" s="0" t="s">
        <v>4327</v>
      </c>
      <c r="D393" s="0" t="s">
        <v>4337</v>
      </c>
      <c r="E393" s="0" t="s">
        <v>4338</v>
      </c>
      <c r="F393" s="0" t="s">
        <v>3257</v>
      </c>
      <c r="G393" s="0" t="s">
        <v>4339</v>
      </c>
    </row>
    <row customHeight="1" ht="11.25">
      <c r="A394" s="657" t="s">
        <v>16</v>
      </c>
      <c r="B394" s="0" t="s">
        <v>4326</v>
      </c>
      <c r="C394" s="0" t="s">
        <v>4327</v>
      </c>
      <c r="D394" s="0" t="s">
        <v>4340</v>
      </c>
      <c r="E394" s="0" t="s">
        <v>4341</v>
      </c>
      <c r="F394" s="0" t="s">
        <v>3257</v>
      </c>
      <c r="G394" s="0" t="s">
        <v>4342</v>
      </c>
    </row>
    <row customHeight="1" ht="11.25">
      <c r="A395" s="657" t="s">
        <v>16</v>
      </c>
      <c r="B395" s="0" t="s">
        <v>4326</v>
      </c>
      <c r="C395" s="0" t="s">
        <v>4327</v>
      </c>
      <c r="D395" s="0" t="s">
        <v>4343</v>
      </c>
      <c r="E395" s="0" t="s">
        <v>4344</v>
      </c>
      <c r="F395" s="0" t="s">
        <v>3257</v>
      </c>
      <c r="G395" s="0" t="s">
        <v>4345</v>
      </c>
    </row>
    <row customHeight="1" ht="11.25">
      <c r="A396" s="657" t="s">
        <v>16</v>
      </c>
      <c r="B396" s="0" t="s">
        <v>4326</v>
      </c>
      <c r="C396" s="0" t="s">
        <v>4327</v>
      </c>
      <c r="D396" s="0" t="s">
        <v>3687</v>
      </c>
      <c r="E396" s="0" t="s">
        <v>4346</v>
      </c>
      <c r="F396" s="0" t="s">
        <v>3257</v>
      </c>
      <c r="G396" s="0" t="s">
        <v>4347</v>
      </c>
    </row>
    <row customHeight="1" ht="11.25">
      <c r="A397" s="657" t="s">
        <v>16</v>
      </c>
      <c r="B397" s="0" t="s">
        <v>4326</v>
      </c>
      <c r="C397" s="0" t="s">
        <v>4327</v>
      </c>
      <c r="D397" s="0" t="s">
        <v>4348</v>
      </c>
      <c r="E397" s="0" t="s">
        <v>4349</v>
      </c>
      <c r="F397" s="0" t="s">
        <v>3257</v>
      </c>
      <c r="G397" s="0" t="s">
        <v>4350</v>
      </c>
    </row>
    <row customHeight="1" ht="11.25">
      <c r="A398" s="657" t="s">
        <v>16</v>
      </c>
      <c r="B398" s="0" t="s">
        <v>4326</v>
      </c>
      <c r="C398" s="0" t="s">
        <v>4327</v>
      </c>
      <c r="D398" s="0" t="s">
        <v>4351</v>
      </c>
      <c r="E398" s="0" t="s">
        <v>4352</v>
      </c>
      <c r="F398" s="0" t="s">
        <v>3257</v>
      </c>
      <c r="G398" s="0" t="s">
        <v>4353</v>
      </c>
    </row>
    <row customHeight="1" ht="11.25">
      <c r="A399" s="657" t="s">
        <v>16</v>
      </c>
      <c r="B399" s="0" t="s">
        <v>4326</v>
      </c>
      <c r="C399" s="0" t="s">
        <v>4327</v>
      </c>
      <c r="D399" s="0" t="s">
        <v>4326</v>
      </c>
      <c r="E399" s="0" t="s">
        <v>4327</v>
      </c>
      <c r="F399" s="0" t="s">
        <v>3254</v>
      </c>
      <c r="G399" s="0" t="s">
        <v>4354</v>
      </c>
    </row>
    <row customHeight="1" ht="11.25">
      <c r="A400" s="657" t="s">
        <v>16</v>
      </c>
      <c r="B400" s="0" t="s">
        <v>4326</v>
      </c>
      <c r="C400" s="0" t="s">
        <v>4327</v>
      </c>
      <c r="D400" s="0" t="s">
        <v>4355</v>
      </c>
      <c r="E400" s="0" t="s">
        <v>4356</v>
      </c>
      <c r="F400" s="0" t="s">
        <v>3257</v>
      </c>
      <c r="G400" s="0" t="s">
        <v>4357</v>
      </c>
    </row>
    <row customHeight="1" ht="11.25">
      <c r="A401" s="657" t="s">
        <v>16</v>
      </c>
      <c r="B401" s="0" t="s">
        <v>4358</v>
      </c>
      <c r="C401" s="0" t="s">
        <v>4359</v>
      </c>
      <c r="D401" s="0" t="s">
        <v>4360</v>
      </c>
      <c r="E401" s="0" t="s">
        <v>4361</v>
      </c>
      <c r="F401" s="0" t="s">
        <v>3257</v>
      </c>
      <c r="G401" s="0" t="s">
        <v>4362</v>
      </c>
    </row>
    <row customHeight="1" ht="11.25">
      <c r="A402" s="657" t="s">
        <v>16</v>
      </c>
      <c r="B402" s="0" t="s">
        <v>4358</v>
      </c>
      <c r="C402" s="0" t="s">
        <v>4359</v>
      </c>
      <c r="D402" s="0" t="s">
        <v>4363</v>
      </c>
      <c r="E402" s="0" t="s">
        <v>4364</v>
      </c>
      <c r="F402" s="0" t="s">
        <v>3257</v>
      </c>
      <c r="G402" s="0" t="s">
        <v>4365</v>
      </c>
    </row>
    <row customHeight="1" ht="11.25">
      <c r="A403" s="657" t="s">
        <v>16</v>
      </c>
      <c r="B403" s="0" t="s">
        <v>4358</v>
      </c>
      <c r="C403" s="0" t="s">
        <v>4359</v>
      </c>
      <c r="D403" s="0" t="s">
        <v>4366</v>
      </c>
      <c r="E403" s="0" t="s">
        <v>4367</v>
      </c>
      <c r="F403" s="0" t="s">
        <v>3257</v>
      </c>
      <c r="G403" s="0" t="s">
        <v>4368</v>
      </c>
    </row>
    <row customHeight="1" ht="11.25">
      <c r="A404" s="657" t="s">
        <v>16</v>
      </c>
      <c r="B404" s="0" t="s">
        <v>4358</v>
      </c>
      <c r="C404" s="0" t="s">
        <v>4359</v>
      </c>
      <c r="D404" s="0" t="s">
        <v>4369</v>
      </c>
      <c r="E404" s="0" t="s">
        <v>4370</v>
      </c>
      <c r="F404" s="0" t="s">
        <v>3257</v>
      </c>
      <c r="G404" s="0" t="s">
        <v>4371</v>
      </c>
    </row>
    <row customHeight="1" ht="11.25">
      <c r="A405" s="657" t="s">
        <v>16</v>
      </c>
      <c r="B405" s="0" t="s">
        <v>4358</v>
      </c>
      <c r="C405" s="0" t="s">
        <v>4359</v>
      </c>
      <c r="D405" s="0" t="s">
        <v>4372</v>
      </c>
      <c r="E405" s="0" t="s">
        <v>4373</v>
      </c>
      <c r="F405" s="0" t="s">
        <v>3257</v>
      </c>
      <c r="G405" s="0" t="s">
        <v>4374</v>
      </c>
    </row>
    <row customHeight="1" ht="11.25">
      <c r="A406" s="657" t="s">
        <v>16</v>
      </c>
      <c r="B406" s="0" t="s">
        <v>4358</v>
      </c>
      <c r="C406" s="0" t="s">
        <v>4359</v>
      </c>
      <c r="D406" s="0" t="s">
        <v>4375</v>
      </c>
      <c r="E406" s="0" t="s">
        <v>4376</v>
      </c>
      <c r="F406" s="0" t="s">
        <v>3257</v>
      </c>
      <c r="G406" s="0" t="s">
        <v>4377</v>
      </c>
    </row>
    <row customHeight="1" ht="11.25">
      <c r="A407" s="657" t="s">
        <v>16</v>
      </c>
      <c r="B407" s="0" t="s">
        <v>4358</v>
      </c>
      <c r="C407" s="0" t="s">
        <v>4359</v>
      </c>
      <c r="D407" s="0" t="s">
        <v>3787</v>
      </c>
      <c r="E407" s="0" t="s">
        <v>4378</v>
      </c>
      <c r="F407" s="0" t="s">
        <v>3257</v>
      </c>
      <c r="G407" s="0" t="s">
        <v>4379</v>
      </c>
    </row>
    <row customHeight="1" ht="11.25">
      <c r="A408" s="657" t="s">
        <v>16</v>
      </c>
      <c r="B408" s="0" t="s">
        <v>4358</v>
      </c>
      <c r="C408" s="0" t="s">
        <v>4359</v>
      </c>
      <c r="D408" s="0" t="s">
        <v>4380</v>
      </c>
      <c r="E408" s="0" t="s">
        <v>4381</v>
      </c>
      <c r="F408" s="0" t="s">
        <v>3257</v>
      </c>
      <c r="G408" s="0" t="s">
        <v>4382</v>
      </c>
    </row>
    <row customHeight="1" ht="11.25">
      <c r="A409" s="657" t="s">
        <v>16</v>
      </c>
      <c r="B409" s="0" t="s">
        <v>4358</v>
      </c>
      <c r="C409" s="0" t="s">
        <v>4359</v>
      </c>
      <c r="D409" s="0" t="s">
        <v>4193</v>
      </c>
      <c r="E409" s="0" t="s">
        <v>4383</v>
      </c>
      <c r="F409" s="0" t="s">
        <v>3257</v>
      </c>
      <c r="G409" s="0" t="s">
        <v>4384</v>
      </c>
    </row>
    <row customHeight="1" ht="11.25">
      <c r="A410" s="657" t="s">
        <v>16</v>
      </c>
      <c r="B410" s="0" t="s">
        <v>4358</v>
      </c>
      <c r="C410" s="0" t="s">
        <v>4359</v>
      </c>
      <c r="D410" s="0" t="s">
        <v>4358</v>
      </c>
      <c r="E410" s="0" t="s">
        <v>4359</v>
      </c>
      <c r="F410" s="0" t="s">
        <v>3254</v>
      </c>
      <c r="G410" s="0" t="s">
        <v>4385</v>
      </c>
    </row>
    <row customHeight="1" ht="11.25">
      <c r="A411" s="657" t="s">
        <v>16</v>
      </c>
      <c r="B411" s="0" t="s">
        <v>4358</v>
      </c>
      <c r="C411" s="0" t="s">
        <v>4359</v>
      </c>
      <c r="D411" s="0" t="s">
        <v>4386</v>
      </c>
      <c r="E411" s="0" t="s">
        <v>4387</v>
      </c>
      <c r="F411" s="0" t="s">
        <v>3257</v>
      </c>
      <c r="G411" s="0" t="s">
        <v>4388</v>
      </c>
    </row>
    <row customHeight="1" ht="11.25">
      <c r="A412" s="657" t="s">
        <v>16</v>
      </c>
      <c r="B412" s="0" t="s">
        <v>4358</v>
      </c>
      <c r="C412" s="0" t="s">
        <v>4359</v>
      </c>
      <c r="D412" s="0" t="s">
        <v>4389</v>
      </c>
      <c r="E412" s="0" t="s">
        <v>4390</v>
      </c>
      <c r="F412" s="0" t="s">
        <v>3257</v>
      </c>
      <c r="G412" s="0" t="s">
        <v>4391</v>
      </c>
    </row>
    <row customHeight="1" ht="11.25">
      <c r="A413" s="657" t="s">
        <v>16</v>
      </c>
      <c r="B413" s="0" t="s">
        <v>4392</v>
      </c>
      <c r="C413" s="0" t="s">
        <v>4393</v>
      </c>
      <c r="D413" s="0" t="s">
        <v>4394</v>
      </c>
      <c r="E413" s="0" t="s">
        <v>4395</v>
      </c>
      <c r="F413" s="0" t="s">
        <v>3257</v>
      </c>
      <c r="G413" s="0" t="s">
        <v>4396</v>
      </c>
    </row>
    <row customHeight="1" ht="11.25">
      <c r="A414" s="657" t="s">
        <v>16</v>
      </c>
      <c r="B414" s="0" t="s">
        <v>4392</v>
      </c>
      <c r="C414" s="0" t="s">
        <v>4393</v>
      </c>
      <c r="D414" s="0" t="s">
        <v>4397</v>
      </c>
      <c r="E414" s="0" t="s">
        <v>4398</v>
      </c>
      <c r="F414" s="0" t="s">
        <v>3257</v>
      </c>
      <c r="G414" s="0" t="s">
        <v>4399</v>
      </c>
    </row>
    <row customHeight="1" ht="11.25">
      <c r="A415" s="657" t="s">
        <v>16</v>
      </c>
      <c r="B415" s="0" t="s">
        <v>4392</v>
      </c>
      <c r="C415" s="0" t="s">
        <v>4393</v>
      </c>
      <c r="D415" s="0" t="s">
        <v>3979</v>
      </c>
      <c r="E415" s="0" t="s">
        <v>4400</v>
      </c>
      <c r="F415" s="0" t="s">
        <v>3257</v>
      </c>
      <c r="G415" s="0" t="s">
        <v>4401</v>
      </c>
    </row>
    <row customHeight="1" ht="11.25">
      <c r="A416" s="657" t="s">
        <v>16</v>
      </c>
      <c r="B416" s="0" t="s">
        <v>4392</v>
      </c>
      <c r="C416" s="0" t="s">
        <v>4393</v>
      </c>
      <c r="D416" s="0" t="s">
        <v>4402</v>
      </c>
      <c r="E416" s="0" t="s">
        <v>4403</v>
      </c>
      <c r="F416" s="0" t="s">
        <v>3257</v>
      </c>
      <c r="G416" s="0" t="s">
        <v>4404</v>
      </c>
    </row>
    <row customHeight="1" ht="11.25">
      <c r="A417" s="657" t="s">
        <v>16</v>
      </c>
      <c r="B417" s="0" t="s">
        <v>4392</v>
      </c>
      <c r="C417" s="0" t="s">
        <v>4393</v>
      </c>
      <c r="D417" s="0" t="s">
        <v>4405</v>
      </c>
      <c r="E417" s="0" t="s">
        <v>4406</v>
      </c>
      <c r="F417" s="0" t="s">
        <v>3257</v>
      </c>
      <c r="G417" s="0" t="s">
        <v>4407</v>
      </c>
    </row>
    <row customHeight="1" ht="11.25">
      <c r="A418" s="657" t="s">
        <v>16</v>
      </c>
      <c r="B418" s="0" t="s">
        <v>4392</v>
      </c>
      <c r="C418" s="0" t="s">
        <v>4393</v>
      </c>
      <c r="D418" s="0" t="s">
        <v>4408</v>
      </c>
      <c r="E418" s="0" t="s">
        <v>4409</v>
      </c>
      <c r="F418" s="0" t="s">
        <v>3257</v>
      </c>
      <c r="G418" s="0" t="s">
        <v>4410</v>
      </c>
    </row>
    <row customHeight="1" ht="11.25">
      <c r="A419" s="657" t="s">
        <v>16</v>
      </c>
      <c r="B419" s="0" t="s">
        <v>4392</v>
      </c>
      <c r="C419" s="0" t="s">
        <v>4393</v>
      </c>
      <c r="D419" s="0" t="s">
        <v>4411</v>
      </c>
      <c r="E419" s="0" t="s">
        <v>4412</v>
      </c>
      <c r="F419" s="0" t="s">
        <v>3257</v>
      </c>
      <c r="G419" s="0" t="s">
        <v>4413</v>
      </c>
    </row>
    <row customHeight="1" ht="11.25">
      <c r="A420" s="657" t="s">
        <v>16</v>
      </c>
      <c r="B420" s="0" t="s">
        <v>4392</v>
      </c>
      <c r="C420" s="0" t="s">
        <v>4393</v>
      </c>
      <c r="D420" s="0" t="s">
        <v>4392</v>
      </c>
      <c r="E420" s="0" t="s">
        <v>4393</v>
      </c>
      <c r="F420" s="0" t="s">
        <v>3254</v>
      </c>
      <c r="G420" s="0" t="s">
        <v>4414</v>
      </c>
    </row>
    <row customHeight="1" ht="11.25">
      <c r="A421" s="657" t="s">
        <v>16</v>
      </c>
      <c r="B421" s="0" t="s">
        <v>4392</v>
      </c>
      <c r="C421" s="0" t="s">
        <v>4393</v>
      </c>
      <c r="D421" s="0" t="s">
        <v>4415</v>
      </c>
      <c r="E421" s="0" t="s">
        <v>4416</v>
      </c>
      <c r="F421" s="0" t="s">
        <v>3675</v>
      </c>
      <c r="G421" s="0" t="s">
        <v>4417</v>
      </c>
    </row>
    <row customHeight="1" ht="11.25">
      <c r="A422" s="657" t="s">
        <v>16</v>
      </c>
      <c r="B422" s="0" t="s">
        <v>4418</v>
      </c>
      <c r="C422" s="0" t="s">
        <v>4419</v>
      </c>
      <c r="D422" s="0" t="s">
        <v>3620</v>
      </c>
      <c r="E422" s="0" t="s">
        <v>4420</v>
      </c>
      <c r="F422" s="0" t="s">
        <v>3257</v>
      </c>
      <c r="G422" s="0" t="s">
        <v>4421</v>
      </c>
    </row>
    <row customHeight="1" ht="11.25">
      <c r="A423" s="657" t="s">
        <v>16</v>
      </c>
      <c r="B423" s="0" t="s">
        <v>4418</v>
      </c>
      <c r="C423" s="0" t="s">
        <v>4419</v>
      </c>
      <c r="D423" s="0" t="s">
        <v>4422</v>
      </c>
      <c r="E423" s="0" t="s">
        <v>4423</v>
      </c>
      <c r="F423" s="0" t="s">
        <v>3257</v>
      </c>
      <c r="G423" s="0" t="s">
        <v>4424</v>
      </c>
    </row>
    <row customHeight="1" ht="11.25">
      <c r="A424" s="657" t="s">
        <v>16</v>
      </c>
      <c r="B424" s="0" t="s">
        <v>4418</v>
      </c>
      <c r="C424" s="0" t="s">
        <v>4419</v>
      </c>
      <c r="D424" s="0" t="s">
        <v>3787</v>
      </c>
      <c r="E424" s="0" t="s">
        <v>4425</v>
      </c>
      <c r="F424" s="0" t="s">
        <v>3257</v>
      </c>
      <c r="G424" s="0" t="s">
        <v>4426</v>
      </c>
    </row>
    <row customHeight="1" ht="11.25">
      <c r="A425" s="657" t="s">
        <v>16</v>
      </c>
      <c r="B425" s="0" t="s">
        <v>4418</v>
      </c>
      <c r="C425" s="0" t="s">
        <v>4419</v>
      </c>
      <c r="D425" s="0" t="s">
        <v>4427</v>
      </c>
      <c r="E425" s="0" t="s">
        <v>4428</v>
      </c>
      <c r="F425" s="0" t="s">
        <v>3257</v>
      </c>
      <c r="G425" s="0" t="s">
        <v>4429</v>
      </c>
    </row>
    <row customHeight="1" ht="11.25">
      <c r="A426" s="657" t="s">
        <v>16</v>
      </c>
      <c r="B426" s="0" t="s">
        <v>4418</v>
      </c>
      <c r="C426" s="0" t="s">
        <v>4419</v>
      </c>
      <c r="D426" s="0" t="s">
        <v>4430</v>
      </c>
      <c r="E426" s="0" t="s">
        <v>4431</v>
      </c>
      <c r="F426" s="0" t="s">
        <v>3257</v>
      </c>
      <c r="G426" s="0" t="s">
        <v>4432</v>
      </c>
    </row>
    <row customHeight="1" ht="11.25">
      <c r="A427" s="657" t="s">
        <v>16</v>
      </c>
      <c r="B427" s="0" t="s">
        <v>4418</v>
      </c>
      <c r="C427" s="0" t="s">
        <v>4419</v>
      </c>
      <c r="D427" s="0" t="s">
        <v>4433</v>
      </c>
      <c r="E427" s="0" t="s">
        <v>4434</v>
      </c>
      <c r="F427" s="0" t="s">
        <v>3257</v>
      </c>
      <c r="G427" s="0" t="s">
        <v>4435</v>
      </c>
    </row>
    <row customHeight="1" ht="11.25">
      <c r="A428" s="657" t="s">
        <v>16</v>
      </c>
      <c r="B428" s="0" t="s">
        <v>4418</v>
      </c>
      <c r="C428" s="0" t="s">
        <v>4419</v>
      </c>
      <c r="D428" s="0" t="s">
        <v>4436</v>
      </c>
      <c r="E428" s="0" t="s">
        <v>4437</v>
      </c>
      <c r="F428" s="0" t="s">
        <v>3257</v>
      </c>
      <c r="G428" s="0" t="s">
        <v>4438</v>
      </c>
    </row>
    <row customHeight="1" ht="11.25">
      <c r="A429" s="657" t="s">
        <v>16</v>
      </c>
      <c r="B429" s="0" t="s">
        <v>4418</v>
      </c>
      <c r="C429" s="0" t="s">
        <v>4419</v>
      </c>
      <c r="D429" s="0" t="s">
        <v>4418</v>
      </c>
      <c r="E429" s="0" t="s">
        <v>4419</v>
      </c>
      <c r="F429" s="0" t="s">
        <v>3254</v>
      </c>
      <c r="G429" s="0" t="s">
        <v>4439</v>
      </c>
    </row>
    <row customHeight="1" ht="11.25">
      <c r="A430" s="657" t="s">
        <v>16</v>
      </c>
      <c r="B430" s="0" t="s">
        <v>4418</v>
      </c>
      <c r="C430" s="0" t="s">
        <v>4419</v>
      </c>
      <c r="D430" s="0" t="s">
        <v>4440</v>
      </c>
      <c r="E430" s="0" t="s">
        <v>4441</v>
      </c>
      <c r="F430" s="0" t="s">
        <v>3257</v>
      </c>
      <c r="G430" s="0" t="s">
        <v>4442</v>
      </c>
    </row>
    <row customHeight="1" ht="11.25">
      <c r="A431" s="657" t="s">
        <v>16</v>
      </c>
      <c r="B431" s="0" t="s">
        <v>4418</v>
      </c>
      <c r="C431" s="0" t="s">
        <v>4419</v>
      </c>
      <c r="D431" s="0" t="s">
        <v>4278</v>
      </c>
      <c r="E431" s="0" t="s">
        <v>4443</v>
      </c>
      <c r="F431" s="0" t="s">
        <v>3257</v>
      </c>
      <c r="G431" s="0" t="s">
        <v>4444</v>
      </c>
    </row>
    <row customHeight="1" ht="11.25">
      <c r="A432" s="657" t="s">
        <v>16</v>
      </c>
      <c r="B432" s="0" t="s">
        <v>4445</v>
      </c>
      <c r="C432" s="0" t="s">
        <v>4446</v>
      </c>
      <c r="D432" s="0" t="s">
        <v>3645</v>
      </c>
      <c r="E432" s="0" t="s">
        <v>4447</v>
      </c>
      <c r="F432" s="0" t="s">
        <v>3257</v>
      </c>
      <c r="G432" s="0" t="s">
        <v>4448</v>
      </c>
    </row>
    <row customHeight="1" ht="11.25">
      <c r="A433" s="657" t="s">
        <v>16</v>
      </c>
      <c r="B433" s="0" t="s">
        <v>4445</v>
      </c>
      <c r="C433" s="0" t="s">
        <v>4446</v>
      </c>
      <c r="D433" s="0" t="s">
        <v>4449</v>
      </c>
      <c r="E433" s="0" t="s">
        <v>4450</v>
      </c>
      <c r="F433" s="0" t="s">
        <v>3257</v>
      </c>
      <c r="G433" s="0" t="s">
        <v>4451</v>
      </c>
    </row>
    <row customHeight="1" ht="11.25">
      <c r="A434" s="657" t="s">
        <v>16</v>
      </c>
      <c r="B434" s="0" t="s">
        <v>4445</v>
      </c>
      <c r="C434" s="0" t="s">
        <v>4446</v>
      </c>
      <c r="D434" s="0" t="s">
        <v>4452</v>
      </c>
      <c r="E434" s="0" t="s">
        <v>4453</v>
      </c>
      <c r="F434" s="0" t="s">
        <v>3257</v>
      </c>
      <c r="G434" s="0" t="s">
        <v>4454</v>
      </c>
    </row>
    <row customHeight="1" ht="11.25">
      <c r="A435" s="657" t="s">
        <v>16</v>
      </c>
      <c r="B435" s="0" t="s">
        <v>4445</v>
      </c>
      <c r="C435" s="0" t="s">
        <v>4446</v>
      </c>
      <c r="D435" s="0" t="s">
        <v>4455</v>
      </c>
      <c r="E435" s="0" t="s">
        <v>4456</v>
      </c>
      <c r="F435" s="0" t="s">
        <v>3257</v>
      </c>
      <c r="G435" s="0" t="s">
        <v>4457</v>
      </c>
    </row>
    <row customHeight="1" ht="11.25">
      <c r="A436" s="657" t="s">
        <v>16</v>
      </c>
      <c r="B436" s="0" t="s">
        <v>4445</v>
      </c>
      <c r="C436" s="0" t="s">
        <v>4446</v>
      </c>
      <c r="D436" s="0" t="s">
        <v>4458</v>
      </c>
      <c r="E436" s="0" t="s">
        <v>4459</v>
      </c>
      <c r="F436" s="0" t="s">
        <v>3257</v>
      </c>
      <c r="G436" s="0" t="s">
        <v>4460</v>
      </c>
    </row>
    <row customHeight="1" ht="11.25">
      <c r="A437" s="657" t="s">
        <v>16</v>
      </c>
      <c r="B437" s="0" t="s">
        <v>4445</v>
      </c>
      <c r="C437" s="0" t="s">
        <v>4446</v>
      </c>
      <c r="D437" s="0" t="s">
        <v>4461</v>
      </c>
      <c r="E437" s="0" t="s">
        <v>4462</v>
      </c>
      <c r="F437" s="0" t="s">
        <v>3257</v>
      </c>
      <c r="G437" s="0" t="s">
        <v>4463</v>
      </c>
    </row>
    <row customHeight="1" ht="11.25">
      <c r="A438" s="657" t="s">
        <v>16</v>
      </c>
      <c r="B438" s="0" t="s">
        <v>4445</v>
      </c>
      <c r="C438" s="0" t="s">
        <v>4446</v>
      </c>
      <c r="D438" s="0" t="s">
        <v>4445</v>
      </c>
      <c r="E438" s="0" t="s">
        <v>4446</v>
      </c>
      <c r="F438" s="0" t="s">
        <v>3254</v>
      </c>
      <c r="G438" s="0" t="s">
        <v>4464</v>
      </c>
    </row>
    <row customHeight="1" ht="11.25">
      <c r="A439" s="657" t="s">
        <v>16</v>
      </c>
      <c r="B439" s="0" t="s">
        <v>4445</v>
      </c>
      <c r="C439" s="0" t="s">
        <v>4446</v>
      </c>
      <c r="D439" s="0" t="s">
        <v>4465</v>
      </c>
      <c r="E439" s="0" t="s">
        <v>4466</v>
      </c>
      <c r="F439" s="0" t="s">
        <v>3296</v>
      </c>
      <c r="G439" s="0" t="s">
        <v>4467</v>
      </c>
    </row>
    <row customHeight="1" ht="11.25">
      <c r="A440" s="657" t="s">
        <v>16</v>
      </c>
      <c r="B440" s="0" t="s">
        <v>4468</v>
      </c>
      <c r="C440" s="0" t="s">
        <v>4469</v>
      </c>
      <c r="D440" s="0" t="s">
        <v>4470</v>
      </c>
      <c r="E440" s="0" t="s">
        <v>4471</v>
      </c>
      <c r="F440" s="0" t="s">
        <v>3257</v>
      </c>
      <c r="G440" s="0" t="s">
        <v>4472</v>
      </c>
    </row>
    <row customHeight="1" ht="11.25">
      <c r="A441" s="657" t="s">
        <v>16</v>
      </c>
      <c r="B441" s="0" t="s">
        <v>4468</v>
      </c>
      <c r="C441" s="0" t="s">
        <v>4469</v>
      </c>
      <c r="D441" s="0" t="s">
        <v>3581</v>
      </c>
      <c r="E441" s="0" t="s">
        <v>4473</v>
      </c>
      <c r="F441" s="0" t="s">
        <v>3257</v>
      </c>
      <c r="G441" s="0" t="s">
        <v>4474</v>
      </c>
    </row>
    <row customHeight="1" ht="11.25">
      <c r="A442" s="657" t="s">
        <v>16</v>
      </c>
      <c r="B442" s="0" t="s">
        <v>4468</v>
      </c>
      <c r="C442" s="0" t="s">
        <v>4469</v>
      </c>
      <c r="D442" s="0" t="s">
        <v>4475</v>
      </c>
      <c r="E442" s="0" t="s">
        <v>4476</v>
      </c>
      <c r="F442" s="0" t="s">
        <v>3257</v>
      </c>
      <c r="G442" s="0" t="s">
        <v>4477</v>
      </c>
    </row>
    <row customHeight="1" ht="11.25">
      <c r="A443" s="657" t="s">
        <v>16</v>
      </c>
      <c r="B443" s="0" t="s">
        <v>4468</v>
      </c>
      <c r="C443" s="0" t="s">
        <v>4469</v>
      </c>
      <c r="D443" s="0" t="s">
        <v>3623</v>
      </c>
      <c r="E443" s="0" t="s">
        <v>4478</v>
      </c>
      <c r="F443" s="0" t="s">
        <v>3257</v>
      </c>
      <c r="G443" s="0" t="s">
        <v>4479</v>
      </c>
    </row>
    <row customHeight="1" ht="11.25">
      <c r="A444" s="657" t="s">
        <v>16</v>
      </c>
      <c r="B444" s="0" t="s">
        <v>4468</v>
      </c>
      <c r="C444" s="0" t="s">
        <v>4469</v>
      </c>
      <c r="D444" s="0" t="s">
        <v>4480</v>
      </c>
      <c r="E444" s="0" t="s">
        <v>4481</v>
      </c>
      <c r="F444" s="0" t="s">
        <v>3257</v>
      </c>
      <c r="G444" s="0" t="s">
        <v>4482</v>
      </c>
    </row>
    <row customHeight="1" ht="11.25">
      <c r="A445" s="657" t="s">
        <v>16</v>
      </c>
      <c r="B445" s="0" t="s">
        <v>4468</v>
      </c>
      <c r="C445" s="0" t="s">
        <v>4469</v>
      </c>
      <c r="D445" s="0" t="s">
        <v>4483</v>
      </c>
      <c r="E445" s="0" t="s">
        <v>4484</v>
      </c>
      <c r="F445" s="0" t="s">
        <v>3257</v>
      </c>
      <c r="G445" s="0" t="s">
        <v>4485</v>
      </c>
    </row>
    <row customHeight="1" ht="11.25">
      <c r="A446" s="657" t="s">
        <v>16</v>
      </c>
      <c r="B446" s="0" t="s">
        <v>4468</v>
      </c>
      <c r="C446" s="0" t="s">
        <v>4469</v>
      </c>
      <c r="D446" s="0" t="s">
        <v>4486</v>
      </c>
      <c r="E446" s="0" t="s">
        <v>4487</v>
      </c>
      <c r="F446" s="0" t="s">
        <v>3257</v>
      </c>
      <c r="G446" s="0" t="s">
        <v>4488</v>
      </c>
    </row>
    <row customHeight="1" ht="11.25">
      <c r="A447" s="657" t="s">
        <v>16</v>
      </c>
      <c r="B447" s="0" t="s">
        <v>4468</v>
      </c>
      <c r="C447" s="0" t="s">
        <v>4469</v>
      </c>
      <c r="D447" s="0" t="s">
        <v>4489</v>
      </c>
      <c r="E447" s="0" t="s">
        <v>4490</v>
      </c>
      <c r="F447" s="0" t="s">
        <v>3257</v>
      </c>
      <c r="G447" s="0" t="s">
        <v>4491</v>
      </c>
    </row>
    <row customHeight="1" ht="11.25">
      <c r="A448" s="657" t="s">
        <v>16</v>
      </c>
      <c r="B448" s="0" t="s">
        <v>4468</v>
      </c>
      <c r="C448" s="0" t="s">
        <v>4469</v>
      </c>
      <c r="D448" s="0" t="s">
        <v>4492</v>
      </c>
      <c r="E448" s="0" t="s">
        <v>4493</v>
      </c>
      <c r="F448" s="0" t="s">
        <v>3257</v>
      </c>
      <c r="G448" s="0" t="s">
        <v>4494</v>
      </c>
    </row>
    <row customHeight="1" ht="11.25">
      <c r="A449" s="657" t="s">
        <v>16</v>
      </c>
      <c r="B449" s="0" t="s">
        <v>4468</v>
      </c>
      <c r="C449" s="0" t="s">
        <v>4469</v>
      </c>
      <c r="D449" s="0" t="s">
        <v>4495</v>
      </c>
      <c r="E449" s="0" t="s">
        <v>4496</v>
      </c>
      <c r="F449" s="0" t="s">
        <v>3257</v>
      </c>
      <c r="G449" s="0" t="s">
        <v>4497</v>
      </c>
    </row>
    <row customHeight="1" ht="11.25">
      <c r="A450" s="657" t="s">
        <v>16</v>
      </c>
      <c r="B450" s="0" t="s">
        <v>4468</v>
      </c>
      <c r="C450" s="0" t="s">
        <v>4469</v>
      </c>
      <c r="D450" s="0" t="s">
        <v>4498</v>
      </c>
      <c r="E450" s="0" t="s">
        <v>4499</v>
      </c>
      <c r="F450" s="0" t="s">
        <v>3257</v>
      </c>
      <c r="G450" s="0" t="s">
        <v>4500</v>
      </c>
    </row>
    <row customHeight="1" ht="11.25">
      <c r="A451" s="657" t="s">
        <v>16</v>
      </c>
      <c r="B451" s="0" t="s">
        <v>4468</v>
      </c>
      <c r="C451" s="0" t="s">
        <v>4469</v>
      </c>
      <c r="D451" s="0" t="s">
        <v>4468</v>
      </c>
      <c r="E451" s="0" t="s">
        <v>4469</v>
      </c>
      <c r="F451" s="0" t="s">
        <v>3254</v>
      </c>
      <c r="G451" s="0" t="s">
        <v>4501</v>
      </c>
    </row>
    <row customHeight="1" ht="11.25">
      <c r="A452" s="657" t="s">
        <v>16</v>
      </c>
      <c r="B452" s="0" t="s">
        <v>4468</v>
      </c>
      <c r="C452" s="0" t="s">
        <v>4469</v>
      </c>
      <c r="D452" s="0" t="s">
        <v>4502</v>
      </c>
      <c r="E452" s="0" t="s">
        <v>4503</v>
      </c>
      <c r="F452" s="0" t="s">
        <v>3257</v>
      </c>
      <c r="G452" s="0" t="s">
        <v>4504</v>
      </c>
    </row>
    <row customHeight="1" ht="11.25">
      <c r="A453" s="657" t="s">
        <v>16</v>
      </c>
      <c r="B453" s="0" t="s">
        <v>4468</v>
      </c>
      <c r="C453" s="0" t="s">
        <v>4469</v>
      </c>
      <c r="D453" s="0" t="s">
        <v>4505</v>
      </c>
      <c r="E453" s="0" t="s">
        <v>4506</v>
      </c>
      <c r="F453" s="0" t="s">
        <v>3257</v>
      </c>
      <c r="G453" s="0" t="s">
        <v>4507</v>
      </c>
    </row>
    <row customHeight="1" ht="11.25">
      <c r="A454" s="657" t="s">
        <v>16</v>
      </c>
      <c r="B454" s="0" t="s">
        <v>4468</v>
      </c>
      <c r="C454" s="0" t="s">
        <v>4469</v>
      </c>
      <c r="D454" s="0" t="s">
        <v>4508</v>
      </c>
      <c r="E454" s="0" t="s">
        <v>4509</v>
      </c>
      <c r="F454" s="0" t="s">
        <v>3257</v>
      </c>
      <c r="G454" s="0" t="s">
        <v>4510</v>
      </c>
    </row>
    <row customHeight="1" ht="11.25">
      <c r="A455" s="657" t="s">
        <v>16</v>
      </c>
      <c r="B455" s="0" t="s">
        <v>4511</v>
      </c>
      <c r="C455" s="0" t="s">
        <v>4512</v>
      </c>
      <c r="D455" s="0" t="s">
        <v>4513</v>
      </c>
      <c r="E455" s="0" t="s">
        <v>4514</v>
      </c>
      <c r="F455" s="0" t="s">
        <v>3257</v>
      </c>
      <c r="G455" s="0" t="s">
        <v>4515</v>
      </c>
    </row>
    <row customHeight="1" ht="11.25">
      <c r="A456" s="657" t="s">
        <v>16</v>
      </c>
      <c r="B456" s="0" t="s">
        <v>4511</v>
      </c>
      <c r="C456" s="0" t="s">
        <v>4512</v>
      </c>
      <c r="D456" s="0" t="s">
        <v>4516</v>
      </c>
      <c r="E456" s="0" t="s">
        <v>4517</v>
      </c>
      <c r="F456" s="0" t="s">
        <v>3257</v>
      </c>
      <c r="G456" s="0" t="s">
        <v>4518</v>
      </c>
    </row>
    <row customHeight="1" ht="11.25">
      <c r="A457" s="657" t="s">
        <v>16</v>
      </c>
      <c r="B457" s="0" t="s">
        <v>4511</v>
      </c>
      <c r="C457" s="0" t="s">
        <v>4512</v>
      </c>
      <c r="D457" s="0" t="s">
        <v>4519</v>
      </c>
      <c r="E457" s="0" t="s">
        <v>4520</v>
      </c>
      <c r="F457" s="0" t="s">
        <v>3257</v>
      </c>
      <c r="G457" s="0" t="s">
        <v>4521</v>
      </c>
    </row>
    <row customHeight="1" ht="11.25">
      <c r="A458" s="657" t="s">
        <v>16</v>
      </c>
      <c r="B458" s="0" t="s">
        <v>4511</v>
      </c>
      <c r="C458" s="0" t="s">
        <v>4512</v>
      </c>
      <c r="D458" s="0" t="s">
        <v>4522</v>
      </c>
      <c r="E458" s="0" t="s">
        <v>4523</v>
      </c>
      <c r="F458" s="0" t="s">
        <v>3257</v>
      </c>
      <c r="G458" s="0" t="s">
        <v>4524</v>
      </c>
    </row>
    <row customHeight="1" ht="11.25">
      <c r="A459" s="657" t="s">
        <v>16</v>
      </c>
      <c r="B459" s="0" t="s">
        <v>4511</v>
      </c>
      <c r="C459" s="0" t="s">
        <v>4512</v>
      </c>
      <c r="D459" s="0" t="s">
        <v>3645</v>
      </c>
      <c r="E459" s="0" t="s">
        <v>4525</v>
      </c>
      <c r="F459" s="0" t="s">
        <v>3257</v>
      </c>
      <c r="G459" s="0" t="s">
        <v>4526</v>
      </c>
    </row>
    <row customHeight="1" ht="11.25">
      <c r="A460" s="657" t="s">
        <v>16</v>
      </c>
      <c r="B460" s="0" t="s">
        <v>4511</v>
      </c>
      <c r="C460" s="0" t="s">
        <v>4512</v>
      </c>
      <c r="D460" s="0" t="s">
        <v>4527</v>
      </c>
      <c r="E460" s="0" t="s">
        <v>4528</v>
      </c>
      <c r="F460" s="0" t="s">
        <v>3257</v>
      </c>
      <c r="G460" s="0" t="s">
        <v>4529</v>
      </c>
    </row>
    <row customHeight="1" ht="11.25">
      <c r="A461" s="657" t="s">
        <v>16</v>
      </c>
      <c r="B461" s="0" t="s">
        <v>4511</v>
      </c>
      <c r="C461" s="0" t="s">
        <v>4512</v>
      </c>
      <c r="D461" s="0" t="s">
        <v>4530</v>
      </c>
      <c r="E461" s="0" t="s">
        <v>4531</v>
      </c>
      <c r="F461" s="0" t="s">
        <v>3257</v>
      </c>
      <c r="G461" s="0" t="s">
        <v>4532</v>
      </c>
    </row>
    <row customHeight="1" ht="11.25">
      <c r="A462" s="657" t="s">
        <v>16</v>
      </c>
      <c r="B462" s="0" t="s">
        <v>4511</v>
      </c>
      <c r="C462" s="0" t="s">
        <v>4512</v>
      </c>
      <c r="D462" s="0" t="s">
        <v>4533</v>
      </c>
      <c r="E462" s="0" t="s">
        <v>4534</v>
      </c>
      <c r="F462" s="0" t="s">
        <v>3257</v>
      </c>
      <c r="G462" s="0" t="s">
        <v>4535</v>
      </c>
    </row>
    <row customHeight="1" ht="11.25">
      <c r="A463" s="657" t="s">
        <v>16</v>
      </c>
      <c r="B463" s="0" t="s">
        <v>4511</v>
      </c>
      <c r="C463" s="0" t="s">
        <v>4512</v>
      </c>
      <c r="D463" s="0" t="s">
        <v>4536</v>
      </c>
      <c r="E463" s="0" t="s">
        <v>4537</v>
      </c>
      <c r="F463" s="0" t="s">
        <v>3257</v>
      </c>
      <c r="G463" s="0" t="s">
        <v>4538</v>
      </c>
    </row>
    <row customHeight="1" ht="11.25">
      <c r="A464" s="657" t="s">
        <v>16</v>
      </c>
      <c r="B464" s="0" t="s">
        <v>4511</v>
      </c>
      <c r="C464" s="0" t="s">
        <v>4512</v>
      </c>
      <c r="D464" s="0" t="s">
        <v>4511</v>
      </c>
      <c r="E464" s="0" t="s">
        <v>4512</v>
      </c>
      <c r="F464" s="0" t="s">
        <v>3254</v>
      </c>
      <c r="G464" s="0" t="s">
        <v>4539</v>
      </c>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C95C6F6-DE58-EE04-81D2-93CE74D39F6F}" mc:Ignorable="x14ac xr xr2 xr3">
  <sheetPr>
    <tabColor rgb="FFFFCC99"/>
  </sheetPr>
  <dimension ref="A1:A1"/>
  <sheetViews>
    <sheetView topLeftCell="A1" showGridLines="0" workbookViewId="0">
      <selection activeCell="A1" sqref="A1"/>
    </sheetView>
  </sheetViews>
  <sheetFormatPr defaultColWidth="9.140625" customHeight="1" defaultRowHeight="11.25"/>
  <sheetData>
    <row customHeight="1" 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33313C9-BAAC-ACD5-FFDF-D7EE56112492}" mc:Ignorable="x14ac xr xr2 xr3">
  <sheetPr>
    <tabColor rgb="FFFFCC99"/>
  </sheetPr>
  <dimension ref="A1:A1"/>
  <sheetViews>
    <sheetView topLeftCell="A1"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CA37BE8-6FD8-7358-5928-11D680C29298}" mc:Ignorable="x14ac xr xr2 xr3">
  <sheetPr>
    <tabColor theme="3" tint="0.6"/>
  </sheetPr>
  <dimension ref="A1:AT18"/>
  <sheetViews>
    <sheetView topLeftCell="A1" showGridLines="0" zoomScale="90" workbookViewId="0">
      <selection activeCell="A1" sqref="A1"/>
    </sheetView>
  </sheetViews>
  <sheetFormatPr defaultColWidth="10.57421875" customHeight="1" defaultRowHeight="14.25"/>
  <cols>
    <col min="1" max="1" style="14041" width="9.140625" hidden="1" customWidth="1"/>
    <col min="2" max="2" style="14077" width="9.140625" hidden="1" customWidth="1"/>
    <col min="3" max="3" style="14246" width="3.00390625" customWidth="1"/>
    <col min="4" max="4" style="14077" width="5.00390625" customWidth="1"/>
    <col min="5" max="5" style="14077" width="48.00390625" customWidth="1"/>
    <col min="6" max="6" style="14077" width="38.00390625" customWidth="1"/>
    <col min="7" max="7" style="14077" width="1.7109375" hidden="1" customWidth="1"/>
    <col min="8" max="11" style="14077" width="19.8515625" customWidth="1"/>
    <col min="12" max="12" style="14077" width="9.7109375" customWidth="1"/>
    <col min="13" max="18" style="14077" width="19.8515625" customWidth="1"/>
    <col min="19" max="19" style="14077" width="1.7109375" hidden="1" customWidth="1"/>
    <col min="20" max="22" style="14077" width="19.8515625" hidden="1" customWidth="1"/>
    <col min="23" max="23" style="14077" width="1.7109375" hidden="1" customWidth="1"/>
    <col min="24" max="26" style="14077" width="19.8515625" hidden="1" customWidth="1"/>
    <col min="27" max="27" style="14077" width="1.7109375" hidden="1" customWidth="1"/>
    <col min="28" max="29" style="14077" width="19.8515625" hidden="1" customWidth="1"/>
    <col min="30" max="30" style="14077" width="1.7109375" hidden="1" customWidth="1"/>
    <col min="31" max="31" style="14077" width="103.7109375" customWidth="1"/>
    <col min="32" max="34" style="14077" width="103.7109375" hidden="1" customWidth="1"/>
    <col min="35" max="35" style="14173" width="3.00390625" customWidth="1"/>
    <col min="36" max="38" style="14158" width="10.00390625" customWidth="1"/>
    <col min="39" max="39" style="14158" width="13.7109375" hidden="1" customWidth="1"/>
    <col min="40" max="40" style="14158" width="15.00390625" customWidth="1"/>
    <col min="41" max="41" style="14158" width="16.00390625" customWidth="1"/>
    <col min="42" max="45" style="14158" width="10.00390625" customWidth="1"/>
    <col min="46" max="46" style="14077" width="10.57421875" hidden="1"/>
  </cols>
  <sheetData>
    <row customHeight="1" ht="22.5" hidden="1">
      <c r="E1" s="696"/>
      <c r="F1" s="696"/>
      <c r="G1" s="696"/>
      <c r="H1" s="2501" t="s">
        <v>357</v>
      </c>
      <c r="I1" s="2501"/>
      <c r="J1" s="2501"/>
      <c r="K1" s="2501"/>
      <c r="L1" s="2501"/>
      <c r="M1" s="2501"/>
      <c r="N1" s="2501"/>
      <c r="O1" s="2501"/>
      <c r="P1" s="2501"/>
      <c r="Q1" s="2501"/>
      <c r="R1" s="2501"/>
      <c r="T1" s="2501" t="s">
        <v>358</v>
      </c>
      <c r="U1" s="2501"/>
      <c r="V1" s="2501"/>
      <c r="X1" s="2501" t="s">
        <v>359</v>
      </c>
      <c r="Y1" s="2501"/>
      <c r="Z1" s="2501"/>
      <c r="AB1" s="2501" t="s">
        <v>360</v>
      </c>
      <c r="AC1" s="2501"/>
      <c r="AT1" s="731" t="s">
        <v>14</v>
      </c>
    </row>
    <row customHeight="1" ht="14.25" hidden="1">
      <c r="AT2" s="731">
        <v>0</v>
      </c>
    </row>
    <row s="14689" customFormat="1" customHeight="1" ht="5.25">
      <c r="C3" s="985"/>
      <c r="D3" s="986"/>
      <c r="E3" s="986"/>
      <c r="F3" s="986"/>
      <c r="G3" s="986"/>
      <c r="H3" s="986" t="s">
        <v>361</v>
      </c>
      <c r="I3" s="986"/>
      <c r="J3" s="986"/>
      <c r="K3" s="986"/>
      <c r="L3" s="986"/>
      <c r="M3" s="986"/>
      <c r="N3" s="986"/>
      <c r="O3" s="986"/>
      <c r="P3" s="986"/>
      <c r="Q3" s="986"/>
      <c r="R3" s="986"/>
      <c r="S3" s="986"/>
      <c r="T3" s="986"/>
      <c r="U3" s="986"/>
      <c r="V3" s="986"/>
      <c r="W3" s="986"/>
      <c r="X3" s="986"/>
      <c r="Y3" s="986"/>
      <c r="Z3" s="986"/>
      <c r="AA3" s="986"/>
      <c r="AB3" s="986"/>
      <c r="AC3" s="986"/>
      <c r="AD3" s="986"/>
      <c r="AE3" s="986"/>
      <c r="AF3" s="986"/>
      <c r="AG3" s="986"/>
      <c r="AH3" s="986"/>
      <c r="AJ3" s="795"/>
      <c r="AK3" s="795"/>
      <c r="AL3" s="795"/>
      <c r="AM3" s="795"/>
      <c r="AN3" s="795"/>
      <c r="AO3" s="795"/>
      <c r="AP3" s="795"/>
      <c r="AQ3" s="795"/>
      <c r="AR3" s="795"/>
      <c r="AS3" s="795"/>
      <c r="AT3" s="984">
        <v>5</v>
      </c>
    </row>
    <row customHeight="1" ht="39.75">
      <c r="C4" s="734"/>
      <c r="D4" s="2441" t="str">
        <f>ORG_VD_NAME_FORM</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E4" s="2442"/>
      <c r="F4" s="2442"/>
      <c r="G4" s="2442"/>
      <c r="H4" s="2442"/>
      <c r="I4" s="2442"/>
      <c r="J4" s="2442"/>
      <c r="K4" s="2442"/>
      <c r="L4" s="2442"/>
      <c r="M4" s="2442"/>
      <c r="N4" s="2442"/>
      <c r="O4" s="2442"/>
      <c r="P4" s="2442"/>
      <c r="Q4" s="2442"/>
      <c r="R4" s="2443"/>
      <c r="S4" s="1137"/>
      <c r="T4" s="983"/>
      <c r="U4" s="983"/>
      <c r="V4" s="983"/>
      <c r="W4" s="983"/>
      <c r="X4" s="983"/>
      <c r="Y4" s="983"/>
      <c r="Z4" s="983"/>
      <c r="AA4" s="983"/>
      <c r="AB4" s="983"/>
      <c r="AC4" s="983"/>
      <c r="AD4" s="983"/>
      <c r="AE4" s="775"/>
      <c r="AF4" s="775"/>
      <c r="AG4" s="775"/>
      <c r="AH4" s="775"/>
      <c r="AI4" s="772"/>
      <c r="AT4" s="731">
        <v>38</v>
      </c>
    </row>
    <row s="14077" customFormat="1" customHeight="1" ht="18">
      <c r="A5" s="1043"/>
      <c r="C5" s="1106"/>
      <c r="D5" s="2498" t="str">
        <f>IF(org=0,"Не определено",org)</f>
        <v>МУП г. Азова "Теплоэнерго"</v>
      </c>
      <c r="E5" s="2499"/>
      <c r="F5" s="2499"/>
      <c r="G5" s="2499"/>
      <c r="H5" s="2499"/>
      <c r="I5" s="2499"/>
      <c r="J5" s="2499"/>
      <c r="K5" s="2499"/>
      <c r="L5" s="2499"/>
      <c r="M5" s="2499"/>
      <c r="N5" s="2499"/>
      <c r="O5" s="2499"/>
      <c r="P5" s="2499"/>
      <c r="Q5" s="2499"/>
      <c r="R5" s="2500"/>
      <c r="S5" s="1137"/>
      <c r="T5" s="983"/>
      <c r="U5" s="983"/>
      <c r="V5" s="983"/>
      <c r="W5" s="983"/>
      <c r="X5" s="983"/>
      <c r="Y5" s="983"/>
      <c r="Z5" s="983"/>
      <c r="AA5" s="983"/>
      <c r="AB5" s="983"/>
      <c r="AC5" s="983"/>
      <c r="AD5" s="983"/>
      <c r="AE5" s="775"/>
      <c r="AF5" s="775"/>
      <c r="AG5" s="775"/>
      <c r="AH5" s="775"/>
      <c r="AI5" s="772"/>
      <c r="AJ5" s="795"/>
      <c r="AK5" s="795"/>
      <c r="AL5" s="795"/>
      <c r="AM5" s="795"/>
      <c r="AN5" s="795"/>
      <c r="AO5" s="795"/>
      <c r="AP5" s="795"/>
      <c r="AQ5" s="795"/>
      <c r="AR5" s="795"/>
      <c r="AS5" s="795"/>
      <c r="AT5" s="1042">
        <v>17</v>
      </c>
    </row>
    <row s="14052" customFormat="1" customHeight="1" ht="11.549999999999999">
      <c r="A6" s="763"/>
      <c r="C6" s="770"/>
      <c r="D6" s="769"/>
      <c r="E6" s="769"/>
      <c r="F6" s="769"/>
      <c r="G6" s="769"/>
      <c r="H6" s="769"/>
      <c r="I6" s="769"/>
      <c r="J6" s="769"/>
      <c r="K6" s="769"/>
      <c r="L6" s="769"/>
      <c r="M6" s="769"/>
      <c r="N6" s="769"/>
      <c r="O6" s="769"/>
      <c r="P6" s="769"/>
      <c r="Q6" s="769"/>
      <c r="R6" s="1036"/>
      <c r="S6" s="1036"/>
      <c r="T6" s="769"/>
      <c r="U6" s="769"/>
      <c r="V6" s="996"/>
      <c r="W6" s="996"/>
      <c r="X6" s="769"/>
      <c r="Y6" s="769"/>
      <c r="Z6" s="996"/>
      <c r="AA6" s="996"/>
      <c r="AB6" s="769"/>
      <c r="AC6" s="996"/>
      <c r="AD6" s="996"/>
      <c r="AE6" s="769"/>
      <c r="AF6" s="769"/>
      <c r="AG6" s="769"/>
      <c r="AH6" s="769"/>
      <c r="AJ6" s="773"/>
      <c r="AK6" s="773"/>
      <c r="AL6" s="773"/>
      <c r="AM6" s="773"/>
      <c r="AN6" s="773"/>
      <c r="AO6" s="773"/>
      <c r="AP6" s="773"/>
      <c r="AQ6" s="773"/>
      <c r="AR6" s="773"/>
      <c r="AS6" s="773"/>
      <c r="AT6" s="764">
        <v>11</v>
      </c>
    </row>
    <row customHeight="1" ht="14.699999999999998">
      <c r="C7" s="734"/>
      <c r="D7" s="2502" t="s">
        <v>305</v>
      </c>
      <c r="E7" s="2503"/>
      <c r="F7" s="2503"/>
      <c r="G7" s="2503"/>
      <c r="H7" s="2503"/>
      <c r="I7" s="2503"/>
      <c r="J7" s="2503"/>
      <c r="K7" s="2503"/>
      <c r="L7" s="2503"/>
      <c r="M7" s="2503"/>
      <c r="N7" s="2503"/>
      <c r="O7" s="2503"/>
      <c r="P7" s="2503"/>
      <c r="Q7" s="2503"/>
      <c r="R7" s="2503"/>
      <c r="S7" s="2503"/>
      <c r="T7" s="2503"/>
      <c r="U7" s="2503"/>
      <c r="V7" s="2503"/>
      <c r="W7" s="2503"/>
      <c r="X7" s="2503"/>
      <c r="Y7" s="2503"/>
      <c r="Z7" s="2503"/>
      <c r="AA7" s="2503"/>
      <c r="AB7" s="2503"/>
      <c r="AC7" s="2503"/>
      <c r="AD7" s="2504"/>
      <c r="AE7" s="2507" t="s">
        <v>306</v>
      </c>
      <c r="AF7" s="2507" t="s">
        <v>306</v>
      </c>
      <c r="AG7" s="2507" t="s">
        <v>306</v>
      </c>
      <c r="AH7" s="2507" t="s">
        <v>306</v>
      </c>
      <c r="AT7" s="731">
        <v>14</v>
      </c>
    </row>
    <row customHeight="1" ht="27.299999999999997">
      <c r="C8" s="734"/>
      <c r="D8" s="2411" t="s">
        <v>89</v>
      </c>
      <c r="E8" s="2507" t="str">
        <f>"Наименование "&amp;IF(TEMPLATE_SPHERE&lt;&gt;"HEAT","централизованной ","")&amp;"системы "&amp;TEMPLATE_SPHERE_RUS</f>
        <v>Наименование системы теплоснабжения</v>
      </c>
      <c r="F8" s="2507" t="str">
        <f>IF(TEMPLATE_SPHERE&lt;&gt;"HEAT","Регулируемый вид деятельности","Вид регулируемой деятельности")</f>
        <v>Вид регулируемой деятельности</v>
      </c>
      <c r="G8" s="1112"/>
      <c r="H8" s="2508" t="s">
        <v>362</v>
      </c>
      <c r="I8" s="2510" t="s">
        <v>363</v>
      </c>
      <c r="J8" s="2507" t="s">
        <v>364</v>
      </c>
      <c r="K8" s="2507"/>
      <c r="L8" s="2507"/>
      <c r="M8" s="2502"/>
      <c r="N8" s="2507" t="s">
        <v>365</v>
      </c>
      <c r="O8" s="2507"/>
      <c r="P8" s="2507" t="s">
        <v>366</v>
      </c>
      <c r="Q8" s="2507"/>
      <c r="R8" s="2514" t="s">
        <v>367</v>
      </c>
      <c r="S8" s="1108"/>
      <c r="T8" s="2512" t="s">
        <v>368</v>
      </c>
      <c r="U8" s="2512" t="s">
        <v>369</v>
      </c>
      <c r="V8" s="2512" t="s">
        <v>370</v>
      </c>
      <c r="W8" s="1110"/>
      <c r="X8" s="2512" t="s">
        <v>371</v>
      </c>
      <c r="Y8" s="2512" t="s">
        <v>372</v>
      </c>
      <c r="Z8" s="2512" t="s">
        <v>373</v>
      </c>
      <c r="AA8" s="1110"/>
      <c r="AB8" s="2512" t="s">
        <v>374</v>
      </c>
      <c r="AC8" s="2512" t="s">
        <v>367</v>
      </c>
      <c r="AD8" s="1110"/>
      <c r="AE8" s="2507"/>
      <c r="AF8" s="2507"/>
      <c r="AG8" s="2507"/>
      <c r="AH8" s="2507"/>
      <c r="AT8" s="731">
        <v>26</v>
      </c>
    </row>
    <row customHeight="1" ht="46.199999999999996">
      <c r="C9" s="734"/>
      <c r="D9" s="2411"/>
      <c r="E9" s="2507"/>
      <c r="F9" s="2507"/>
      <c r="G9" s="1113"/>
      <c r="H9" s="2509"/>
      <c r="I9" s="2511"/>
      <c r="J9" s="709" t="s">
        <v>375</v>
      </c>
      <c r="K9" s="709" t="s">
        <v>376</v>
      </c>
      <c r="L9" s="709" t="s">
        <v>377</v>
      </c>
      <c r="M9" s="715" t="s">
        <v>378</v>
      </c>
      <c r="N9" s="709" t="s">
        <v>379</v>
      </c>
      <c r="O9" s="709" t="s">
        <v>378</v>
      </c>
      <c r="P9" s="709" t="s">
        <v>380</v>
      </c>
      <c r="Q9" s="709" t="s">
        <v>378</v>
      </c>
      <c r="R9" s="2515"/>
      <c r="S9" s="1109"/>
      <c r="T9" s="2513"/>
      <c r="U9" s="2513"/>
      <c r="V9" s="2513"/>
      <c r="W9" s="1111"/>
      <c r="X9" s="2513"/>
      <c r="Y9" s="2513"/>
      <c r="Z9" s="2513"/>
      <c r="AA9" s="1111"/>
      <c r="AB9" s="2513"/>
      <c r="AC9" s="2513"/>
      <c r="AD9" s="1111"/>
      <c r="AE9" s="2507"/>
      <c r="AF9" s="2507"/>
      <c r="AG9" s="2507"/>
      <c r="AH9" s="2507"/>
      <c r="AT9" s="731">
        <v>44</v>
      </c>
    </row>
    <row customHeight="1" ht="12" hidden="1">
      <c r="C10" s="771"/>
      <c r="D10" s="732"/>
      <c r="E10" s="732"/>
      <c r="F10" s="732"/>
      <c r="G10" s="732"/>
      <c r="H10" s="732"/>
      <c r="I10" s="732"/>
      <c r="J10" s="732"/>
      <c r="K10" s="732"/>
      <c r="L10" s="732"/>
      <c r="M10" s="732"/>
      <c r="N10" s="732"/>
      <c r="O10" s="732"/>
      <c r="P10" s="732"/>
      <c r="Q10" s="732"/>
      <c r="R10" s="732"/>
      <c r="S10" s="732"/>
      <c r="T10" s="732"/>
      <c r="U10" s="732"/>
      <c r="V10" s="732"/>
      <c r="W10" s="732"/>
      <c r="X10" s="732"/>
      <c r="Y10" s="732"/>
      <c r="Z10" s="732"/>
      <c r="AA10" s="732"/>
      <c r="AB10" s="732"/>
      <c r="AC10" s="732"/>
      <c r="AD10" s="732"/>
      <c r="AE10" s="732"/>
      <c r="AF10" s="732"/>
      <c r="AG10" s="732"/>
      <c r="AH10" s="732"/>
      <c r="AI10" s="731"/>
      <c r="AP10" s="784"/>
      <c r="AQ10" s="784"/>
      <c r="AT10" s="731">
        <v>0</v>
      </c>
    </row>
    <row s="14730" customFormat="1" customHeight="1" ht="11.25" hidden="1">
      <c r="C11" s="782"/>
      <c r="D11" s="783" t="s">
        <v>381</v>
      </c>
      <c r="E11" s="783"/>
      <c r="F11" s="783"/>
      <c r="G11" s="783"/>
      <c r="H11" s="781"/>
      <c r="I11" s="781"/>
      <c r="J11" s="781"/>
      <c r="K11" s="781"/>
      <c r="L11" s="781"/>
      <c r="M11" s="781"/>
      <c r="N11" s="781"/>
      <c r="O11" s="781"/>
      <c r="P11" s="781"/>
      <c r="Q11" s="781"/>
      <c r="R11" s="781"/>
      <c r="S11" s="781"/>
      <c r="T11" s="781"/>
      <c r="U11" s="781"/>
      <c r="V11" s="781"/>
      <c r="W11" s="781"/>
      <c r="X11" s="781"/>
      <c r="Y11" s="781"/>
      <c r="Z11" s="781"/>
      <c r="AA11" s="781"/>
      <c r="AB11" s="781"/>
      <c r="AC11" s="781"/>
      <c r="AD11" s="781"/>
      <c r="AE11" s="719"/>
      <c r="AF11" s="719"/>
      <c r="AG11" s="719"/>
      <c r="AH11" s="719"/>
      <c r="AJ11" s="773"/>
      <c r="AK11" s="773"/>
      <c r="AL11" s="773"/>
      <c r="AM11" s="773"/>
      <c r="AN11" s="773"/>
      <c r="AO11" s="773"/>
      <c r="AP11" s="773"/>
      <c r="AQ11" s="773"/>
      <c r="AR11" s="773"/>
      <c r="AS11" s="773"/>
      <c r="AT11" s="780">
        <v>0</v>
      </c>
    </row>
    <row customHeight="1" ht="14.699999999999998">
      <c r="A12" s="731"/>
      <c r="C12" s="734"/>
      <c r="D12" s="718" t="s">
        <v>110</v>
      </c>
      <c r="E12" s="2061" t="s">
        <v>28</v>
      </c>
      <c r="F12" s="1139"/>
      <c r="G12" s="1140"/>
      <c r="H12" s="2062"/>
      <c r="I12" s="2062"/>
      <c r="J12" s="717"/>
      <c r="K12" s="2147"/>
      <c r="L12" s="716"/>
      <c r="M12" s="2147"/>
      <c r="N12" s="717"/>
      <c r="O12" s="2147"/>
      <c r="P12" s="717"/>
      <c r="Q12" s="2147"/>
      <c r="R12" s="717"/>
      <c r="S12" s="1138"/>
      <c r="T12" s="2062"/>
      <c r="U12" s="717"/>
      <c r="V12" s="717"/>
      <c r="W12" s="1111"/>
      <c r="X12" s="2062"/>
      <c r="Y12" s="717"/>
      <c r="Z12" s="717"/>
      <c r="AA12" s="1111"/>
      <c r="AB12" s="2062"/>
      <c r="AC12" s="717"/>
      <c r="AD12" s="1111"/>
      <c r="AE12" s="2505" t="s">
        <v>382</v>
      </c>
      <c r="AF12" s="2505" t="s">
        <v>383</v>
      </c>
      <c r="AG12" s="2505" t="s">
        <v>384</v>
      </c>
      <c r="AH12" s="2505" t="s">
        <v>385</v>
      </c>
      <c r="AI12" s="731"/>
      <c r="AM12" s="795"/>
      <c r="AP12" s="784" t="s">
        <v>386</v>
      </c>
      <c r="AQ12" s="784" t="s">
        <v>386</v>
      </c>
      <c r="AT12" s="731">
        <v>14</v>
      </c>
    </row>
    <row customHeight="1" ht="18">
      <c r="A13" s="731"/>
      <c r="C13" s="734"/>
      <c r="D13" s="689"/>
      <c r="E13" s="1153" t="str">
        <f>IF(TITLE_DIFFERENTIATION_TYPE="нет","","Добавить систему")</f>
        <v/>
      </c>
      <c r="F13" s="1153" t="str">
        <f>IF(TITLE_DIFFERENTIATION_TYPE="нет","Добавить вид деятельности","")</f>
        <v>Добавить вид деятельности</v>
      </c>
      <c r="G13" s="597"/>
      <c r="H13" s="690"/>
      <c r="I13" s="690"/>
      <c r="J13" s="690"/>
      <c r="K13" s="690"/>
      <c r="L13" s="690"/>
      <c r="M13" s="690"/>
      <c r="N13" s="690"/>
      <c r="O13" s="690"/>
      <c r="P13" s="690"/>
      <c r="Q13" s="690"/>
      <c r="R13" s="690"/>
      <c r="S13" s="690"/>
      <c r="T13" s="690"/>
      <c r="U13" s="690"/>
      <c r="V13" s="690"/>
      <c r="W13" s="690"/>
      <c r="X13" s="690"/>
      <c r="Y13" s="690"/>
      <c r="Z13" s="690"/>
      <c r="AA13" s="690"/>
      <c r="AB13" s="690"/>
      <c r="AC13" s="690"/>
      <c r="AD13" s="1141"/>
      <c r="AE13" s="2506"/>
      <c r="AF13" s="2506"/>
      <c r="AG13" s="2506"/>
      <c r="AH13" s="2506"/>
      <c r="AI13" s="731"/>
      <c r="AT13" s="731">
        <v>17</v>
      </c>
    </row>
    <row customHeight="1" ht="14.699999999999998">
      <c r="AI14" s="731"/>
      <c r="AT14" s="731">
        <v>14</v>
      </c>
    </row>
    <row customHeight="1" ht="14.699999999999998">
      <c r="E15" s="1042"/>
      <c r="L15" s="1042"/>
      <c r="AT15" s="731">
        <v>14</v>
      </c>
    </row>
    <row customHeight="1" ht="14.699999999999998">
      <c r="L16" s="1042"/>
      <c r="AT16" s="731">
        <v>14</v>
      </c>
    </row>
    <row customHeight="1" ht="14.699999999999998">
      <c r="L17" s="1042"/>
      <c r="AT17" s="731">
        <v>14</v>
      </c>
    </row>
    <row customHeight="1" ht="22.5" hidden="1">
      <c r="A18" s="733" t="s">
        <v>83</v>
      </c>
      <c r="B18" s="731">
        <v>0</v>
      </c>
      <c r="C18" s="735">
        <v>3</v>
      </c>
      <c r="D18" s="731">
        <v>5</v>
      </c>
      <c r="E18" s="731">
        <v>48</v>
      </c>
      <c r="F18" s="731">
        <v>38</v>
      </c>
      <c r="G18" s="1042">
        <v>0</v>
      </c>
      <c r="H18" s="731">
        <v>0</v>
      </c>
      <c r="I18" s="731">
        <v>0</v>
      </c>
      <c r="J18" s="731">
        <v>0</v>
      </c>
      <c r="K18" s="731">
        <v>0</v>
      </c>
      <c r="L18" s="731">
        <v>0</v>
      </c>
      <c r="M18" s="731">
        <v>0</v>
      </c>
      <c r="N18" s="731">
        <v>0</v>
      </c>
      <c r="O18" s="731">
        <v>0</v>
      </c>
      <c r="P18" s="731">
        <v>0</v>
      </c>
      <c r="Q18" s="731">
        <v>0</v>
      </c>
      <c r="R18" s="731">
        <v>0</v>
      </c>
      <c r="S18" s="1042">
        <v>0</v>
      </c>
      <c r="T18" s="789">
        <v>0</v>
      </c>
      <c r="U18" s="789">
        <v>0</v>
      </c>
      <c r="V18" s="789">
        <v>0</v>
      </c>
      <c r="W18" s="1042">
        <v>0</v>
      </c>
      <c r="X18" s="789">
        <v>0</v>
      </c>
      <c r="Y18" s="789">
        <v>0</v>
      </c>
      <c r="Z18" s="789">
        <v>0</v>
      </c>
      <c r="AA18" s="1042">
        <v>0</v>
      </c>
      <c r="AB18" s="789">
        <v>0</v>
      </c>
      <c r="AC18" s="789">
        <v>0</v>
      </c>
      <c r="AD18" s="1042">
        <v>0</v>
      </c>
      <c r="AE18" s="731">
        <v>0</v>
      </c>
      <c r="AF18" s="789">
        <v>0</v>
      </c>
      <c r="AG18" s="789">
        <v>0</v>
      </c>
      <c r="AH18" s="789">
        <v>0</v>
      </c>
      <c r="AI18" s="736">
        <v>3</v>
      </c>
      <c r="AJ18" s="773">
        <v>10</v>
      </c>
      <c r="AK18" s="773">
        <v>10</v>
      </c>
      <c r="AL18" s="773">
        <v>10</v>
      </c>
      <c r="AM18" s="773">
        <v>0</v>
      </c>
      <c r="AN18" s="773">
        <v>15</v>
      </c>
      <c r="AO18" s="773">
        <v>16</v>
      </c>
      <c r="AP18" s="773">
        <v>10</v>
      </c>
      <c r="AQ18" s="773">
        <v>10</v>
      </c>
      <c r="AR18" s="773">
        <v>10</v>
      </c>
      <c r="AS18" s="773">
        <v>10</v>
      </c>
      <c r="AT18" s="731">
        <v>23</v>
      </c>
    </row>
  </sheetData>
  <sheetProtection formatColumns="0" formatRows="0" autoFilter="0" sort="0" insertRows="0" insertColumns="1" deleteRows="0" deleteColumns="0"/>
  <mergeCells count="32">
    <mergeCell ref="J8:M8"/>
    <mergeCell ref="N8:O8"/>
    <mergeCell ref="AB8:AB9"/>
    <mergeCell ref="AC8:AC9"/>
    <mergeCell ref="T8:T9"/>
    <mergeCell ref="U8:U9"/>
    <mergeCell ref="V8:V9"/>
    <mergeCell ref="P8:Q8"/>
    <mergeCell ref="R8:R9"/>
    <mergeCell ref="X8:X9"/>
    <mergeCell ref="Y8:Y9"/>
    <mergeCell ref="Z8:Z9"/>
    <mergeCell ref="D8:D9"/>
    <mergeCell ref="E8:E9"/>
    <mergeCell ref="F8:F9"/>
    <mergeCell ref="H8:H9"/>
    <mergeCell ref="I8:I9"/>
    <mergeCell ref="AE12:AE13"/>
    <mergeCell ref="AG7:AG9"/>
    <mergeCell ref="AG12:AG13"/>
    <mergeCell ref="AH7:AH9"/>
    <mergeCell ref="AH12:AH13"/>
    <mergeCell ref="AF12:AF13"/>
    <mergeCell ref="AF7:AF9"/>
    <mergeCell ref="AE7:AE9"/>
    <mergeCell ref="D5:R5"/>
    <mergeCell ref="H1:R1"/>
    <mergeCell ref="D7:AD7"/>
    <mergeCell ref="X1:Z1"/>
    <mergeCell ref="T1:V1"/>
    <mergeCell ref="AB1:AC1"/>
    <mergeCell ref="D4:R4"/>
  </mergeCells>
  <dataValidations count="6">
    <dataValidation allowBlank="1" showErrorMessage="1" errorTitle="Ошибка" error="Допускается ввод только неотрицательных чисел!" sqref="E11:G11"/>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type="textLength" operator="lessThanOrEqual" allowBlank="1" showInputMessage="1" showErrorMessage="1" errorTitle="Ошибка" error="Допускается ввод не более 900 символов!" sqref="E12">
      <formula1>900</formula1>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C789C0C-B1F8-3828-F078-BEB96D6AC338}" mc:Ignorable="x14ac xr xr2 xr3">
  <sheetPr>
    <tabColor rgb="FFFFCC99"/>
  </sheetPr>
  <dimension ref="A1:B2"/>
  <sheetViews>
    <sheetView topLeftCell="A1" showGridLines="0" workbookViewId="0">
      <selection activeCell="A1" sqref="A1"/>
    </sheetView>
  </sheetViews>
  <sheetFormatPr defaultColWidth="9.140625" customHeight="1" defaultRowHeight="11.25"/>
  <cols>
    <col min="1" max="2" style="16759" width="9.140625"/>
  </cols>
  <sheetData>
    <row customHeight="1" ht="11.25">
      <c r="A1" s="467" t="s">
        <v>131</v>
      </c>
      <c r="B1" s="467" t="s">
        <v>4540</v>
      </c>
    </row>
    <row customHeight="1" ht="11.25">
      <c r="A2" s="5612" t="s">
        <v>99</v>
      </c>
      <c r="B2" s="5612" t="s">
        <v>4541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AE91C48-0913-5B95-69A8-26C6FEBA9D88}"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6761" width="9.140625"/>
    <col min="2" max="2" style="16761" width="65.28125" customWidth="1"/>
  </cols>
  <sheetData>
    <row customHeight="1" ht="11.25">
      <c r="A1" s="1119" t="s">
        <v>4542</v>
      </c>
      <c r="B1" s="1119" t="s">
        <v>4543</v>
      </c>
    </row>
    <row customHeight="1" ht="11.25">
      <c r="A2" s="1119">
        <v>4213775</v>
      </c>
      <c r="B2" s="1119" t="s">
        <v>1234</v>
      </c>
    </row>
    <row customHeight="1" ht="11.25">
      <c r="A3" s="1119">
        <v>4213784</v>
      </c>
      <c r="B3" s="1119" t="s">
        <v>1265</v>
      </c>
    </row>
    <row customHeight="1" ht="11.25">
      <c r="A4" s="1119">
        <v>4213781</v>
      </c>
      <c r="B4" s="1119" t="s">
        <v>1258</v>
      </c>
    </row>
    <row customHeight="1" ht="11.25">
      <c r="A5" s="1119">
        <v>4213776</v>
      </c>
      <c r="B5" s="1119" t="s">
        <v>173</v>
      </c>
    </row>
    <row customHeight="1" ht="11.25">
      <c r="A6" s="1119">
        <v>4213777</v>
      </c>
      <c r="B6" s="1119" t="s">
        <v>179</v>
      </c>
    </row>
    <row customHeight="1" ht="11.25">
      <c r="A7" s="1119">
        <v>4213778</v>
      </c>
      <c r="B7" s="1119" t="s">
        <v>185</v>
      </c>
    </row>
    <row customHeight="1" ht="11.25">
      <c r="A8" s="1119">
        <v>4213780</v>
      </c>
      <c r="B8" s="1119" t="s">
        <v>191</v>
      </c>
    </row>
    <row customHeight="1" ht="11.25">
      <c r="A9" s="1119">
        <v>4213779</v>
      </c>
      <c r="B9" s="1119" t="s">
        <v>1398</v>
      </c>
    </row>
    <row customHeight="1" ht="11.25">
      <c r="A10" s="1119">
        <v>4213783</v>
      </c>
      <c r="B10" s="1119" t="s">
        <v>1413</v>
      </c>
    </row>
    <row customHeight="1" ht="11.25">
      <c r="A11" s="1119">
        <v>4213782</v>
      </c>
      <c r="B11" s="1119" t="s">
        <v>197</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5CC9BE8-CA7A-64EE-0D98-4E4A11A1F0F4}"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6761" width="9.140625"/>
    <col min="2" max="2" style="16761" width="65.28125" customWidth="1"/>
  </cols>
  <sheetData>
    <row customHeight="1" ht="11.25">
      <c r="A1" s="1119" t="s">
        <v>4542</v>
      </c>
      <c r="B1" s="1119" t="s">
        <v>4544</v>
      </c>
    </row>
    <row customHeight="1" ht="11.25">
      <c r="A2" s="1119" t="s">
        <v>4545</v>
      </c>
      <c r="B2" s="1119" t="s">
        <v>1511</v>
      </c>
    </row>
    <row customHeight="1" ht="11.25">
      <c r="A3" s="1119" t="s">
        <v>4546</v>
      </c>
      <c r="B3" s="1119" t="s">
        <v>1521</v>
      </c>
    </row>
    <row customHeight="1" ht="11.25">
      <c r="A4" s="1119" t="s">
        <v>4547</v>
      </c>
      <c r="B4" s="1119" t="s">
        <v>1530</v>
      </c>
    </row>
    <row customHeight="1" ht="11.25">
      <c r="A5" s="1119" t="s">
        <v>4548</v>
      </c>
      <c r="B5" s="1119" t="s">
        <v>1539</v>
      </c>
    </row>
    <row customHeight="1" ht="11.25">
      <c r="A6" s="1119" t="s">
        <v>4549</v>
      </c>
      <c r="B6" s="1119" t="s">
        <v>1545</v>
      </c>
    </row>
    <row customHeight="1" ht="11.25">
      <c r="A7" s="1119" t="s">
        <v>4550</v>
      </c>
      <c r="B7" s="1119" t="s">
        <v>1553</v>
      </c>
    </row>
    <row customHeight="1" ht="11.25">
      <c r="A8" s="1119" t="s">
        <v>4551</v>
      </c>
      <c r="B8" s="1119" t="s">
        <v>1560</v>
      </c>
    </row>
    <row customHeight="1" ht="11.25">
      <c r="A9" s="1119" t="s">
        <v>4552</v>
      </c>
      <c r="B9" s="1119" t="s">
        <v>1566</v>
      </c>
    </row>
    <row customHeight="1" ht="11.25">
      <c r="A10" s="1119" t="s">
        <v>4553</v>
      </c>
      <c r="B10" s="1119" t="s">
        <v>1570</v>
      </c>
    </row>
    <row customHeight="1" ht="11.25">
      <c r="A11" s="1119" t="s">
        <v>4554</v>
      </c>
      <c r="B11" s="1119" t="s">
        <v>1577</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F90CCD8-565F-BB28-6688-F31628973472}" mc:Ignorable="x14ac xr xr2 xr3">
  <sheetPr>
    <tabColor rgb="FFFFCC99"/>
  </sheetPr>
  <dimension ref="A1:G464"/>
  <sheetViews>
    <sheetView topLeftCell="A1" showGridLines="0" workbookViewId="0">
      <selection activeCell="A1" sqref="A1"/>
    </sheetView>
  </sheetViews>
  <sheetFormatPr customHeight="1" defaultRowHeight="11.25"/>
  <sheetData>
    <row customHeight="1" ht="11.25">
      <c r="A1" s="657" t="s">
        <v>3245</v>
      </c>
      <c r="B1" s="657" t="s">
        <v>3246</v>
      </c>
      <c r="C1" s="657" t="s">
        <v>3247</v>
      </c>
      <c r="D1" s="657" t="s">
        <v>3248</v>
      </c>
      <c r="E1" s="0" t="s">
        <v>3249</v>
      </c>
      <c r="F1" s="0" t="s">
        <v>3250</v>
      </c>
      <c r="G1" s="0" t="s">
        <v>3251</v>
      </c>
    </row>
    <row customHeight="1" ht="11.25">
      <c r="A2" s="0" t="s">
        <v>16</v>
      </c>
      <c r="B2" s="0" t="s">
        <v>3252</v>
      </c>
      <c r="C2" s="0" t="s">
        <v>3253</v>
      </c>
      <c r="D2" s="0" t="s">
        <v>3252</v>
      </c>
      <c r="E2" s="0" t="s">
        <v>3253</v>
      </c>
      <c r="F2" s="0" t="s">
        <v>3254</v>
      </c>
      <c r="G2" s="0" t="s">
        <v>110</v>
      </c>
    </row>
    <row customHeight="1" ht="11.25">
      <c r="A3" s="0" t="s">
        <v>16</v>
      </c>
      <c r="B3" s="0" t="s">
        <v>3252</v>
      </c>
      <c r="C3" s="0" t="s">
        <v>3253</v>
      </c>
      <c r="D3" s="0" t="s">
        <v>3255</v>
      </c>
      <c r="E3" s="0" t="s">
        <v>3256</v>
      </c>
      <c r="F3" s="0" t="s">
        <v>3257</v>
      </c>
      <c r="G3" s="0" t="s">
        <v>111</v>
      </c>
    </row>
    <row customHeight="1" ht="11.25">
      <c r="A4" s="0" t="s">
        <v>16</v>
      </c>
      <c r="B4" s="0" t="s">
        <v>3252</v>
      </c>
      <c r="C4" s="0" t="s">
        <v>3253</v>
      </c>
      <c r="D4" s="0" t="s">
        <v>3258</v>
      </c>
      <c r="E4" s="0" t="s">
        <v>3259</v>
      </c>
      <c r="F4" s="0" t="s">
        <v>3257</v>
      </c>
      <c r="G4" s="0" t="s">
        <v>91</v>
      </c>
    </row>
    <row customHeight="1" ht="11.25">
      <c r="A5" s="0" t="s">
        <v>16</v>
      </c>
      <c r="B5" s="0" t="s">
        <v>3252</v>
      </c>
      <c r="C5" s="0" t="s">
        <v>3253</v>
      </c>
      <c r="D5" s="0" t="s">
        <v>3260</v>
      </c>
      <c r="E5" s="0" t="s">
        <v>3261</v>
      </c>
      <c r="F5" s="0" t="s">
        <v>3257</v>
      </c>
      <c r="G5" s="0" t="s">
        <v>92</v>
      </c>
    </row>
    <row customHeight="1" ht="11.25">
      <c r="A6" s="0" t="s">
        <v>16</v>
      </c>
      <c r="B6" s="0" t="s">
        <v>3252</v>
      </c>
      <c r="C6" s="0" t="s">
        <v>3253</v>
      </c>
      <c r="D6" s="0" t="s">
        <v>3262</v>
      </c>
      <c r="E6" s="0" t="s">
        <v>3263</v>
      </c>
      <c r="F6" s="0" t="s">
        <v>3257</v>
      </c>
      <c r="G6" s="0" t="s">
        <v>112</v>
      </c>
    </row>
    <row customHeight="1" ht="11.25">
      <c r="A7" s="0" t="s">
        <v>16</v>
      </c>
      <c r="B7" s="0" t="s">
        <v>3252</v>
      </c>
      <c r="C7" s="0" t="s">
        <v>3253</v>
      </c>
      <c r="D7" s="0" t="s">
        <v>3264</v>
      </c>
      <c r="E7" s="0" t="s">
        <v>3265</v>
      </c>
      <c r="F7" s="0" t="s">
        <v>3257</v>
      </c>
      <c r="G7" s="0" t="s">
        <v>93</v>
      </c>
    </row>
    <row customHeight="1" ht="11.25">
      <c r="A8" s="0" t="s">
        <v>16</v>
      </c>
      <c r="B8" s="0" t="s">
        <v>3252</v>
      </c>
      <c r="C8" s="0" t="s">
        <v>3253</v>
      </c>
      <c r="D8" s="0" t="s">
        <v>3266</v>
      </c>
      <c r="E8" s="0" t="s">
        <v>3267</v>
      </c>
      <c r="F8" s="0" t="s">
        <v>3257</v>
      </c>
      <c r="G8" s="0" t="s">
        <v>94</v>
      </c>
    </row>
    <row customHeight="1" ht="11.25">
      <c r="A9" s="0" t="s">
        <v>16</v>
      </c>
      <c r="B9" s="0" t="s">
        <v>3252</v>
      </c>
      <c r="C9" s="0" t="s">
        <v>3253</v>
      </c>
      <c r="D9" s="0" t="s">
        <v>3268</v>
      </c>
      <c r="E9" s="0" t="s">
        <v>3269</v>
      </c>
      <c r="F9" s="0" t="s">
        <v>3257</v>
      </c>
      <c r="G9" s="0" t="s">
        <v>113</v>
      </c>
    </row>
    <row customHeight="1" ht="11.25">
      <c r="A10" s="0" t="s">
        <v>16</v>
      </c>
      <c r="B10" s="0" t="s">
        <v>3252</v>
      </c>
      <c r="C10" s="0" t="s">
        <v>3253</v>
      </c>
      <c r="D10" s="0" t="s">
        <v>3270</v>
      </c>
      <c r="E10" s="0" t="s">
        <v>3271</v>
      </c>
      <c r="F10" s="0" t="s">
        <v>3257</v>
      </c>
      <c r="G10" s="0" t="s">
        <v>149</v>
      </c>
    </row>
    <row customHeight="1" ht="11.25">
      <c r="A11" s="0" t="s">
        <v>16</v>
      </c>
      <c r="B11" s="0" t="s">
        <v>3252</v>
      </c>
      <c r="C11" s="0" t="s">
        <v>3253</v>
      </c>
      <c r="D11" s="0" t="s">
        <v>3272</v>
      </c>
      <c r="E11" s="0" t="s">
        <v>3273</v>
      </c>
      <c r="F11" s="0" t="s">
        <v>3257</v>
      </c>
      <c r="G11" s="0" t="s">
        <v>150</v>
      </c>
    </row>
    <row customHeight="1" ht="11.25">
      <c r="A12" s="0" t="s">
        <v>16</v>
      </c>
      <c r="B12" s="0" t="s">
        <v>3252</v>
      </c>
      <c r="C12" s="0" t="s">
        <v>3253</v>
      </c>
      <c r="D12" s="0" t="s">
        <v>3274</v>
      </c>
      <c r="E12" s="0" t="s">
        <v>3275</v>
      </c>
      <c r="F12" s="0" t="s">
        <v>3257</v>
      </c>
      <c r="G12" s="0" t="s">
        <v>151</v>
      </c>
    </row>
    <row customHeight="1" ht="11.25">
      <c r="A13" s="0" t="s">
        <v>16</v>
      </c>
      <c r="B13" s="0" t="s">
        <v>3252</v>
      </c>
      <c r="C13" s="0" t="s">
        <v>3253</v>
      </c>
      <c r="D13" s="0" t="s">
        <v>3276</v>
      </c>
      <c r="E13" s="0" t="s">
        <v>3277</v>
      </c>
      <c r="F13" s="0" t="s">
        <v>3257</v>
      </c>
      <c r="G13" s="0" t="s">
        <v>152</v>
      </c>
    </row>
    <row customHeight="1" ht="11.25">
      <c r="A14" s="0" t="s">
        <v>16</v>
      </c>
      <c r="B14" s="0" t="s">
        <v>3252</v>
      </c>
      <c r="C14" s="0" t="s">
        <v>3253</v>
      </c>
      <c r="D14" s="0" t="s">
        <v>3278</v>
      </c>
      <c r="E14" s="0" t="s">
        <v>3279</v>
      </c>
      <c r="F14" s="0" t="s">
        <v>3257</v>
      </c>
      <c r="G14" s="0" t="s">
        <v>153</v>
      </c>
    </row>
    <row customHeight="1" ht="11.25">
      <c r="A15" s="0" t="s">
        <v>16</v>
      </c>
      <c r="B15" s="0" t="s">
        <v>3252</v>
      </c>
      <c r="C15" s="0" t="s">
        <v>3253</v>
      </c>
      <c r="D15" s="0" t="s">
        <v>3280</v>
      </c>
      <c r="E15" s="0" t="s">
        <v>3281</v>
      </c>
      <c r="F15" s="0" t="s">
        <v>3257</v>
      </c>
      <c r="G15" s="0" t="s">
        <v>154</v>
      </c>
    </row>
    <row customHeight="1" ht="11.25">
      <c r="A16" s="0" t="s">
        <v>16</v>
      </c>
      <c r="B16" s="0" t="s">
        <v>3252</v>
      </c>
      <c r="C16" s="0" t="s">
        <v>3253</v>
      </c>
      <c r="D16" s="0" t="s">
        <v>3282</v>
      </c>
      <c r="E16" s="0" t="s">
        <v>3283</v>
      </c>
      <c r="F16" s="0" t="s">
        <v>3257</v>
      </c>
      <c r="G16" s="0" t="s">
        <v>1473</v>
      </c>
    </row>
    <row customHeight="1" ht="11.25">
      <c r="A17" s="0" t="s">
        <v>16</v>
      </c>
      <c r="B17" s="0" t="s">
        <v>3252</v>
      </c>
      <c r="C17" s="0" t="s">
        <v>3253</v>
      </c>
      <c r="D17" s="0" t="s">
        <v>3284</v>
      </c>
      <c r="E17" s="0" t="s">
        <v>3285</v>
      </c>
      <c r="F17" s="0" t="s">
        <v>3257</v>
      </c>
      <c r="G17" s="0" t="s">
        <v>1479</v>
      </c>
    </row>
    <row customHeight="1" ht="11.25">
      <c r="A18" s="0" t="s">
        <v>16</v>
      </c>
      <c r="B18" s="0" t="s">
        <v>3252</v>
      </c>
      <c r="C18" s="0" t="s">
        <v>3253</v>
      </c>
      <c r="D18" s="0" t="s">
        <v>3286</v>
      </c>
      <c r="E18" s="0" t="s">
        <v>3287</v>
      </c>
      <c r="F18" s="0" t="s">
        <v>3257</v>
      </c>
      <c r="G18" s="0" t="s">
        <v>1491</v>
      </c>
    </row>
    <row customHeight="1" ht="11.25">
      <c r="A19" s="0" t="s">
        <v>16</v>
      </c>
      <c r="B19" s="0" t="s">
        <v>3252</v>
      </c>
      <c r="C19" s="0" t="s">
        <v>3253</v>
      </c>
      <c r="D19" s="0" t="s">
        <v>3288</v>
      </c>
      <c r="E19" s="0" t="s">
        <v>3289</v>
      </c>
      <c r="F19" s="0" t="s">
        <v>3257</v>
      </c>
      <c r="G19" s="0" t="s">
        <v>1505</v>
      </c>
    </row>
    <row customHeight="1" ht="11.25">
      <c r="A20" s="0" t="s">
        <v>16</v>
      </c>
      <c r="B20" s="0" t="s">
        <v>3252</v>
      </c>
      <c r="C20" s="0" t="s">
        <v>3253</v>
      </c>
      <c r="D20" s="0" t="s">
        <v>3290</v>
      </c>
      <c r="E20" s="0" t="s">
        <v>3291</v>
      </c>
      <c r="F20" s="0" t="s">
        <v>3257</v>
      </c>
      <c r="G20" s="0" t="s">
        <v>1517</v>
      </c>
    </row>
    <row customHeight="1" ht="11.25">
      <c r="A21" s="0" t="s">
        <v>16</v>
      </c>
      <c r="B21" s="0" t="s">
        <v>3292</v>
      </c>
      <c r="C21" s="0" t="s">
        <v>3293</v>
      </c>
      <c r="D21" s="0" t="s">
        <v>3292</v>
      </c>
      <c r="E21" s="0" t="s">
        <v>3293</v>
      </c>
      <c r="F21" s="0" t="s">
        <v>3254</v>
      </c>
      <c r="G21" s="0" t="s">
        <v>1526</v>
      </c>
    </row>
    <row customHeight="1" ht="11.25">
      <c r="A22" s="0" t="s">
        <v>16</v>
      </c>
      <c r="B22" s="0" t="s">
        <v>3292</v>
      </c>
      <c r="C22" s="0" t="s">
        <v>3293</v>
      </c>
      <c r="D22" s="0" t="s">
        <v>3294</v>
      </c>
      <c r="E22" s="0" t="s">
        <v>3295</v>
      </c>
      <c r="F22" s="0" t="s">
        <v>3296</v>
      </c>
      <c r="G22" s="0" t="s">
        <v>1542</v>
      </c>
    </row>
    <row customHeight="1" ht="11.25">
      <c r="A23" s="0" t="s">
        <v>16</v>
      </c>
      <c r="B23" s="0" t="s">
        <v>3292</v>
      </c>
      <c r="C23" s="0" t="s">
        <v>3293</v>
      </c>
      <c r="D23" s="0" t="s">
        <v>3297</v>
      </c>
      <c r="E23" s="0" t="s">
        <v>3298</v>
      </c>
      <c r="F23" s="0" t="s">
        <v>3257</v>
      </c>
      <c r="G23" s="0" t="s">
        <v>1549</v>
      </c>
    </row>
    <row customHeight="1" ht="11.25">
      <c r="A24" s="0" t="s">
        <v>16</v>
      </c>
      <c r="B24" s="0" t="s">
        <v>3292</v>
      </c>
      <c r="C24" s="0" t="s">
        <v>3293</v>
      </c>
      <c r="D24" s="0" t="s">
        <v>3299</v>
      </c>
      <c r="E24" s="0" t="s">
        <v>3300</v>
      </c>
      <c r="F24" s="0" t="s">
        <v>3257</v>
      </c>
      <c r="G24" s="0" t="s">
        <v>1557</v>
      </c>
    </row>
    <row customHeight="1" ht="11.25">
      <c r="A25" s="0" t="s">
        <v>16</v>
      </c>
      <c r="B25" s="0" t="s">
        <v>3292</v>
      </c>
      <c r="C25" s="0" t="s">
        <v>3293</v>
      </c>
      <c r="D25" s="0" t="s">
        <v>3301</v>
      </c>
      <c r="E25" s="0" t="s">
        <v>3302</v>
      </c>
      <c r="F25" s="0" t="s">
        <v>3257</v>
      </c>
      <c r="G25" s="0" t="s">
        <v>1564</v>
      </c>
    </row>
    <row customHeight="1" ht="11.25">
      <c r="A26" s="0" t="s">
        <v>16</v>
      </c>
      <c r="B26" s="0" t="s">
        <v>3292</v>
      </c>
      <c r="C26" s="0" t="s">
        <v>3293</v>
      </c>
      <c r="D26" s="0" t="s">
        <v>3303</v>
      </c>
      <c r="E26" s="0" t="s">
        <v>3304</v>
      </c>
      <c r="F26" s="0" t="s">
        <v>3257</v>
      </c>
      <c r="G26" s="0" t="s">
        <v>1568</v>
      </c>
    </row>
    <row customHeight="1" ht="11.25">
      <c r="A27" s="0" t="s">
        <v>16</v>
      </c>
      <c r="B27" s="0" t="s">
        <v>3292</v>
      </c>
      <c r="C27" s="0" t="s">
        <v>3293</v>
      </c>
      <c r="D27" s="0" t="s">
        <v>3305</v>
      </c>
      <c r="E27" s="0" t="s">
        <v>3306</v>
      </c>
      <c r="F27" s="0" t="s">
        <v>3257</v>
      </c>
      <c r="G27" s="0" t="s">
        <v>1573</v>
      </c>
    </row>
    <row customHeight="1" ht="11.25">
      <c r="A28" s="0" t="s">
        <v>16</v>
      </c>
      <c r="B28" s="0" t="s">
        <v>3292</v>
      </c>
      <c r="C28" s="0" t="s">
        <v>3293</v>
      </c>
      <c r="D28" s="0" t="s">
        <v>3307</v>
      </c>
      <c r="E28" s="0" t="s">
        <v>3308</v>
      </c>
      <c r="F28" s="0" t="s">
        <v>3257</v>
      </c>
      <c r="G28" s="0" t="s">
        <v>1581</v>
      </c>
    </row>
    <row customHeight="1" ht="11.25">
      <c r="A29" s="0" t="s">
        <v>16</v>
      </c>
      <c r="B29" s="0" t="s">
        <v>3292</v>
      </c>
      <c r="C29" s="0" t="s">
        <v>3293</v>
      </c>
      <c r="D29" s="0" t="s">
        <v>3309</v>
      </c>
      <c r="E29" s="0" t="s">
        <v>3310</v>
      </c>
      <c r="F29" s="0" t="s">
        <v>3257</v>
      </c>
      <c r="G29" s="0" t="s">
        <v>1583</v>
      </c>
    </row>
    <row customHeight="1" ht="11.25">
      <c r="A30" s="0" t="s">
        <v>16</v>
      </c>
      <c r="B30" s="0" t="s">
        <v>3292</v>
      </c>
      <c r="C30" s="0" t="s">
        <v>3293</v>
      </c>
      <c r="D30" s="0" t="s">
        <v>3311</v>
      </c>
      <c r="E30" s="0" t="s">
        <v>3312</v>
      </c>
      <c r="F30" s="0" t="s">
        <v>3257</v>
      </c>
      <c r="G30" s="0" t="s">
        <v>1586</v>
      </c>
    </row>
    <row customHeight="1" ht="11.25">
      <c r="A31" s="0" t="s">
        <v>16</v>
      </c>
      <c r="B31" s="0" t="s">
        <v>3292</v>
      </c>
      <c r="C31" s="0" t="s">
        <v>3293</v>
      </c>
      <c r="D31" s="0" t="s">
        <v>3313</v>
      </c>
      <c r="E31" s="0" t="s">
        <v>3314</v>
      </c>
      <c r="F31" s="0" t="s">
        <v>3257</v>
      </c>
      <c r="G31" s="0" t="s">
        <v>1591</v>
      </c>
    </row>
    <row customHeight="1" ht="11.25">
      <c r="A32" s="0" t="s">
        <v>16</v>
      </c>
      <c r="B32" s="0" t="s">
        <v>3292</v>
      </c>
      <c r="C32" s="0" t="s">
        <v>3293</v>
      </c>
      <c r="D32" s="0" t="s">
        <v>3315</v>
      </c>
      <c r="E32" s="0" t="s">
        <v>3316</v>
      </c>
      <c r="F32" s="0" t="s">
        <v>3257</v>
      </c>
      <c r="G32" s="0" t="s">
        <v>1593</v>
      </c>
    </row>
    <row customHeight="1" ht="11.25">
      <c r="A33" s="0" t="s">
        <v>16</v>
      </c>
      <c r="B33" s="0" t="s">
        <v>3317</v>
      </c>
      <c r="C33" s="0" t="s">
        <v>3318</v>
      </c>
      <c r="D33" s="0" t="s">
        <v>3319</v>
      </c>
      <c r="E33" s="0" t="s">
        <v>3320</v>
      </c>
      <c r="F33" s="0" t="s">
        <v>3257</v>
      </c>
      <c r="G33" s="0" t="s">
        <v>1595</v>
      </c>
    </row>
    <row customHeight="1" ht="11.25">
      <c r="A34" s="0" t="s">
        <v>16</v>
      </c>
      <c r="B34" s="0" t="s">
        <v>3317</v>
      </c>
      <c r="C34" s="0" t="s">
        <v>3318</v>
      </c>
      <c r="D34" s="0" t="s">
        <v>3317</v>
      </c>
      <c r="E34" s="0" t="s">
        <v>3318</v>
      </c>
      <c r="F34" s="0" t="s">
        <v>3254</v>
      </c>
      <c r="G34" s="0" t="s">
        <v>1597</v>
      </c>
    </row>
    <row customHeight="1" ht="11.25">
      <c r="A35" s="0" t="s">
        <v>16</v>
      </c>
      <c r="B35" s="0" t="s">
        <v>3317</v>
      </c>
      <c r="C35" s="0" t="s">
        <v>3318</v>
      </c>
      <c r="D35" s="0" t="s">
        <v>3321</v>
      </c>
      <c r="E35" s="0" t="s">
        <v>3322</v>
      </c>
      <c r="F35" s="0" t="s">
        <v>3257</v>
      </c>
      <c r="G35" s="0" t="s">
        <v>1602</v>
      </c>
    </row>
    <row customHeight="1" ht="11.25">
      <c r="A36" s="0" t="s">
        <v>16</v>
      </c>
      <c r="B36" s="0" t="s">
        <v>3317</v>
      </c>
      <c r="C36" s="0" t="s">
        <v>3318</v>
      </c>
      <c r="D36" s="0" t="s">
        <v>3323</v>
      </c>
      <c r="E36" s="0" t="s">
        <v>3324</v>
      </c>
      <c r="F36" s="0" t="s">
        <v>3257</v>
      </c>
      <c r="G36" s="0" t="s">
        <v>1607</v>
      </c>
    </row>
    <row customHeight="1" ht="11.25">
      <c r="A37" s="0" t="s">
        <v>16</v>
      </c>
      <c r="B37" s="0" t="s">
        <v>3317</v>
      </c>
      <c r="C37" s="0" t="s">
        <v>3318</v>
      </c>
      <c r="D37" s="0" t="s">
        <v>3325</v>
      </c>
      <c r="E37" s="0" t="s">
        <v>3326</v>
      </c>
      <c r="F37" s="0" t="s">
        <v>3257</v>
      </c>
      <c r="G37" s="0" t="s">
        <v>1611</v>
      </c>
    </row>
    <row customHeight="1" ht="11.25">
      <c r="A38" s="0" t="s">
        <v>16</v>
      </c>
      <c r="B38" s="0" t="s">
        <v>3317</v>
      </c>
      <c r="C38" s="0" t="s">
        <v>3318</v>
      </c>
      <c r="D38" s="0" t="s">
        <v>3327</v>
      </c>
      <c r="E38" s="0" t="s">
        <v>3328</v>
      </c>
      <c r="F38" s="0" t="s">
        <v>3257</v>
      </c>
      <c r="G38" s="0" t="s">
        <v>1619</v>
      </c>
    </row>
    <row customHeight="1" ht="11.25">
      <c r="A39" s="0" t="s">
        <v>16</v>
      </c>
      <c r="B39" s="0" t="s">
        <v>3329</v>
      </c>
      <c r="C39" s="0" t="s">
        <v>3330</v>
      </c>
      <c r="D39" s="0" t="s">
        <v>3329</v>
      </c>
      <c r="E39" s="0" t="s">
        <v>3330</v>
      </c>
      <c r="F39" s="0" t="s">
        <v>3254</v>
      </c>
      <c r="G39" s="0" t="s">
        <v>1625</v>
      </c>
    </row>
    <row customHeight="1" ht="11.25">
      <c r="A40" s="0" t="s">
        <v>16</v>
      </c>
      <c r="B40" s="0" t="s">
        <v>3329</v>
      </c>
      <c r="C40" s="0" t="s">
        <v>3330</v>
      </c>
      <c r="D40" s="0" t="s">
        <v>3331</v>
      </c>
      <c r="E40" s="0" t="s">
        <v>3332</v>
      </c>
      <c r="F40" s="0" t="s">
        <v>3296</v>
      </c>
      <c r="G40" s="0" t="s">
        <v>1630</v>
      </c>
    </row>
    <row customHeight="1" ht="11.25">
      <c r="A41" s="0" t="s">
        <v>16</v>
      </c>
      <c r="B41" s="0" t="s">
        <v>3329</v>
      </c>
      <c r="C41" s="0" t="s">
        <v>3330</v>
      </c>
      <c r="D41" s="0" t="s">
        <v>3333</v>
      </c>
      <c r="E41" s="0" t="s">
        <v>3334</v>
      </c>
      <c r="F41" s="0" t="s">
        <v>3257</v>
      </c>
      <c r="G41" s="0" t="s">
        <v>1634</v>
      </c>
    </row>
    <row customHeight="1" ht="11.25">
      <c r="A42" s="0" t="s">
        <v>16</v>
      </c>
      <c r="B42" s="0" t="s">
        <v>3329</v>
      </c>
      <c r="C42" s="0" t="s">
        <v>3330</v>
      </c>
      <c r="D42" s="0" t="s">
        <v>3335</v>
      </c>
      <c r="E42" s="0" t="s">
        <v>3336</v>
      </c>
      <c r="F42" s="0" t="s">
        <v>3257</v>
      </c>
      <c r="G42" s="0" t="s">
        <v>1637</v>
      </c>
    </row>
    <row customHeight="1" ht="11.25">
      <c r="A43" s="0" t="s">
        <v>16</v>
      </c>
      <c r="B43" s="0" t="s">
        <v>3329</v>
      </c>
      <c r="C43" s="0" t="s">
        <v>3330</v>
      </c>
      <c r="D43" s="0" t="s">
        <v>3337</v>
      </c>
      <c r="E43" s="0" t="s">
        <v>3338</v>
      </c>
      <c r="F43" s="0" t="s">
        <v>3257</v>
      </c>
      <c r="G43" s="0" t="s">
        <v>1644</v>
      </c>
    </row>
    <row customHeight="1" ht="11.25">
      <c r="A44" s="0" t="s">
        <v>16</v>
      </c>
      <c r="B44" s="0" t="s">
        <v>3329</v>
      </c>
      <c r="C44" s="0" t="s">
        <v>3330</v>
      </c>
      <c r="D44" s="0" t="s">
        <v>3339</v>
      </c>
      <c r="E44" s="0" t="s">
        <v>3340</v>
      </c>
      <c r="F44" s="0" t="s">
        <v>3257</v>
      </c>
      <c r="G44" s="0" t="s">
        <v>1653</v>
      </c>
    </row>
    <row customHeight="1" ht="11.25">
      <c r="A45" s="0" t="s">
        <v>16</v>
      </c>
      <c r="B45" s="0" t="s">
        <v>3329</v>
      </c>
      <c r="C45" s="0" t="s">
        <v>3330</v>
      </c>
      <c r="D45" s="0" t="s">
        <v>3341</v>
      </c>
      <c r="E45" s="0" t="s">
        <v>3342</v>
      </c>
      <c r="F45" s="0" t="s">
        <v>3257</v>
      </c>
      <c r="G45" s="0" t="s">
        <v>1658</v>
      </c>
    </row>
    <row customHeight="1" ht="11.25">
      <c r="A46" s="0" t="s">
        <v>16</v>
      </c>
      <c r="B46" s="0" t="s">
        <v>3329</v>
      </c>
      <c r="C46" s="0" t="s">
        <v>3330</v>
      </c>
      <c r="D46" s="0" t="s">
        <v>3343</v>
      </c>
      <c r="E46" s="0" t="s">
        <v>3344</v>
      </c>
      <c r="F46" s="0" t="s">
        <v>3257</v>
      </c>
      <c r="G46" s="0" t="s">
        <v>1662</v>
      </c>
    </row>
    <row customHeight="1" ht="11.25">
      <c r="A47" s="0" t="s">
        <v>16</v>
      </c>
      <c r="B47" s="0" t="s">
        <v>3329</v>
      </c>
      <c r="C47" s="0" t="s">
        <v>3330</v>
      </c>
      <c r="D47" s="0" t="s">
        <v>3345</v>
      </c>
      <c r="E47" s="0" t="s">
        <v>3346</v>
      </c>
      <c r="F47" s="0" t="s">
        <v>3257</v>
      </c>
      <c r="G47" s="0" t="s">
        <v>1668</v>
      </c>
    </row>
    <row customHeight="1" ht="11.25">
      <c r="A48" s="0" t="s">
        <v>16</v>
      </c>
      <c r="B48" s="0" t="s">
        <v>3329</v>
      </c>
      <c r="C48" s="0" t="s">
        <v>3330</v>
      </c>
      <c r="D48" s="0" t="s">
        <v>3347</v>
      </c>
      <c r="E48" s="0" t="s">
        <v>3348</v>
      </c>
      <c r="F48" s="0" t="s">
        <v>3257</v>
      </c>
      <c r="G48" s="0" t="s">
        <v>1673</v>
      </c>
    </row>
    <row customHeight="1" ht="11.25">
      <c r="A49" s="0" t="s">
        <v>16</v>
      </c>
      <c r="B49" s="0" t="s">
        <v>3329</v>
      </c>
      <c r="C49" s="0" t="s">
        <v>3330</v>
      </c>
      <c r="D49" s="0" t="s">
        <v>3349</v>
      </c>
      <c r="E49" s="0" t="s">
        <v>3350</v>
      </c>
      <c r="F49" s="0" t="s">
        <v>3257</v>
      </c>
      <c r="G49" s="0" t="s">
        <v>1676</v>
      </c>
    </row>
    <row customHeight="1" ht="11.25">
      <c r="A50" s="0" t="s">
        <v>16</v>
      </c>
      <c r="B50" s="0" t="s">
        <v>3329</v>
      </c>
      <c r="C50" s="0" t="s">
        <v>3330</v>
      </c>
      <c r="D50" s="0" t="s">
        <v>3351</v>
      </c>
      <c r="E50" s="0" t="s">
        <v>3352</v>
      </c>
      <c r="F50" s="0" t="s">
        <v>3257</v>
      </c>
      <c r="G50" s="0" t="s">
        <v>1679</v>
      </c>
    </row>
    <row customHeight="1" ht="11.25">
      <c r="A51" s="0" t="s">
        <v>16</v>
      </c>
      <c r="B51" s="0" t="s">
        <v>3329</v>
      </c>
      <c r="C51" s="0" t="s">
        <v>3330</v>
      </c>
      <c r="D51" s="0" t="s">
        <v>3353</v>
      </c>
      <c r="E51" s="0" t="s">
        <v>3354</v>
      </c>
      <c r="F51" s="0" t="s">
        <v>3296</v>
      </c>
      <c r="G51" s="0" t="s">
        <v>1684</v>
      </c>
    </row>
    <row customHeight="1" ht="11.25">
      <c r="A52" s="0" t="s">
        <v>16</v>
      </c>
      <c r="B52" s="0" t="s">
        <v>3355</v>
      </c>
      <c r="C52" s="0" t="s">
        <v>3356</v>
      </c>
      <c r="D52" s="0" t="s">
        <v>3355</v>
      </c>
      <c r="E52" s="0" t="s">
        <v>3356</v>
      </c>
      <c r="F52" s="0" t="s">
        <v>3254</v>
      </c>
      <c r="G52" s="0" t="s">
        <v>1688</v>
      </c>
    </row>
    <row customHeight="1" ht="11.25">
      <c r="A53" s="0" t="s">
        <v>16</v>
      </c>
      <c r="B53" s="0" t="s">
        <v>3355</v>
      </c>
      <c r="C53" s="0" t="s">
        <v>3356</v>
      </c>
      <c r="D53" s="0" t="s">
        <v>3357</v>
      </c>
      <c r="E53" s="0" t="s">
        <v>3358</v>
      </c>
      <c r="F53" s="0" t="s">
        <v>3257</v>
      </c>
      <c r="G53" s="0" t="s">
        <v>1690</v>
      </c>
    </row>
    <row customHeight="1" ht="11.25">
      <c r="A54" s="0" t="s">
        <v>16</v>
      </c>
      <c r="B54" s="0" t="s">
        <v>3355</v>
      </c>
      <c r="C54" s="0" t="s">
        <v>3356</v>
      </c>
      <c r="D54" s="0" t="s">
        <v>3359</v>
      </c>
      <c r="E54" s="0" t="s">
        <v>3360</v>
      </c>
      <c r="F54" s="0" t="s">
        <v>3257</v>
      </c>
      <c r="G54" s="0" t="s">
        <v>1693</v>
      </c>
    </row>
    <row customHeight="1" ht="11.25">
      <c r="A55" s="0" t="s">
        <v>16</v>
      </c>
      <c r="B55" s="0" t="s">
        <v>3355</v>
      </c>
      <c r="C55" s="0" t="s">
        <v>3356</v>
      </c>
      <c r="D55" s="0" t="s">
        <v>3361</v>
      </c>
      <c r="E55" s="0" t="s">
        <v>3362</v>
      </c>
      <c r="F55" s="0" t="s">
        <v>3257</v>
      </c>
      <c r="G55" s="0" t="s">
        <v>1697</v>
      </c>
    </row>
    <row customHeight="1" ht="11.25">
      <c r="A56" s="0" t="s">
        <v>16</v>
      </c>
      <c r="B56" s="0" t="s">
        <v>3355</v>
      </c>
      <c r="C56" s="0" t="s">
        <v>3356</v>
      </c>
      <c r="D56" s="0" t="s">
        <v>3363</v>
      </c>
      <c r="E56" s="0" t="s">
        <v>3364</v>
      </c>
      <c r="F56" s="0" t="s">
        <v>3257</v>
      </c>
      <c r="G56" s="0" t="s">
        <v>1700</v>
      </c>
    </row>
    <row customHeight="1" ht="11.25">
      <c r="A57" s="0" t="s">
        <v>16</v>
      </c>
      <c r="B57" s="0" t="s">
        <v>3355</v>
      </c>
      <c r="C57" s="0" t="s">
        <v>3356</v>
      </c>
      <c r="D57" s="0" t="s">
        <v>3365</v>
      </c>
      <c r="E57" s="0" t="s">
        <v>3366</v>
      </c>
      <c r="F57" s="0" t="s">
        <v>3257</v>
      </c>
      <c r="G57" s="0" t="s">
        <v>1703</v>
      </c>
    </row>
    <row customHeight="1" ht="11.25">
      <c r="A58" s="0" t="s">
        <v>16</v>
      </c>
      <c r="B58" s="0" t="s">
        <v>3355</v>
      </c>
      <c r="C58" s="0" t="s">
        <v>3356</v>
      </c>
      <c r="D58" s="0" t="s">
        <v>3367</v>
      </c>
      <c r="E58" s="0" t="s">
        <v>3368</v>
      </c>
      <c r="F58" s="0" t="s">
        <v>3257</v>
      </c>
      <c r="G58" s="0" t="s">
        <v>1706</v>
      </c>
    </row>
    <row customHeight="1" ht="11.25">
      <c r="A59" s="0" t="s">
        <v>16</v>
      </c>
      <c r="B59" s="0" t="s">
        <v>3355</v>
      </c>
      <c r="C59" s="0" t="s">
        <v>3356</v>
      </c>
      <c r="D59" s="0" t="s">
        <v>3369</v>
      </c>
      <c r="E59" s="0" t="s">
        <v>3370</v>
      </c>
      <c r="F59" s="0" t="s">
        <v>3257</v>
      </c>
      <c r="G59" s="0" t="s">
        <v>1710</v>
      </c>
    </row>
    <row customHeight="1" ht="11.25">
      <c r="A60" s="0" t="s">
        <v>16</v>
      </c>
      <c r="B60" s="0" t="s">
        <v>3371</v>
      </c>
      <c r="C60" s="0" t="s">
        <v>3372</v>
      </c>
      <c r="D60" s="0" t="s">
        <v>3371</v>
      </c>
      <c r="E60" s="0" t="s">
        <v>3372</v>
      </c>
      <c r="F60" s="0" t="s">
        <v>3254</v>
      </c>
      <c r="G60" s="0" t="s">
        <v>1713</v>
      </c>
    </row>
    <row customHeight="1" ht="11.25">
      <c r="A61" s="0" t="s">
        <v>16</v>
      </c>
      <c r="B61" s="0" t="s">
        <v>3371</v>
      </c>
      <c r="C61" s="0" t="s">
        <v>3372</v>
      </c>
      <c r="D61" s="0" t="s">
        <v>3373</v>
      </c>
      <c r="E61" s="0" t="s">
        <v>3374</v>
      </c>
      <c r="F61" s="0" t="s">
        <v>3257</v>
      </c>
      <c r="G61" s="0" t="s">
        <v>3375</v>
      </c>
    </row>
    <row customHeight="1" ht="11.25">
      <c r="A62" s="0" t="s">
        <v>16</v>
      </c>
      <c r="B62" s="0" t="s">
        <v>3371</v>
      </c>
      <c r="C62" s="0" t="s">
        <v>3372</v>
      </c>
      <c r="D62" s="0" t="s">
        <v>3376</v>
      </c>
      <c r="E62" s="0" t="s">
        <v>3377</v>
      </c>
      <c r="F62" s="0" t="s">
        <v>3257</v>
      </c>
      <c r="G62" s="0" t="s">
        <v>3378</v>
      </c>
    </row>
    <row customHeight="1" ht="11.25">
      <c r="A63" s="0" t="s">
        <v>16</v>
      </c>
      <c r="B63" s="0" t="s">
        <v>3371</v>
      </c>
      <c r="C63" s="0" t="s">
        <v>3372</v>
      </c>
      <c r="D63" s="0" t="s">
        <v>3379</v>
      </c>
      <c r="E63" s="0" t="s">
        <v>3380</v>
      </c>
      <c r="F63" s="0" t="s">
        <v>3257</v>
      </c>
      <c r="G63" s="0" t="s">
        <v>3381</v>
      </c>
    </row>
    <row customHeight="1" ht="11.25">
      <c r="A64" s="0" t="s">
        <v>16</v>
      </c>
      <c r="B64" s="0" t="s">
        <v>3371</v>
      </c>
      <c r="C64" s="0" t="s">
        <v>3372</v>
      </c>
      <c r="D64" s="0" t="s">
        <v>3382</v>
      </c>
      <c r="E64" s="0" t="s">
        <v>3383</v>
      </c>
      <c r="F64" s="0" t="s">
        <v>3257</v>
      </c>
      <c r="G64" s="0" t="s">
        <v>3384</v>
      </c>
    </row>
    <row customHeight="1" ht="11.25">
      <c r="A65" s="0" t="s">
        <v>16</v>
      </c>
      <c r="B65" s="0" t="s">
        <v>3371</v>
      </c>
      <c r="C65" s="0" t="s">
        <v>3372</v>
      </c>
      <c r="D65" s="0" t="s">
        <v>3385</v>
      </c>
      <c r="E65" s="0" t="s">
        <v>3386</v>
      </c>
      <c r="F65" s="0" t="s">
        <v>3257</v>
      </c>
      <c r="G65" s="0" t="s">
        <v>3387</v>
      </c>
    </row>
    <row customHeight="1" ht="11.25">
      <c r="A66" s="0" t="s">
        <v>16</v>
      </c>
      <c r="B66" s="0" t="s">
        <v>3371</v>
      </c>
      <c r="C66" s="0" t="s">
        <v>3372</v>
      </c>
      <c r="D66" s="0" t="s">
        <v>3388</v>
      </c>
      <c r="E66" s="0" t="s">
        <v>3389</v>
      </c>
      <c r="F66" s="0" t="s">
        <v>3257</v>
      </c>
      <c r="G66" s="0" t="s">
        <v>3390</v>
      </c>
    </row>
    <row customHeight="1" ht="11.25">
      <c r="A67" s="0" t="s">
        <v>16</v>
      </c>
      <c r="B67" s="0" t="s">
        <v>3371</v>
      </c>
      <c r="C67" s="0" t="s">
        <v>3372</v>
      </c>
      <c r="D67" s="0" t="s">
        <v>3391</v>
      </c>
      <c r="E67" s="0" t="s">
        <v>3392</v>
      </c>
      <c r="F67" s="0" t="s">
        <v>3257</v>
      </c>
      <c r="G67" s="0" t="s">
        <v>2031</v>
      </c>
    </row>
    <row customHeight="1" ht="11.25">
      <c r="A68" s="0" t="s">
        <v>16</v>
      </c>
      <c r="B68" s="0" t="s">
        <v>3371</v>
      </c>
      <c r="C68" s="0" t="s">
        <v>3372</v>
      </c>
      <c r="D68" s="0" t="s">
        <v>3393</v>
      </c>
      <c r="E68" s="0" t="s">
        <v>3394</v>
      </c>
      <c r="F68" s="0" t="s">
        <v>3257</v>
      </c>
      <c r="G68" s="0" t="s">
        <v>3395</v>
      </c>
    </row>
    <row customHeight="1" ht="11.25">
      <c r="A69" s="0" t="s">
        <v>16</v>
      </c>
      <c r="B69" s="0" t="s">
        <v>3371</v>
      </c>
      <c r="C69" s="0" t="s">
        <v>3372</v>
      </c>
      <c r="D69" s="0" t="s">
        <v>3396</v>
      </c>
      <c r="E69" s="0" t="s">
        <v>3397</v>
      </c>
      <c r="F69" s="0" t="s">
        <v>3257</v>
      </c>
      <c r="G69" s="0" t="s">
        <v>2234</v>
      </c>
    </row>
    <row customHeight="1" ht="11.25">
      <c r="A70" s="0" t="s">
        <v>16</v>
      </c>
      <c r="B70" s="0" t="s">
        <v>3371</v>
      </c>
      <c r="C70" s="0" t="s">
        <v>3372</v>
      </c>
      <c r="D70" s="0" t="s">
        <v>3398</v>
      </c>
      <c r="E70" s="0" t="s">
        <v>3399</v>
      </c>
      <c r="F70" s="0" t="s">
        <v>3257</v>
      </c>
      <c r="G70" s="0" t="s">
        <v>3400</v>
      </c>
    </row>
    <row customHeight="1" ht="11.25">
      <c r="A71" s="0" t="s">
        <v>16</v>
      </c>
      <c r="B71" s="0" t="s">
        <v>3401</v>
      </c>
      <c r="C71" s="0" t="s">
        <v>3402</v>
      </c>
      <c r="D71" s="0" t="s">
        <v>3403</v>
      </c>
      <c r="E71" s="0" t="s">
        <v>3404</v>
      </c>
      <c r="F71" s="0" t="s">
        <v>3257</v>
      </c>
      <c r="G71" s="0" t="s">
        <v>3405</v>
      </c>
    </row>
    <row customHeight="1" ht="11.25">
      <c r="A72" s="0" t="s">
        <v>16</v>
      </c>
      <c r="B72" s="0" t="s">
        <v>3401</v>
      </c>
      <c r="C72" s="0" t="s">
        <v>3402</v>
      </c>
      <c r="D72" s="0" t="s">
        <v>3401</v>
      </c>
      <c r="E72" s="0" t="s">
        <v>3402</v>
      </c>
      <c r="F72" s="0" t="s">
        <v>3254</v>
      </c>
      <c r="G72" s="0" t="s">
        <v>3406</v>
      </c>
    </row>
    <row customHeight="1" ht="11.25">
      <c r="A73" s="0" t="s">
        <v>16</v>
      </c>
      <c r="B73" s="0" t="s">
        <v>3401</v>
      </c>
      <c r="C73" s="0" t="s">
        <v>3402</v>
      </c>
      <c r="D73" s="0" t="s">
        <v>3407</v>
      </c>
      <c r="E73" s="0" t="s">
        <v>3408</v>
      </c>
      <c r="F73" s="0" t="s">
        <v>3257</v>
      </c>
      <c r="G73" s="0" t="s">
        <v>3409</v>
      </c>
    </row>
    <row customHeight="1" ht="11.25">
      <c r="A74" s="0" t="s">
        <v>16</v>
      </c>
      <c r="B74" s="0" t="s">
        <v>3401</v>
      </c>
      <c r="C74" s="0" t="s">
        <v>3402</v>
      </c>
      <c r="D74" s="0" t="s">
        <v>3410</v>
      </c>
      <c r="E74" s="0" t="s">
        <v>3411</v>
      </c>
      <c r="F74" s="0" t="s">
        <v>3257</v>
      </c>
      <c r="G74" s="0" t="s">
        <v>3412</v>
      </c>
    </row>
    <row customHeight="1" ht="11.25">
      <c r="A75" s="0" t="s">
        <v>16</v>
      </c>
      <c r="B75" s="0" t="s">
        <v>3401</v>
      </c>
      <c r="C75" s="0" t="s">
        <v>3402</v>
      </c>
      <c r="D75" s="0" t="s">
        <v>3413</v>
      </c>
      <c r="E75" s="0" t="s">
        <v>3414</v>
      </c>
      <c r="F75" s="0" t="s">
        <v>3257</v>
      </c>
      <c r="G75" s="0" t="s">
        <v>3415</v>
      </c>
    </row>
    <row customHeight="1" ht="11.25">
      <c r="A76" s="0" t="s">
        <v>16</v>
      </c>
      <c r="B76" s="0" t="s">
        <v>3416</v>
      </c>
      <c r="C76" s="0" t="s">
        <v>3417</v>
      </c>
      <c r="D76" s="0" t="s">
        <v>3416</v>
      </c>
      <c r="E76" s="0" t="s">
        <v>3417</v>
      </c>
      <c r="F76" s="0" t="s">
        <v>3254</v>
      </c>
      <c r="G76" s="0" t="s">
        <v>3418</v>
      </c>
    </row>
    <row customHeight="1" ht="11.25">
      <c r="A77" s="0" t="s">
        <v>16</v>
      </c>
      <c r="B77" s="0" t="s">
        <v>3416</v>
      </c>
      <c r="C77" s="0" t="s">
        <v>3417</v>
      </c>
      <c r="D77" s="0" t="s">
        <v>3419</v>
      </c>
      <c r="E77" s="0" t="s">
        <v>3420</v>
      </c>
      <c r="F77" s="0" t="s">
        <v>3257</v>
      </c>
      <c r="G77" s="0" t="s">
        <v>3421</v>
      </c>
    </row>
    <row customHeight="1" ht="11.25">
      <c r="A78" s="0" t="s">
        <v>16</v>
      </c>
      <c r="B78" s="0" t="s">
        <v>3416</v>
      </c>
      <c r="C78" s="0" t="s">
        <v>3417</v>
      </c>
      <c r="D78" s="0" t="s">
        <v>3422</v>
      </c>
      <c r="E78" s="0" t="s">
        <v>3423</v>
      </c>
      <c r="F78" s="0" t="s">
        <v>3257</v>
      </c>
      <c r="G78" s="0" t="s">
        <v>3424</v>
      </c>
    </row>
    <row customHeight="1" ht="11.25">
      <c r="A79" s="0" t="s">
        <v>16</v>
      </c>
      <c r="B79" s="0" t="s">
        <v>3416</v>
      </c>
      <c r="C79" s="0" t="s">
        <v>3417</v>
      </c>
      <c r="D79" s="0" t="s">
        <v>3425</v>
      </c>
      <c r="E79" s="0" t="s">
        <v>3426</v>
      </c>
      <c r="F79" s="0" t="s">
        <v>3257</v>
      </c>
      <c r="G79" s="0" t="s">
        <v>3427</v>
      </c>
    </row>
    <row customHeight="1" ht="11.25">
      <c r="A80" s="0" t="s">
        <v>16</v>
      </c>
      <c r="B80" s="0" t="s">
        <v>3416</v>
      </c>
      <c r="C80" s="0" t="s">
        <v>3417</v>
      </c>
      <c r="D80" s="0" t="s">
        <v>3428</v>
      </c>
      <c r="E80" s="0" t="s">
        <v>3429</v>
      </c>
      <c r="F80" s="0" t="s">
        <v>3257</v>
      </c>
      <c r="G80" s="0" t="s">
        <v>3430</v>
      </c>
    </row>
    <row customHeight="1" ht="11.25">
      <c r="A81" s="0" t="s">
        <v>16</v>
      </c>
      <c r="B81" s="0" t="s">
        <v>3416</v>
      </c>
      <c r="C81" s="0" t="s">
        <v>3417</v>
      </c>
      <c r="D81" s="0" t="s">
        <v>3431</v>
      </c>
      <c r="E81" s="0" t="s">
        <v>3432</v>
      </c>
      <c r="F81" s="0" t="s">
        <v>3257</v>
      </c>
      <c r="G81" s="0" t="s">
        <v>3433</v>
      </c>
    </row>
    <row customHeight="1" ht="11.25">
      <c r="A82" s="0" t="s">
        <v>16</v>
      </c>
      <c r="B82" s="0" t="s">
        <v>3416</v>
      </c>
      <c r="C82" s="0" t="s">
        <v>3417</v>
      </c>
      <c r="D82" s="0" t="s">
        <v>3434</v>
      </c>
      <c r="E82" s="0" t="s">
        <v>3435</v>
      </c>
      <c r="F82" s="0" t="s">
        <v>3257</v>
      </c>
      <c r="G82" s="0" t="s">
        <v>3436</v>
      </c>
    </row>
    <row customHeight="1" ht="11.25">
      <c r="A83" s="0" t="s">
        <v>16</v>
      </c>
      <c r="B83" s="0" t="s">
        <v>3416</v>
      </c>
      <c r="C83" s="0" t="s">
        <v>3417</v>
      </c>
      <c r="D83" s="0" t="s">
        <v>3437</v>
      </c>
      <c r="E83" s="0" t="s">
        <v>3438</v>
      </c>
      <c r="F83" s="0" t="s">
        <v>3257</v>
      </c>
      <c r="G83" s="0" t="s">
        <v>3439</v>
      </c>
    </row>
    <row customHeight="1" ht="11.25">
      <c r="A84" s="0" t="s">
        <v>16</v>
      </c>
      <c r="B84" s="0" t="s">
        <v>101</v>
      </c>
      <c r="C84" s="0" t="s">
        <v>102</v>
      </c>
      <c r="D84" s="0" t="s">
        <v>101</v>
      </c>
      <c r="E84" s="0" t="s">
        <v>102</v>
      </c>
      <c r="F84" s="0" t="s">
        <v>3440</v>
      </c>
      <c r="G84" s="0" t="s">
        <v>100</v>
      </c>
    </row>
    <row customHeight="1" ht="11.25">
      <c r="A85" s="0" t="s">
        <v>16</v>
      </c>
      <c r="B85" s="0" t="s">
        <v>3441</v>
      </c>
      <c r="C85" s="0" t="s">
        <v>3442</v>
      </c>
      <c r="D85" s="0" t="s">
        <v>3441</v>
      </c>
      <c r="E85" s="0" t="s">
        <v>3442</v>
      </c>
      <c r="F85" s="0" t="s">
        <v>3440</v>
      </c>
      <c r="G85" s="0" t="s">
        <v>3443</v>
      </c>
    </row>
    <row customHeight="1" ht="11.25">
      <c r="A86" s="0" t="s">
        <v>16</v>
      </c>
      <c r="B86" s="0" t="s">
        <v>3444</v>
      </c>
      <c r="C86" s="0" t="s">
        <v>3445</v>
      </c>
      <c r="D86" s="0" t="s">
        <v>3444</v>
      </c>
      <c r="E86" s="0" t="s">
        <v>3445</v>
      </c>
      <c r="F86" s="0" t="s">
        <v>3440</v>
      </c>
      <c r="G86" s="0" t="s">
        <v>3446</v>
      </c>
    </row>
    <row customHeight="1" ht="11.25">
      <c r="A87" s="0" t="s">
        <v>16</v>
      </c>
      <c r="B87" s="0" t="s">
        <v>3447</v>
      </c>
      <c r="C87" s="0" t="s">
        <v>3448</v>
      </c>
      <c r="D87" s="0" t="s">
        <v>3447</v>
      </c>
      <c r="E87" s="0" t="s">
        <v>3448</v>
      </c>
      <c r="F87" s="0" t="s">
        <v>3440</v>
      </c>
      <c r="G87" s="0" t="s">
        <v>3449</v>
      </c>
    </row>
    <row customHeight="1" ht="11.25">
      <c r="A88" s="0" t="s">
        <v>16</v>
      </c>
      <c r="B88" s="0" t="s">
        <v>3450</v>
      </c>
      <c r="C88" s="0" t="s">
        <v>3451</v>
      </c>
      <c r="D88" s="0" t="s">
        <v>3450</v>
      </c>
      <c r="E88" s="0" t="s">
        <v>3451</v>
      </c>
      <c r="F88" s="0" t="s">
        <v>3440</v>
      </c>
      <c r="G88" s="0" t="s">
        <v>3452</v>
      </c>
    </row>
    <row customHeight="1" ht="11.25">
      <c r="A89" s="0" t="s">
        <v>16</v>
      </c>
      <c r="B89" s="0" t="s">
        <v>3453</v>
      </c>
      <c r="C89" s="0" t="s">
        <v>3454</v>
      </c>
      <c r="D89" s="0" t="s">
        <v>3453</v>
      </c>
      <c r="E89" s="0" t="s">
        <v>3454</v>
      </c>
      <c r="F89" s="0" t="s">
        <v>3440</v>
      </c>
      <c r="G89" s="0" t="s">
        <v>3455</v>
      </c>
    </row>
    <row customHeight="1" ht="11.25">
      <c r="A90" s="0" t="s">
        <v>16</v>
      </c>
      <c r="B90" s="0" t="s">
        <v>3456</v>
      </c>
      <c r="C90" s="0" t="s">
        <v>3457</v>
      </c>
      <c r="D90" s="0" t="s">
        <v>3456</v>
      </c>
      <c r="E90" s="0" t="s">
        <v>3457</v>
      </c>
      <c r="F90" s="0" t="s">
        <v>3440</v>
      </c>
      <c r="G90" s="0" t="s">
        <v>3458</v>
      </c>
    </row>
    <row customHeight="1" ht="11.25">
      <c r="A91" s="0" t="s">
        <v>16</v>
      </c>
      <c r="B91" s="0" t="s">
        <v>3459</v>
      </c>
      <c r="C91" s="0" t="s">
        <v>3460</v>
      </c>
      <c r="D91" s="0" t="s">
        <v>3459</v>
      </c>
      <c r="E91" s="0" t="s">
        <v>3460</v>
      </c>
      <c r="F91" s="0" t="s">
        <v>3440</v>
      </c>
      <c r="G91" s="0" t="s">
        <v>3461</v>
      </c>
    </row>
    <row customHeight="1" ht="11.25">
      <c r="A92" s="0" t="s">
        <v>16</v>
      </c>
      <c r="B92" s="0" t="s">
        <v>3462</v>
      </c>
      <c r="C92" s="0" t="s">
        <v>3463</v>
      </c>
      <c r="D92" s="0" t="s">
        <v>3462</v>
      </c>
      <c r="E92" s="0" t="s">
        <v>3463</v>
      </c>
      <c r="F92" s="0" t="s">
        <v>3440</v>
      </c>
      <c r="G92" s="0" t="s">
        <v>3464</v>
      </c>
    </row>
    <row customHeight="1" ht="11.25">
      <c r="A93" s="0" t="s">
        <v>16</v>
      </c>
      <c r="B93" s="0" t="s">
        <v>3465</v>
      </c>
      <c r="C93" s="0" t="s">
        <v>3466</v>
      </c>
      <c r="D93" s="0" t="s">
        <v>3465</v>
      </c>
      <c r="E93" s="0" t="s">
        <v>3466</v>
      </c>
      <c r="F93" s="0" t="s">
        <v>3440</v>
      </c>
      <c r="G93" s="0" t="s">
        <v>3467</v>
      </c>
    </row>
    <row customHeight="1" ht="11.25">
      <c r="A94" s="0" t="s">
        <v>16</v>
      </c>
      <c r="B94" s="0" t="s">
        <v>3468</v>
      </c>
      <c r="C94" s="0" t="s">
        <v>3469</v>
      </c>
      <c r="D94" s="0" t="s">
        <v>3468</v>
      </c>
      <c r="E94" s="0" t="s">
        <v>3469</v>
      </c>
      <c r="F94" s="0" t="s">
        <v>3440</v>
      </c>
      <c r="G94" s="0" t="s">
        <v>3470</v>
      </c>
    </row>
    <row customHeight="1" ht="11.25">
      <c r="A95" s="0" t="s">
        <v>16</v>
      </c>
      <c r="B95" s="0" t="s">
        <v>3471</v>
      </c>
      <c r="C95" s="0" t="s">
        <v>3472</v>
      </c>
      <c r="D95" s="0" t="s">
        <v>3471</v>
      </c>
      <c r="E95" s="0" t="s">
        <v>3472</v>
      </c>
      <c r="F95" s="0" t="s">
        <v>3440</v>
      </c>
      <c r="G95" s="0" t="s">
        <v>3473</v>
      </c>
    </row>
    <row customHeight="1" ht="11.25">
      <c r="A96" s="0" t="s">
        <v>16</v>
      </c>
      <c r="B96" s="0" t="s">
        <v>3474</v>
      </c>
      <c r="C96" s="0" t="s">
        <v>3475</v>
      </c>
      <c r="D96" s="0" t="s">
        <v>3476</v>
      </c>
      <c r="E96" s="0" t="s">
        <v>3477</v>
      </c>
      <c r="F96" s="0" t="s">
        <v>3257</v>
      </c>
      <c r="G96" s="0" t="s">
        <v>3478</v>
      </c>
    </row>
    <row customHeight="1" ht="11.25">
      <c r="A97" s="0" t="s">
        <v>16</v>
      </c>
      <c r="B97" s="0" t="s">
        <v>3474</v>
      </c>
      <c r="C97" s="0" t="s">
        <v>3475</v>
      </c>
      <c r="D97" s="0" t="s">
        <v>3479</v>
      </c>
      <c r="E97" s="0" t="s">
        <v>3480</v>
      </c>
      <c r="F97" s="0" t="s">
        <v>3257</v>
      </c>
      <c r="G97" s="0" t="s">
        <v>3481</v>
      </c>
    </row>
    <row customHeight="1" ht="11.25">
      <c r="A98" s="0" t="s">
        <v>16</v>
      </c>
      <c r="B98" s="0" t="s">
        <v>3474</v>
      </c>
      <c r="C98" s="0" t="s">
        <v>3475</v>
      </c>
      <c r="D98" s="0" t="s">
        <v>3482</v>
      </c>
      <c r="E98" s="0" t="s">
        <v>3483</v>
      </c>
      <c r="F98" s="0" t="s">
        <v>3257</v>
      </c>
      <c r="G98" s="0" t="s">
        <v>3484</v>
      </c>
    </row>
    <row customHeight="1" ht="11.25">
      <c r="A99" s="0" t="s">
        <v>16</v>
      </c>
      <c r="B99" s="0" t="s">
        <v>3474</v>
      </c>
      <c r="C99" s="0" t="s">
        <v>3475</v>
      </c>
      <c r="D99" s="0" t="s">
        <v>3407</v>
      </c>
      <c r="E99" s="0" t="s">
        <v>3485</v>
      </c>
      <c r="F99" s="0" t="s">
        <v>3257</v>
      </c>
      <c r="G99" s="0" t="s">
        <v>3486</v>
      </c>
    </row>
    <row customHeight="1" ht="11.25">
      <c r="A100" s="0" t="s">
        <v>16</v>
      </c>
      <c r="B100" s="0" t="s">
        <v>3474</v>
      </c>
      <c r="C100" s="0" t="s">
        <v>3475</v>
      </c>
      <c r="D100" s="0" t="s">
        <v>3487</v>
      </c>
      <c r="E100" s="0" t="s">
        <v>3488</v>
      </c>
      <c r="F100" s="0" t="s">
        <v>3257</v>
      </c>
      <c r="G100" s="0" t="s">
        <v>3489</v>
      </c>
    </row>
    <row customHeight="1" ht="11.25">
      <c r="A101" s="0" t="s">
        <v>16</v>
      </c>
      <c r="B101" s="0" t="s">
        <v>3474</v>
      </c>
      <c r="C101" s="0" t="s">
        <v>3475</v>
      </c>
      <c r="D101" s="0" t="s">
        <v>3474</v>
      </c>
      <c r="E101" s="0" t="s">
        <v>3475</v>
      </c>
      <c r="F101" s="0" t="s">
        <v>3254</v>
      </c>
      <c r="G101" s="0" t="s">
        <v>3490</v>
      </c>
    </row>
    <row customHeight="1" ht="11.25">
      <c r="A102" s="0" t="s">
        <v>16</v>
      </c>
      <c r="B102" s="0" t="s">
        <v>3474</v>
      </c>
      <c r="C102" s="0" t="s">
        <v>3475</v>
      </c>
      <c r="D102" s="0" t="s">
        <v>3491</v>
      </c>
      <c r="E102" s="0" t="s">
        <v>3492</v>
      </c>
      <c r="F102" s="0" t="s">
        <v>3257</v>
      </c>
      <c r="G102" s="0" t="s">
        <v>3493</v>
      </c>
    </row>
    <row customHeight="1" ht="11.25">
      <c r="A103" s="0" t="s">
        <v>16</v>
      </c>
      <c r="B103" s="0" t="s">
        <v>3474</v>
      </c>
      <c r="C103" s="0" t="s">
        <v>3475</v>
      </c>
      <c r="D103" s="0" t="s">
        <v>3494</v>
      </c>
      <c r="E103" s="0" t="s">
        <v>3495</v>
      </c>
      <c r="F103" s="0" t="s">
        <v>3257</v>
      </c>
      <c r="G103" s="0" t="s">
        <v>3496</v>
      </c>
    </row>
    <row customHeight="1" ht="11.25">
      <c r="A104" s="0" t="s">
        <v>16</v>
      </c>
      <c r="B104" s="0" t="s">
        <v>3474</v>
      </c>
      <c r="C104" s="0" t="s">
        <v>3475</v>
      </c>
      <c r="D104" s="0" t="s">
        <v>3497</v>
      </c>
      <c r="E104" s="0" t="s">
        <v>3498</v>
      </c>
      <c r="F104" s="0" t="s">
        <v>3257</v>
      </c>
      <c r="G104" s="0" t="s">
        <v>3499</v>
      </c>
    </row>
    <row customHeight="1" ht="11.25">
      <c r="A105" s="0" t="s">
        <v>16</v>
      </c>
      <c r="B105" s="0" t="s">
        <v>3474</v>
      </c>
      <c r="C105" s="0" t="s">
        <v>3475</v>
      </c>
      <c r="D105" s="0" t="s">
        <v>3500</v>
      </c>
      <c r="E105" s="0" t="s">
        <v>3501</v>
      </c>
      <c r="F105" s="0" t="s">
        <v>3257</v>
      </c>
      <c r="G105" s="0" t="s">
        <v>3502</v>
      </c>
    </row>
    <row customHeight="1" ht="11.25">
      <c r="A106" s="0" t="s">
        <v>16</v>
      </c>
      <c r="B106" s="0" t="s">
        <v>3474</v>
      </c>
      <c r="C106" s="0" t="s">
        <v>3475</v>
      </c>
      <c r="D106" s="0" t="s">
        <v>3503</v>
      </c>
      <c r="E106" s="0" t="s">
        <v>3504</v>
      </c>
      <c r="F106" s="0" t="s">
        <v>3257</v>
      </c>
      <c r="G106" s="0" t="s">
        <v>3505</v>
      </c>
    </row>
    <row customHeight="1" ht="11.25">
      <c r="A107" s="0" t="s">
        <v>16</v>
      </c>
      <c r="B107" s="0" t="s">
        <v>3474</v>
      </c>
      <c r="C107" s="0" t="s">
        <v>3475</v>
      </c>
      <c r="D107" s="0" t="s">
        <v>3506</v>
      </c>
      <c r="E107" s="0" t="s">
        <v>3507</v>
      </c>
      <c r="F107" s="0" t="s">
        <v>3257</v>
      </c>
      <c r="G107" s="0" t="s">
        <v>3508</v>
      </c>
    </row>
    <row customHeight="1" ht="11.25">
      <c r="A108" s="0" t="s">
        <v>16</v>
      </c>
      <c r="B108" s="0" t="s">
        <v>3474</v>
      </c>
      <c r="C108" s="0" t="s">
        <v>3475</v>
      </c>
      <c r="D108" s="0" t="s">
        <v>3434</v>
      </c>
      <c r="E108" s="0" t="s">
        <v>3509</v>
      </c>
      <c r="F108" s="0" t="s">
        <v>3257</v>
      </c>
      <c r="G108" s="0" t="s">
        <v>3510</v>
      </c>
    </row>
    <row customHeight="1" ht="11.25">
      <c r="A109" s="0" t="s">
        <v>16</v>
      </c>
      <c r="B109" s="0" t="s">
        <v>3474</v>
      </c>
      <c r="C109" s="0" t="s">
        <v>3475</v>
      </c>
      <c r="D109" s="0" t="s">
        <v>3511</v>
      </c>
      <c r="E109" s="0" t="s">
        <v>3512</v>
      </c>
      <c r="F109" s="0" t="s">
        <v>3257</v>
      </c>
      <c r="G109" s="0" t="s">
        <v>3513</v>
      </c>
    </row>
    <row customHeight="1" ht="11.25">
      <c r="A110" s="0" t="s">
        <v>16</v>
      </c>
      <c r="B110" s="0" t="s">
        <v>3514</v>
      </c>
      <c r="C110" s="0" t="s">
        <v>3515</v>
      </c>
      <c r="D110" s="0" t="s">
        <v>3516</v>
      </c>
      <c r="E110" s="0" t="s">
        <v>3517</v>
      </c>
      <c r="F110" s="0" t="s">
        <v>3257</v>
      </c>
      <c r="G110" s="0" t="s">
        <v>3518</v>
      </c>
    </row>
    <row customHeight="1" ht="11.25">
      <c r="A111" s="0" t="s">
        <v>16</v>
      </c>
      <c r="B111" s="0" t="s">
        <v>3514</v>
      </c>
      <c r="C111" s="0" t="s">
        <v>3515</v>
      </c>
      <c r="D111" s="0" t="s">
        <v>3519</v>
      </c>
      <c r="E111" s="0" t="s">
        <v>3520</v>
      </c>
      <c r="F111" s="0" t="s">
        <v>3257</v>
      </c>
      <c r="G111" s="0" t="s">
        <v>3521</v>
      </c>
    </row>
    <row customHeight="1" ht="11.25">
      <c r="A112" s="0" t="s">
        <v>16</v>
      </c>
      <c r="B112" s="0" t="s">
        <v>3514</v>
      </c>
      <c r="C112" s="0" t="s">
        <v>3515</v>
      </c>
      <c r="D112" s="0" t="s">
        <v>3514</v>
      </c>
      <c r="E112" s="0" t="s">
        <v>3515</v>
      </c>
      <c r="F112" s="0" t="s">
        <v>3254</v>
      </c>
      <c r="G112" s="0" t="s">
        <v>3522</v>
      </c>
    </row>
    <row customHeight="1" ht="11.25">
      <c r="A113" s="0" t="s">
        <v>16</v>
      </c>
      <c r="B113" s="0" t="s">
        <v>3514</v>
      </c>
      <c r="C113" s="0" t="s">
        <v>3515</v>
      </c>
      <c r="D113" s="0" t="s">
        <v>3523</v>
      </c>
      <c r="E113" s="0" t="s">
        <v>3524</v>
      </c>
      <c r="F113" s="0" t="s">
        <v>3257</v>
      </c>
      <c r="G113" s="0" t="s">
        <v>3525</v>
      </c>
    </row>
    <row customHeight="1" ht="11.25">
      <c r="A114" s="0" t="s">
        <v>16</v>
      </c>
      <c r="B114" s="0" t="s">
        <v>3514</v>
      </c>
      <c r="C114" s="0" t="s">
        <v>3515</v>
      </c>
      <c r="D114" s="0" t="s">
        <v>3339</v>
      </c>
      <c r="E114" s="0" t="s">
        <v>3526</v>
      </c>
      <c r="F114" s="0" t="s">
        <v>3257</v>
      </c>
      <c r="G114" s="0" t="s">
        <v>3527</v>
      </c>
    </row>
    <row customHeight="1" ht="11.25">
      <c r="A115" s="0" t="s">
        <v>16</v>
      </c>
      <c r="B115" s="0" t="s">
        <v>3514</v>
      </c>
      <c r="C115" s="0" t="s">
        <v>3515</v>
      </c>
      <c r="D115" s="0" t="s">
        <v>3528</v>
      </c>
      <c r="E115" s="0" t="s">
        <v>3529</v>
      </c>
      <c r="F115" s="0" t="s">
        <v>3257</v>
      </c>
      <c r="G115" s="0" t="s">
        <v>3530</v>
      </c>
    </row>
    <row customHeight="1" ht="11.25">
      <c r="A116" s="0" t="s">
        <v>16</v>
      </c>
      <c r="B116" s="0" t="s">
        <v>3514</v>
      </c>
      <c r="C116" s="0" t="s">
        <v>3515</v>
      </c>
      <c r="D116" s="0" t="s">
        <v>3531</v>
      </c>
      <c r="E116" s="0" t="s">
        <v>3532</v>
      </c>
      <c r="F116" s="0" t="s">
        <v>3257</v>
      </c>
      <c r="G116" s="0" t="s">
        <v>3533</v>
      </c>
    </row>
    <row customHeight="1" ht="11.25">
      <c r="A117" s="0" t="s">
        <v>16</v>
      </c>
      <c r="B117" s="0" t="s">
        <v>3514</v>
      </c>
      <c r="C117" s="0" t="s">
        <v>3515</v>
      </c>
      <c r="D117" s="0" t="s">
        <v>3534</v>
      </c>
      <c r="E117" s="0" t="s">
        <v>3535</v>
      </c>
      <c r="F117" s="0" t="s">
        <v>3257</v>
      </c>
      <c r="G117" s="0" t="s">
        <v>3536</v>
      </c>
    </row>
    <row customHeight="1" ht="11.25">
      <c r="A118" s="0" t="s">
        <v>16</v>
      </c>
      <c r="B118" s="0" t="s">
        <v>3514</v>
      </c>
      <c r="C118" s="0" t="s">
        <v>3515</v>
      </c>
      <c r="D118" s="0" t="s">
        <v>3537</v>
      </c>
      <c r="E118" s="0" t="s">
        <v>3538</v>
      </c>
      <c r="F118" s="0" t="s">
        <v>3257</v>
      </c>
      <c r="G118" s="0" t="s">
        <v>3539</v>
      </c>
    </row>
    <row customHeight="1" ht="11.25">
      <c r="A119" s="0" t="s">
        <v>16</v>
      </c>
      <c r="B119" s="0" t="s">
        <v>3514</v>
      </c>
      <c r="C119" s="0" t="s">
        <v>3515</v>
      </c>
      <c r="D119" s="0" t="s">
        <v>3540</v>
      </c>
      <c r="E119" s="0" t="s">
        <v>3541</v>
      </c>
      <c r="F119" s="0" t="s">
        <v>3257</v>
      </c>
      <c r="G119" s="0" t="s">
        <v>3542</v>
      </c>
    </row>
    <row customHeight="1" ht="11.25">
      <c r="A120" s="0" t="s">
        <v>16</v>
      </c>
      <c r="B120" s="0" t="s">
        <v>3543</v>
      </c>
      <c r="C120" s="0" t="s">
        <v>3544</v>
      </c>
      <c r="D120" s="0" t="s">
        <v>3543</v>
      </c>
      <c r="E120" s="0" t="s">
        <v>3544</v>
      </c>
      <c r="F120" s="0" t="s">
        <v>3254</v>
      </c>
      <c r="G120" s="0" t="s">
        <v>3545</v>
      </c>
    </row>
    <row customHeight="1" ht="11.25">
      <c r="A121" s="0" t="s">
        <v>16</v>
      </c>
      <c r="B121" s="0" t="s">
        <v>3543</v>
      </c>
      <c r="C121" s="0" t="s">
        <v>3544</v>
      </c>
      <c r="D121" s="0" t="s">
        <v>3546</v>
      </c>
      <c r="E121" s="0" t="s">
        <v>3547</v>
      </c>
      <c r="F121" s="0" t="s">
        <v>3257</v>
      </c>
      <c r="G121" s="0" t="s">
        <v>3548</v>
      </c>
    </row>
    <row customHeight="1" ht="11.25">
      <c r="A122" s="0" t="s">
        <v>16</v>
      </c>
      <c r="B122" s="0" t="s">
        <v>3543</v>
      </c>
      <c r="C122" s="0" t="s">
        <v>3544</v>
      </c>
      <c r="D122" s="0" t="s">
        <v>3549</v>
      </c>
      <c r="E122" s="0" t="s">
        <v>3550</v>
      </c>
      <c r="F122" s="0" t="s">
        <v>3257</v>
      </c>
      <c r="G122" s="0" t="s">
        <v>3551</v>
      </c>
    </row>
    <row customHeight="1" ht="11.25">
      <c r="A123" s="0" t="s">
        <v>16</v>
      </c>
      <c r="B123" s="0" t="s">
        <v>3543</v>
      </c>
      <c r="C123" s="0" t="s">
        <v>3544</v>
      </c>
      <c r="D123" s="0" t="s">
        <v>3552</v>
      </c>
      <c r="E123" s="0" t="s">
        <v>3553</v>
      </c>
      <c r="F123" s="0" t="s">
        <v>3257</v>
      </c>
      <c r="G123" s="0" t="s">
        <v>3554</v>
      </c>
    </row>
    <row customHeight="1" ht="11.25">
      <c r="A124" s="0" t="s">
        <v>16</v>
      </c>
      <c r="B124" s="0" t="s">
        <v>3543</v>
      </c>
      <c r="C124" s="0" t="s">
        <v>3544</v>
      </c>
      <c r="D124" s="0" t="s">
        <v>3555</v>
      </c>
      <c r="E124" s="0" t="s">
        <v>3556</v>
      </c>
      <c r="F124" s="0" t="s">
        <v>3257</v>
      </c>
      <c r="G124" s="0" t="s">
        <v>3557</v>
      </c>
    </row>
    <row customHeight="1" ht="11.25">
      <c r="A125" s="0" t="s">
        <v>16</v>
      </c>
      <c r="B125" s="0" t="s">
        <v>3543</v>
      </c>
      <c r="C125" s="0" t="s">
        <v>3544</v>
      </c>
      <c r="D125" s="0" t="s">
        <v>3558</v>
      </c>
      <c r="E125" s="0" t="s">
        <v>3559</v>
      </c>
      <c r="F125" s="0" t="s">
        <v>3257</v>
      </c>
      <c r="G125" s="0" t="s">
        <v>3560</v>
      </c>
    </row>
    <row customHeight="1" ht="11.25">
      <c r="A126" s="0" t="s">
        <v>16</v>
      </c>
      <c r="B126" s="0" t="s">
        <v>3543</v>
      </c>
      <c r="C126" s="0" t="s">
        <v>3544</v>
      </c>
      <c r="D126" s="0" t="s">
        <v>3561</v>
      </c>
      <c r="E126" s="0" t="s">
        <v>3562</v>
      </c>
      <c r="F126" s="0" t="s">
        <v>3257</v>
      </c>
      <c r="G126" s="0" t="s">
        <v>3563</v>
      </c>
    </row>
    <row customHeight="1" ht="11.25">
      <c r="A127" s="0" t="s">
        <v>16</v>
      </c>
      <c r="B127" s="0" t="s">
        <v>3543</v>
      </c>
      <c r="C127" s="0" t="s">
        <v>3544</v>
      </c>
      <c r="D127" s="0" t="s">
        <v>3564</v>
      </c>
      <c r="E127" s="0" t="s">
        <v>3565</v>
      </c>
      <c r="F127" s="0" t="s">
        <v>3257</v>
      </c>
      <c r="G127" s="0" t="s">
        <v>3566</v>
      </c>
    </row>
    <row customHeight="1" ht="11.25">
      <c r="A128" s="0" t="s">
        <v>16</v>
      </c>
      <c r="B128" s="0" t="s">
        <v>3543</v>
      </c>
      <c r="C128" s="0" t="s">
        <v>3544</v>
      </c>
      <c r="D128" s="0" t="s">
        <v>3567</v>
      </c>
      <c r="E128" s="0" t="s">
        <v>3568</v>
      </c>
      <c r="F128" s="0" t="s">
        <v>3257</v>
      </c>
      <c r="G128" s="0" t="s">
        <v>3569</v>
      </c>
    </row>
    <row customHeight="1" ht="11.25">
      <c r="A129" s="0" t="s">
        <v>16</v>
      </c>
      <c r="B129" s="0" t="s">
        <v>3543</v>
      </c>
      <c r="C129" s="0" t="s">
        <v>3544</v>
      </c>
      <c r="D129" s="0" t="s">
        <v>3570</v>
      </c>
      <c r="E129" s="0" t="s">
        <v>3571</v>
      </c>
      <c r="F129" s="0" t="s">
        <v>3257</v>
      </c>
      <c r="G129" s="0" t="s">
        <v>3572</v>
      </c>
    </row>
    <row customHeight="1" ht="11.25">
      <c r="A130" s="0" t="s">
        <v>16</v>
      </c>
      <c r="B130" s="0" t="s">
        <v>3573</v>
      </c>
      <c r="C130" s="0" t="s">
        <v>3574</v>
      </c>
      <c r="D130" s="0" t="s">
        <v>3575</v>
      </c>
      <c r="E130" s="0" t="s">
        <v>3576</v>
      </c>
      <c r="F130" s="0" t="s">
        <v>3257</v>
      </c>
      <c r="G130" s="0" t="s">
        <v>3577</v>
      </c>
    </row>
    <row customHeight="1" ht="11.25">
      <c r="A131" s="0" t="s">
        <v>16</v>
      </c>
      <c r="B131" s="0" t="s">
        <v>3573</v>
      </c>
      <c r="C131" s="0" t="s">
        <v>3574</v>
      </c>
      <c r="D131" s="0" t="s">
        <v>3578</v>
      </c>
      <c r="E131" s="0" t="s">
        <v>3579</v>
      </c>
      <c r="F131" s="0" t="s">
        <v>3257</v>
      </c>
      <c r="G131" s="0" t="s">
        <v>3580</v>
      </c>
    </row>
    <row customHeight="1" ht="11.25">
      <c r="A132" s="0" t="s">
        <v>16</v>
      </c>
      <c r="B132" s="0" t="s">
        <v>3573</v>
      </c>
      <c r="C132" s="0" t="s">
        <v>3574</v>
      </c>
      <c r="D132" s="0" t="s">
        <v>3581</v>
      </c>
      <c r="E132" s="0" t="s">
        <v>3582</v>
      </c>
      <c r="F132" s="0" t="s">
        <v>3257</v>
      </c>
      <c r="G132" s="0" t="s">
        <v>3583</v>
      </c>
    </row>
    <row customHeight="1" ht="11.25">
      <c r="A133" s="0" t="s">
        <v>16</v>
      </c>
      <c r="B133" s="0" t="s">
        <v>3573</v>
      </c>
      <c r="C133" s="0" t="s">
        <v>3574</v>
      </c>
      <c r="D133" s="0" t="s">
        <v>3573</v>
      </c>
      <c r="E133" s="0" t="s">
        <v>3574</v>
      </c>
      <c r="F133" s="0" t="s">
        <v>3254</v>
      </c>
      <c r="G133" s="0" t="s">
        <v>3584</v>
      </c>
    </row>
    <row customHeight="1" ht="11.25">
      <c r="A134" s="0" t="s">
        <v>16</v>
      </c>
      <c r="B134" s="0" t="s">
        <v>3573</v>
      </c>
      <c r="C134" s="0" t="s">
        <v>3574</v>
      </c>
      <c r="D134" s="0" t="s">
        <v>3585</v>
      </c>
      <c r="E134" s="0" t="s">
        <v>3586</v>
      </c>
      <c r="F134" s="0" t="s">
        <v>3296</v>
      </c>
      <c r="G134" s="0" t="s">
        <v>3587</v>
      </c>
    </row>
    <row customHeight="1" ht="11.25">
      <c r="A135" s="0" t="s">
        <v>16</v>
      </c>
      <c r="B135" s="0" t="s">
        <v>3573</v>
      </c>
      <c r="C135" s="0" t="s">
        <v>3574</v>
      </c>
      <c r="D135" s="0" t="s">
        <v>3588</v>
      </c>
      <c r="E135" s="0" t="s">
        <v>3589</v>
      </c>
      <c r="F135" s="0" t="s">
        <v>3257</v>
      </c>
      <c r="G135" s="0" t="s">
        <v>3590</v>
      </c>
    </row>
    <row customHeight="1" ht="11.25">
      <c r="A136" s="0" t="s">
        <v>16</v>
      </c>
      <c r="B136" s="0" t="s">
        <v>3573</v>
      </c>
      <c r="C136" s="0" t="s">
        <v>3574</v>
      </c>
      <c r="D136" s="0" t="s">
        <v>3591</v>
      </c>
      <c r="E136" s="0" t="s">
        <v>3592</v>
      </c>
      <c r="F136" s="0" t="s">
        <v>3257</v>
      </c>
      <c r="G136" s="0" t="s">
        <v>3593</v>
      </c>
    </row>
    <row customHeight="1" ht="11.25">
      <c r="A137" s="0" t="s">
        <v>16</v>
      </c>
      <c r="B137" s="0" t="s">
        <v>3573</v>
      </c>
      <c r="C137" s="0" t="s">
        <v>3574</v>
      </c>
      <c r="D137" s="0" t="s">
        <v>3327</v>
      </c>
      <c r="E137" s="0" t="s">
        <v>3594</v>
      </c>
      <c r="F137" s="0" t="s">
        <v>3257</v>
      </c>
      <c r="G137" s="0" t="s">
        <v>3595</v>
      </c>
    </row>
    <row customHeight="1" ht="11.25">
      <c r="A138" s="0" t="s">
        <v>16</v>
      </c>
      <c r="B138" s="0" t="s">
        <v>3573</v>
      </c>
      <c r="C138" s="0" t="s">
        <v>3574</v>
      </c>
      <c r="D138" s="0" t="s">
        <v>3596</v>
      </c>
      <c r="E138" s="0" t="s">
        <v>3597</v>
      </c>
      <c r="F138" s="0" t="s">
        <v>3257</v>
      </c>
      <c r="G138" s="0" t="s">
        <v>3598</v>
      </c>
    </row>
    <row customHeight="1" ht="11.25">
      <c r="A139" s="0" t="s">
        <v>16</v>
      </c>
      <c r="B139" s="0" t="s">
        <v>3573</v>
      </c>
      <c r="C139" s="0" t="s">
        <v>3574</v>
      </c>
      <c r="D139" s="0" t="s">
        <v>3599</v>
      </c>
      <c r="E139" s="0" t="s">
        <v>3600</v>
      </c>
      <c r="F139" s="0" t="s">
        <v>3257</v>
      </c>
      <c r="G139" s="0" t="s">
        <v>3601</v>
      </c>
    </row>
    <row customHeight="1" ht="11.25">
      <c r="A140" s="0" t="s">
        <v>16</v>
      </c>
      <c r="B140" s="0" t="s">
        <v>3602</v>
      </c>
      <c r="C140" s="0" t="s">
        <v>3603</v>
      </c>
      <c r="D140" s="0" t="s">
        <v>3604</v>
      </c>
      <c r="E140" s="0" t="s">
        <v>3605</v>
      </c>
      <c r="F140" s="0" t="s">
        <v>3257</v>
      </c>
      <c r="G140" s="0" t="s">
        <v>3606</v>
      </c>
    </row>
    <row customHeight="1" ht="11.25">
      <c r="A141" s="0" t="s">
        <v>16</v>
      </c>
      <c r="B141" s="0" t="s">
        <v>3602</v>
      </c>
      <c r="C141" s="0" t="s">
        <v>3603</v>
      </c>
      <c r="D141" s="0" t="s">
        <v>3607</v>
      </c>
      <c r="E141" s="0" t="s">
        <v>3608</v>
      </c>
      <c r="F141" s="0" t="s">
        <v>3257</v>
      </c>
      <c r="G141" s="0" t="s">
        <v>3609</v>
      </c>
    </row>
    <row customHeight="1" ht="11.25">
      <c r="A142" s="0" t="s">
        <v>16</v>
      </c>
      <c r="B142" s="0" t="s">
        <v>3602</v>
      </c>
      <c r="C142" s="0" t="s">
        <v>3603</v>
      </c>
      <c r="D142" s="0" t="s">
        <v>3610</v>
      </c>
      <c r="E142" s="0" t="s">
        <v>3611</v>
      </c>
      <c r="F142" s="0" t="s">
        <v>3257</v>
      </c>
      <c r="G142" s="0" t="s">
        <v>3612</v>
      </c>
    </row>
    <row customHeight="1" ht="11.25">
      <c r="A143" s="0" t="s">
        <v>16</v>
      </c>
      <c r="B143" s="0" t="s">
        <v>3602</v>
      </c>
      <c r="C143" s="0" t="s">
        <v>3603</v>
      </c>
      <c r="D143" s="0" t="s">
        <v>3602</v>
      </c>
      <c r="E143" s="0" t="s">
        <v>3603</v>
      </c>
      <c r="F143" s="0" t="s">
        <v>3254</v>
      </c>
      <c r="G143" s="0" t="s">
        <v>3613</v>
      </c>
    </row>
    <row customHeight="1" ht="11.25">
      <c r="A144" s="0" t="s">
        <v>16</v>
      </c>
      <c r="B144" s="0" t="s">
        <v>3602</v>
      </c>
      <c r="C144" s="0" t="s">
        <v>3603</v>
      </c>
      <c r="D144" s="0" t="s">
        <v>3614</v>
      </c>
      <c r="E144" s="0" t="s">
        <v>3615</v>
      </c>
      <c r="F144" s="0" t="s">
        <v>3257</v>
      </c>
      <c r="G144" s="0" t="s">
        <v>3616</v>
      </c>
    </row>
    <row customHeight="1" ht="11.25">
      <c r="A145" s="0" t="s">
        <v>16</v>
      </c>
      <c r="B145" s="0" t="s">
        <v>3602</v>
      </c>
      <c r="C145" s="0" t="s">
        <v>3603</v>
      </c>
      <c r="D145" s="0" t="s">
        <v>3617</v>
      </c>
      <c r="E145" s="0" t="s">
        <v>3618</v>
      </c>
      <c r="F145" s="0" t="s">
        <v>3257</v>
      </c>
      <c r="G145" s="0" t="s">
        <v>3619</v>
      </c>
    </row>
    <row customHeight="1" ht="11.25">
      <c r="A146" s="0" t="s">
        <v>16</v>
      </c>
      <c r="B146" s="0" t="s">
        <v>3602</v>
      </c>
      <c r="C146" s="0" t="s">
        <v>3603</v>
      </c>
      <c r="D146" s="0" t="s">
        <v>3620</v>
      </c>
      <c r="E146" s="0" t="s">
        <v>3621</v>
      </c>
      <c r="F146" s="0" t="s">
        <v>3257</v>
      </c>
      <c r="G146" s="0" t="s">
        <v>3622</v>
      </c>
    </row>
    <row customHeight="1" ht="11.25">
      <c r="A147" s="0" t="s">
        <v>16</v>
      </c>
      <c r="B147" s="0" t="s">
        <v>3602</v>
      </c>
      <c r="C147" s="0" t="s">
        <v>3603</v>
      </c>
      <c r="D147" s="0" t="s">
        <v>3623</v>
      </c>
      <c r="E147" s="0" t="s">
        <v>3624</v>
      </c>
      <c r="F147" s="0" t="s">
        <v>3257</v>
      </c>
      <c r="G147" s="0" t="s">
        <v>3625</v>
      </c>
    </row>
    <row customHeight="1" ht="11.25">
      <c r="A148" s="0" t="s">
        <v>16</v>
      </c>
      <c r="B148" s="0" t="s">
        <v>3602</v>
      </c>
      <c r="C148" s="0" t="s">
        <v>3603</v>
      </c>
      <c r="D148" s="0" t="s">
        <v>3305</v>
      </c>
      <c r="E148" s="0" t="s">
        <v>3626</v>
      </c>
      <c r="F148" s="0" t="s">
        <v>3257</v>
      </c>
      <c r="G148" s="0" t="s">
        <v>3627</v>
      </c>
    </row>
    <row customHeight="1" ht="11.25">
      <c r="A149" s="0" t="s">
        <v>16</v>
      </c>
      <c r="B149" s="0" t="s">
        <v>3602</v>
      </c>
      <c r="C149" s="0" t="s">
        <v>3603</v>
      </c>
      <c r="D149" s="0" t="s">
        <v>3628</v>
      </c>
      <c r="E149" s="0" t="s">
        <v>3629</v>
      </c>
      <c r="F149" s="0" t="s">
        <v>3257</v>
      </c>
      <c r="G149" s="0" t="s">
        <v>3630</v>
      </c>
    </row>
    <row customHeight="1" ht="11.25">
      <c r="A150" s="0" t="s">
        <v>16</v>
      </c>
      <c r="B150" s="0" t="s">
        <v>3602</v>
      </c>
      <c r="C150" s="0" t="s">
        <v>3603</v>
      </c>
      <c r="D150" s="0" t="s">
        <v>3631</v>
      </c>
      <c r="E150" s="0" t="s">
        <v>3632</v>
      </c>
      <c r="F150" s="0" t="s">
        <v>3257</v>
      </c>
      <c r="G150" s="0" t="s">
        <v>3633</v>
      </c>
    </row>
    <row customHeight="1" ht="11.25">
      <c r="A151" s="0" t="s">
        <v>16</v>
      </c>
      <c r="B151" s="0" t="s">
        <v>3602</v>
      </c>
      <c r="C151" s="0" t="s">
        <v>3603</v>
      </c>
      <c r="D151" s="0" t="s">
        <v>3634</v>
      </c>
      <c r="E151" s="0" t="s">
        <v>3635</v>
      </c>
      <c r="F151" s="0" t="s">
        <v>3257</v>
      </c>
      <c r="G151" s="0" t="s">
        <v>3636</v>
      </c>
    </row>
    <row customHeight="1" ht="11.25">
      <c r="A152" s="0" t="s">
        <v>16</v>
      </c>
      <c r="B152" s="0" t="s">
        <v>3637</v>
      </c>
      <c r="C152" s="0" t="s">
        <v>3638</v>
      </c>
      <c r="D152" s="0" t="s">
        <v>3639</v>
      </c>
      <c r="E152" s="0" t="s">
        <v>3640</v>
      </c>
      <c r="F152" s="0" t="s">
        <v>3257</v>
      </c>
      <c r="G152" s="0" t="s">
        <v>3641</v>
      </c>
    </row>
    <row customHeight="1" ht="11.25">
      <c r="A153" s="0" t="s">
        <v>16</v>
      </c>
      <c r="B153" s="0" t="s">
        <v>3637</v>
      </c>
      <c r="C153" s="0" t="s">
        <v>3638</v>
      </c>
      <c r="D153" s="0" t="s">
        <v>3637</v>
      </c>
      <c r="E153" s="0" t="s">
        <v>3638</v>
      </c>
      <c r="F153" s="0" t="s">
        <v>3254</v>
      </c>
      <c r="G153" s="0" t="s">
        <v>3642</v>
      </c>
    </row>
    <row customHeight="1" ht="11.25">
      <c r="A154" s="0" t="s">
        <v>16</v>
      </c>
      <c r="B154" s="0" t="s">
        <v>3637</v>
      </c>
      <c r="C154" s="0" t="s">
        <v>3638</v>
      </c>
      <c r="D154" s="0" t="s">
        <v>3264</v>
      </c>
      <c r="E154" s="0" t="s">
        <v>3643</v>
      </c>
      <c r="F154" s="0" t="s">
        <v>3257</v>
      </c>
      <c r="G154" s="0" t="s">
        <v>3644</v>
      </c>
    </row>
    <row customHeight="1" ht="11.25">
      <c r="A155" s="0" t="s">
        <v>16</v>
      </c>
      <c r="B155" s="0" t="s">
        <v>3637</v>
      </c>
      <c r="C155" s="0" t="s">
        <v>3638</v>
      </c>
      <c r="D155" s="0" t="s">
        <v>3645</v>
      </c>
      <c r="E155" s="0" t="s">
        <v>3646</v>
      </c>
      <c r="F155" s="0" t="s">
        <v>3257</v>
      </c>
      <c r="G155" s="0" t="s">
        <v>3647</v>
      </c>
    </row>
    <row customHeight="1" ht="11.25">
      <c r="A156" s="0" t="s">
        <v>16</v>
      </c>
      <c r="B156" s="0" t="s">
        <v>3637</v>
      </c>
      <c r="C156" s="0" t="s">
        <v>3638</v>
      </c>
      <c r="D156" s="0" t="s">
        <v>3620</v>
      </c>
      <c r="E156" s="0" t="s">
        <v>3648</v>
      </c>
      <c r="F156" s="0" t="s">
        <v>3257</v>
      </c>
      <c r="G156" s="0" t="s">
        <v>3649</v>
      </c>
    </row>
    <row customHeight="1" ht="11.25">
      <c r="A157" s="0" t="s">
        <v>16</v>
      </c>
      <c r="B157" s="0" t="s">
        <v>3637</v>
      </c>
      <c r="C157" s="0" t="s">
        <v>3638</v>
      </c>
      <c r="D157" s="0" t="s">
        <v>3650</v>
      </c>
      <c r="E157" s="0" t="s">
        <v>3651</v>
      </c>
      <c r="F157" s="0" t="s">
        <v>3257</v>
      </c>
      <c r="G157" s="0" t="s">
        <v>3652</v>
      </c>
    </row>
    <row customHeight="1" ht="11.25">
      <c r="A158" s="0" t="s">
        <v>16</v>
      </c>
      <c r="B158" s="0" t="s">
        <v>3637</v>
      </c>
      <c r="C158" s="0" t="s">
        <v>3638</v>
      </c>
      <c r="D158" s="0" t="s">
        <v>3653</v>
      </c>
      <c r="E158" s="0" t="s">
        <v>3654</v>
      </c>
      <c r="F158" s="0" t="s">
        <v>3257</v>
      </c>
      <c r="G158" s="0" t="s">
        <v>3655</v>
      </c>
    </row>
    <row customHeight="1" ht="11.25">
      <c r="A159" s="0" t="s">
        <v>16</v>
      </c>
      <c r="B159" s="0" t="s">
        <v>3637</v>
      </c>
      <c r="C159" s="0" t="s">
        <v>3638</v>
      </c>
      <c r="D159" s="0" t="s">
        <v>3656</v>
      </c>
      <c r="E159" s="0" t="s">
        <v>3657</v>
      </c>
      <c r="F159" s="0" t="s">
        <v>3257</v>
      </c>
      <c r="G159" s="0" t="s">
        <v>3658</v>
      </c>
    </row>
    <row customHeight="1" ht="11.25">
      <c r="A160" s="0" t="s">
        <v>16</v>
      </c>
      <c r="B160" s="0" t="s">
        <v>3637</v>
      </c>
      <c r="C160" s="0" t="s">
        <v>3638</v>
      </c>
      <c r="D160" s="0" t="s">
        <v>3659</v>
      </c>
      <c r="E160" s="0" t="s">
        <v>3660</v>
      </c>
      <c r="F160" s="0" t="s">
        <v>3257</v>
      </c>
      <c r="G160" s="0" t="s">
        <v>3661</v>
      </c>
    </row>
    <row customHeight="1" ht="11.25">
      <c r="A161" s="0" t="s">
        <v>16</v>
      </c>
      <c r="B161" s="0" t="s">
        <v>3662</v>
      </c>
      <c r="C161" s="0" t="s">
        <v>3663</v>
      </c>
      <c r="D161" s="0" t="s">
        <v>3664</v>
      </c>
      <c r="E161" s="0" t="s">
        <v>3665</v>
      </c>
      <c r="F161" s="0" t="s">
        <v>3257</v>
      </c>
      <c r="G161" s="0" t="s">
        <v>3666</v>
      </c>
    </row>
    <row customHeight="1" ht="11.25">
      <c r="A162" s="0" t="s">
        <v>16</v>
      </c>
      <c r="B162" s="0" t="s">
        <v>3662</v>
      </c>
      <c r="C162" s="0" t="s">
        <v>3663</v>
      </c>
      <c r="D162" s="0" t="s">
        <v>3667</v>
      </c>
      <c r="E162" s="0" t="s">
        <v>3668</v>
      </c>
      <c r="F162" s="0" t="s">
        <v>3257</v>
      </c>
      <c r="G162" s="0" t="s">
        <v>3669</v>
      </c>
    </row>
    <row customHeight="1" ht="11.25">
      <c r="A163" s="0" t="s">
        <v>16</v>
      </c>
      <c r="B163" s="0" t="s">
        <v>3662</v>
      </c>
      <c r="C163" s="0" t="s">
        <v>3663</v>
      </c>
      <c r="D163" s="0" t="s">
        <v>3670</v>
      </c>
      <c r="E163" s="0" t="s">
        <v>3671</v>
      </c>
      <c r="F163" s="0" t="s">
        <v>3257</v>
      </c>
      <c r="G163" s="0" t="s">
        <v>3672</v>
      </c>
    </row>
    <row customHeight="1" ht="11.25">
      <c r="A164" s="0" t="s">
        <v>16</v>
      </c>
      <c r="B164" s="0" t="s">
        <v>3662</v>
      </c>
      <c r="C164" s="0" t="s">
        <v>3663</v>
      </c>
      <c r="D164" s="0" t="s">
        <v>3673</v>
      </c>
      <c r="E164" s="0" t="s">
        <v>3674</v>
      </c>
      <c r="F164" s="0" t="s">
        <v>3675</v>
      </c>
      <c r="G164" s="0" t="s">
        <v>3676</v>
      </c>
    </row>
    <row customHeight="1" ht="11.25">
      <c r="A165" s="0" t="s">
        <v>16</v>
      </c>
      <c r="B165" s="0" t="s">
        <v>3662</v>
      </c>
      <c r="C165" s="0" t="s">
        <v>3663</v>
      </c>
      <c r="D165" s="0" t="s">
        <v>3677</v>
      </c>
      <c r="E165" s="0" t="s">
        <v>3678</v>
      </c>
      <c r="F165" s="0" t="s">
        <v>3257</v>
      </c>
      <c r="G165" s="0" t="s">
        <v>3679</v>
      </c>
    </row>
    <row customHeight="1" ht="11.25">
      <c r="A166" s="0" t="s">
        <v>16</v>
      </c>
      <c r="B166" s="0" t="s">
        <v>3662</v>
      </c>
      <c r="C166" s="0" t="s">
        <v>3663</v>
      </c>
      <c r="D166" s="0" t="s">
        <v>3680</v>
      </c>
      <c r="E166" s="0" t="s">
        <v>3681</v>
      </c>
      <c r="F166" s="0" t="s">
        <v>3257</v>
      </c>
      <c r="G166" s="0" t="s">
        <v>3682</v>
      </c>
    </row>
    <row customHeight="1" ht="11.25">
      <c r="A167" s="0" t="s">
        <v>16</v>
      </c>
      <c r="B167" s="0" t="s">
        <v>3662</v>
      </c>
      <c r="C167" s="0" t="s">
        <v>3663</v>
      </c>
      <c r="D167" s="0" t="s">
        <v>3683</v>
      </c>
      <c r="E167" s="0" t="s">
        <v>3684</v>
      </c>
      <c r="F167" s="0" t="s">
        <v>3257</v>
      </c>
      <c r="G167" s="0" t="s">
        <v>3685</v>
      </c>
    </row>
    <row customHeight="1" ht="11.25">
      <c r="A168" s="0" t="s">
        <v>16</v>
      </c>
      <c r="B168" s="0" t="s">
        <v>3662</v>
      </c>
      <c r="C168" s="0" t="s">
        <v>3663</v>
      </c>
      <c r="D168" s="0" t="s">
        <v>3662</v>
      </c>
      <c r="E168" s="0" t="s">
        <v>3663</v>
      </c>
      <c r="F168" s="0" t="s">
        <v>3254</v>
      </c>
      <c r="G168" s="0" t="s">
        <v>3686</v>
      </c>
    </row>
    <row customHeight="1" ht="11.25">
      <c r="A169" s="0" t="s">
        <v>16</v>
      </c>
      <c r="B169" s="0" t="s">
        <v>3662</v>
      </c>
      <c r="C169" s="0" t="s">
        <v>3663</v>
      </c>
      <c r="D169" s="0" t="s">
        <v>3687</v>
      </c>
      <c r="E169" s="0" t="s">
        <v>3688</v>
      </c>
      <c r="F169" s="0" t="s">
        <v>3257</v>
      </c>
      <c r="G169" s="0" t="s">
        <v>3689</v>
      </c>
    </row>
    <row customHeight="1" ht="11.25">
      <c r="A170" s="0" t="s">
        <v>16</v>
      </c>
      <c r="B170" s="0" t="s">
        <v>3662</v>
      </c>
      <c r="C170" s="0" t="s">
        <v>3663</v>
      </c>
      <c r="D170" s="0" t="s">
        <v>3690</v>
      </c>
      <c r="E170" s="0" t="s">
        <v>3691</v>
      </c>
      <c r="F170" s="0" t="s">
        <v>3257</v>
      </c>
      <c r="G170" s="0" t="s">
        <v>3692</v>
      </c>
    </row>
    <row customHeight="1" ht="11.25">
      <c r="A171" s="0" t="s">
        <v>16</v>
      </c>
      <c r="B171" s="0" t="s">
        <v>3662</v>
      </c>
      <c r="C171" s="0" t="s">
        <v>3663</v>
      </c>
      <c r="D171" s="0" t="s">
        <v>3693</v>
      </c>
      <c r="E171" s="0" t="s">
        <v>3694</v>
      </c>
      <c r="F171" s="0" t="s">
        <v>3257</v>
      </c>
      <c r="G171" s="0" t="s">
        <v>3695</v>
      </c>
    </row>
    <row customHeight="1" ht="11.25">
      <c r="A172" s="0" t="s">
        <v>16</v>
      </c>
      <c r="B172" s="0" t="s">
        <v>3662</v>
      </c>
      <c r="C172" s="0" t="s">
        <v>3663</v>
      </c>
      <c r="D172" s="0" t="s">
        <v>3696</v>
      </c>
      <c r="E172" s="0" t="s">
        <v>3697</v>
      </c>
      <c r="F172" s="0" t="s">
        <v>3257</v>
      </c>
      <c r="G172" s="0" t="s">
        <v>3698</v>
      </c>
    </row>
    <row customHeight="1" ht="11.25">
      <c r="A173" s="0" t="s">
        <v>16</v>
      </c>
      <c r="B173" s="0" t="s">
        <v>3662</v>
      </c>
      <c r="C173" s="0" t="s">
        <v>3663</v>
      </c>
      <c r="D173" s="0" t="s">
        <v>3699</v>
      </c>
      <c r="E173" s="0" t="s">
        <v>3700</v>
      </c>
      <c r="F173" s="0" t="s">
        <v>3257</v>
      </c>
      <c r="G173" s="0" t="s">
        <v>3701</v>
      </c>
    </row>
    <row customHeight="1" ht="11.25">
      <c r="A174" s="0" t="s">
        <v>16</v>
      </c>
      <c r="B174" s="0" t="s">
        <v>3702</v>
      </c>
      <c r="C174" s="0" t="s">
        <v>3703</v>
      </c>
      <c r="D174" s="0" t="s">
        <v>3704</v>
      </c>
      <c r="E174" s="0" t="s">
        <v>3705</v>
      </c>
      <c r="F174" s="0" t="s">
        <v>3257</v>
      </c>
      <c r="G174" s="0" t="s">
        <v>3706</v>
      </c>
    </row>
    <row customHeight="1" ht="11.25">
      <c r="A175" s="0" t="s">
        <v>16</v>
      </c>
      <c r="B175" s="0" t="s">
        <v>3702</v>
      </c>
      <c r="C175" s="0" t="s">
        <v>3703</v>
      </c>
      <c r="D175" s="0" t="s">
        <v>3707</v>
      </c>
      <c r="E175" s="0" t="s">
        <v>3708</v>
      </c>
      <c r="F175" s="0" t="s">
        <v>3257</v>
      </c>
      <c r="G175" s="0" t="s">
        <v>3709</v>
      </c>
    </row>
    <row customHeight="1" ht="11.25">
      <c r="A176" s="0" t="s">
        <v>16</v>
      </c>
      <c r="B176" s="0" t="s">
        <v>3702</v>
      </c>
      <c r="C176" s="0" t="s">
        <v>3703</v>
      </c>
      <c r="D176" s="0" t="s">
        <v>3710</v>
      </c>
      <c r="E176" s="0" t="s">
        <v>3711</v>
      </c>
      <c r="F176" s="0" t="s">
        <v>3257</v>
      </c>
      <c r="G176" s="0" t="s">
        <v>3712</v>
      </c>
    </row>
    <row customHeight="1" ht="11.25">
      <c r="A177" s="0" t="s">
        <v>16</v>
      </c>
      <c r="B177" s="0" t="s">
        <v>3702</v>
      </c>
      <c r="C177" s="0" t="s">
        <v>3703</v>
      </c>
      <c r="D177" s="0" t="s">
        <v>3713</v>
      </c>
      <c r="E177" s="0" t="s">
        <v>3714</v>
      </c>
      <c r="F177" s="0" t="s">
        <v>3257</v>
      </c>
      <c r="G177" s="0" t="s">
        <v>3715</v>
      </c>
    </row>
    <row customHeight="1" ht="11.25">
      <c r="A178" s="0" t="s">
        <v>16</v>
      </c>
      <c r="B178" s="0" t="s">
        <v>3702</v>
      </c>
      <c r="C178" s="0" t="s">
        <v>3703</v>
      </c>
      <c r="D178" s="0" t="s">
        <v>3702</v>
      </c>
      <c r="E178" s="0" t="s">
        <v>3703</v>
      </c>
      <c r="F178" s="0" t="s">
        <v>3254</v>
      </c>
      <c r="G178" s="0" t="s">
        <v>3716</v>
      </c>
    </row>
    <row customHeight="1" ht="11.25">
      <c r="A179" s="0" t="s">
        <v>16</v>
      </c>
      <c r="B179" s="0" t="s">
        <v>3702</v>
      </c>
      <c r="C179" s="0" t="s">
        <v>3703</v>
      </c>
      <c r="D179" s="0" t="s">
        <v>3717</v>
      </c>
      <c r="E179" s="0" t="s">
        <v>3718</v>
      </c>
      <c r="F179" s="0" t="s">
        <v>3257</v>
      </c>
      <c r="G179" s="0" t="s">
        <v>3719</v>
      </c>
    </row>
    <row customHeight="1" ht="11.25">
      <c r="A180" s="0" t="s">
        <v>16</v>
      </c>
      <c r="B180" s="0" t="s">
        <v>3702</v>
      </c>
      <c r="C180" s="0" t="s">
        <v>3703</v>
      </c>
      <c r="D180" s="0" t="s">
        <v>3720</v>
      </c>
      <c r="E180" s="0" t="s">
        <v>3721</v>
      </c>
      <c r="F180" s="0" t="s">
        <v>3257</v>
      </c>
      <c r="G180" s="0" t="s">
        <v>3722</v>
      </c>
    </row>
    <row customHeight="1" ht="11.25">
      <c r="A181" s="0" t="s">
        <v>16</v>
      </c>
      <c r="B181" s="0" t="s">
        <v>3702</v>
      </c>
      <c r="C181" s="0" t="s">
        <v>3703</v>
      </c>
      <c r="D181" s="0" t="s">
        <v>3723</v>
      </c>
      <c r="E181" s="0" t="s">
        <v>3724</v>
      </c>
      <c r="F181" s="0" t="s">
        <v>3257</v>
      </c>
      <c r="G181" s="0" t="s">
        <v>3725</v>
      </c>
    </row>
    <row customHeight="1" ht="11.25">
      <c r="A182" s="0" t="s">
        <v>16</v>
      </c>
      <c r="B182" s="0" t="s">
        <v>3702</v>
      </c>
      <c r="C182" s="0" t="s">
        <v>3703</v>
      </c>
      <c r="D182" s="0" t="s">
        <v>3726</v>
      </c>
      <c r="E182" s="0" t="s">
        <v>3727</v>
      </c>
      <c r="F182" s="0" t="s">
        <v>3257</v>
      </c>
      <c r="G182" s="0" t="s">
        <v>3728</v>
      </c>
    </row>
    <row customHeight="1" ht="11.25">
      <c r="A183" s="0" t="s">
        <v>16</v>
      </c>
      <c r="B183" s="0" t="s">
        <v>3702</v>
      </c>
      <c r="C183" s="0" t="s">
        <v>3703</v>
      </c>
      <c r="D183" s="0" t="s">
        <v>3729</v>
      </c>
      <c r="E183" s="0" t="s">
        <v>3730</v>
      </c>
      <c r="F183" s="0" t="s">
        <v>3257</v>
      </c>
      <c r="G183" s="0" t="s">
        <v>3731</v>
      </c>
    </row>
    <row customHeight="1" ht="11.25">
      <c r="A184" s="0" t="s">
        <v>16</v>
      </c>
      <c r="B184" s="0" t="s">
        <v>3702</v>
      </c>
      <c r="C184" s="0" t="s">
        <v>3703</v>
      </c>
      <c r="D184" s="0" t="s">
        <v>3732</v>
      </c>
      <c r="E184" s="0" t="s">
        <v>3733</v>
      </c>
      <c r="F184" s="0" t="s">
        <v>3257</v>
      </c>
      <c r="G184" s="0" t="s">
        <v>3734</v>
      </c>
    </row>
    <row customHeight="1" ht="11.25">
      <c r="A185" s="0" t="s">
        <v>16</v>
      </c>
      <c r="B185" s="0" t="s">
        <v>3735</v>
      </c>
      <c r="C185" s="0" t="s">
        <v>3736</v>
      </c>
      <c r="D185" s="0" t="s">
        <v>3737</v>
      </c>
      <c r="E185" s="0" t="s">
        <v>3738</v>
      </c>
      <c r="F185" s="0" t="s">
        <v>3257</v>
      </c>
      <c r="G185" s="0" t="s">
        <v>3739</v>
      </c>
    </row>
    <row customHeight="1" ht="11.25">
      <c r="A186" s="0" t="s">
        <v>16</v>
      </c>
      <c r="B186" s="0" t="s">
        <v>3735</v>
      </c>
      <c r="C186" s="0" t="s">
        <v>3736</v>
      </c>
      <c r="D186" s="0" t="s">
        <v>3740</v>
      </c>
      <c r="E186" s="0" t="s">
        <v>3741</v>
      </c>
      <c r="F186" s="0" t="s">
        <v>3257</v>
      </c>
      <c r="G186" s="0" t="s">
        <v>3742</v>
      </c>
    </row>
    <row customHeight="1" ht="11.25">
      <c r="A187" s="0" t="s">
        <v>16</v>
      </c>
      <c r="B187" s="0" t="s">
        <v>3735</v>
      </c>
      <c r="C187" s="0" t="s">
        <v>3736</v>
      </c>
      <c r="D187" s="0" t="s">
        <v>3743</v>
      </c>
      <c r="E187" s="0" t="s">
        <v>3744</v>
      </c>
      <c r="F187" s="0" t="s">
        <v>3257</v>
      </c>
      <c r="G187" s="0" t="s">
        <v>3745</v>
      </c>
    </row>
    <row customHeight="1" ht="11.25">
      <c r="A188" s="0" t="s">
        <v>16</v>
      </c>
      <c r="B188" s="0" t="s">
        <v>3735</v>
      </c>
      <c r="C188" s="0" t="s">
        <v>3736</v>
      </c>
      <c r="D188" s="0" t="s">
        <v>3735</v>
      </c>
      <c r="E188" s="0" t="s">
        <v>3736</v>
      </c>
      <c r="F188" s="0" t="s">
        <v>3254</v>
      </c>
      <c r="G188" s="0" t="s">
        <v>3746</v>
      </c>
    </row>
    <row customHeight="1" ht="11.25">
      <c r="A189" s="0" t="s">
        <v>16</v>
      </c>
      <c r="B189" s="0" t="s">
        <v>3735</v>
      </c>
      <c r="C189" s="0" t="s">
        <v>3736</v>
      </c>
      <c r="D189" s="0" t="s">
        <v>3747</v>
      </c>
      <c r="E189" s="0" t="s">
        <v>3748</v>
      </c>
      <c r="F189" s="0" t="s">
        <v>3296</v>
      </c>
      <c r="G189" s="0" t="s">
        <v>3749</v>
      </c>
    </row>
    <row customHeight="1" ht="11.25">
      <c r="A190" s="0" t="s">
        <v>16</v>
      </c>
      <c r="B190" s="0" t="s">
        <v>3735</v>
      </c>
      <c r="C190" s="0" t="s">
        <v>3736</v>
      </c>
      <c r="D190" s="0" t="s">
        <v>3750</v>
      </c>
      <c r="E190" s="0" t="s">
        <v>3751</v>
      </c>
      <c r="F190" s="0" t="s">
        <v>3257</v>
      </c>
      <c r="G190" s="0" t="s">
        <v>3752</v>
      </c>
    </row>
    <row customHeight="1" ht="11.25">
      <c r="A191" s="0" t="s">
        <v>16</v>
      </c>
      <c r="B191" s="0" t="s">
        <v>3735</v>
      </c>
      <c r="C191" s="0" t="s">
        <v>3736</v>
      </c>
      <c r="D191" s="0" t="s">
        <v>3753</v>
      </c>
      <c r="E191" s="0" t="s">
        <v>3754</v>
      </c>
      <c r="F191" s="0" t="s">
        <v>3257</v>
      </c>
      <c r="G191" s="0" t="s">
        <v>3755</v>
      </c>
    </row>
    <row customHeight="1" ht="11.25">
      <c r="A192" s="0" t="s">
        <v>16</v>
      </c>
      <c r="B192" s="0" t="s">
        <v>3735</v>
      </c>
      <c r="C192" s="0" t="s">
        <v>3736</v>
      </c>
      <c r="D192" s="0" t="s">
        <v>3756</v>
      </c>
      <c r="E192" s="0" t="s">
        <v>3757</v>
      </c>
      <c r="F192" s="0" t="s">
        <v>3257</v>
      </c>
      <c r="G192" s="0" t="s">
        <v>3758</v>
      </c>
    </row>
    <row customHeight="1" ht="11.25">
      <c r="A193" s="0" t="s">
        <v>16</v>
      </c>
      <c r="B193" s="0" t="s">
        <v>3759</v>
      </c>
      <c r="C193" s="0" t="s">
        <v>3760</v>
      </c>
      <c r="D193" s="0" t="s">
        <v>3761</v>
      </c>
      <c r="E193" s="0" t="s">
        <v>3762</v>
      </c>
      <c r="F193" s="0" t="s">
        <v>3257</v>
      </c>
      <c r="G193" s="0" t="s">
        <v>3763</v>
      </c>
    </row>
    <row customHeight="1" ht="11.25">
      <c r="A194" s="0" t="s">
        <v>16</v>
      </c>
      <c r="B194" s="0" t="s">
        <v>3759</v>
      </c>
      <c r="C194" s="0" t="s">
        <v>3760</v>
      </c>
      <c r="D194" s="0" t="s">
        <v>3764</v>
      </c>
      <c r="E194" s="0" t="s">
        <v>3765</v>
      </c>
      <c r="F194" s="0" t="s">
        <v>3257</v>
      </c>
      <c r="G194" s="0" t="s">
        <v>3766</v>
      </c>
    </row>
    <row customHeight="1" ht="11.25">
      <c r="A195" s="0" t="s">
        <v>16</v>
      </c>
      <c r="B195" s="0" t="s">
        <v>3759</v>
      </c>
      <c r="C195" s="0" t="s">
        <v>3760</v>
      </c>
      <c r="D195" s="0" t="s">
        <v>3767</v>
      </c>
      <c r="E195" s="0" t="s">
        <v>3768</v>
      </c>
      <c r="F195" s="0" t="s">
        <v>3296</v>
      </c>
      <c r="G195" s="0" t="s">
        <v>3769</v>
      </c>
    </row>
    <row customHeight="1" ht="11.25">
      <c r="A196" s="0" t="s">
        <v>16</v>
      </c>
      <c r="B196" s="0" t="s">
        <v>3759</v>
      </c>
      <c r="C196" s="0" t="s">
        <v>3760</v>
      </c>
      <c r="D196" s="0" t="s">
        <v>3770</v>
      </c>
      <c r="E196" s="0" t="s">
        <v>3771</v>
      </c>
      <c r="F196" s="0" t="s">
        <v>3257</v>
      </c>
      <c r="G196" s="0" t="s">
        <v>3772</v>
      </c>
    </row>
    <row customHeight="1" ht="11.25">
      <c r="A197" s="0" t="s">
        <v>16</v>
      </c>
      <c r="B197" s="0" t="s">
        <v>3759</v>
      </c>
      <c r="C197" s="0" t="s">
        <v>3760</v>
      </c>
      <c r="D197" s="0" t="s">
        <v>3773</v>
      </c>
      <c r="E197" s="0" t="s">
        <v>3774</v>
      </c>
      <c r="F197" s="0" t="s">
        <v>3257</v>
      </c>
      <c r="G197" s="0" t="s">
        <v>3775</v>
      </c>
    </row>
    <row customHeight="1" ht="11.25">
      <c r="A198" s="0" t="s">
        <v>16</v>
      </c>
      <c r="B198" s="0" t="s">
        <v>3759</v>
      </c>
      <c r="C198" s="0" t="s">
        <v>3760</v>
      </c>
      <c r="D198" s="0" t="s">
        <v>3549</v>
      </c>
      <c r="E198" s="0" t="s">
        <v>3776</v>
      </c>
      <c r="F198" s="0" t="s">
        <v>3257</v>
      </c>
      <c r="G198" s="0" t="s">
        <v>3777</v>
      </c>
    </row>
    <row customHeight="1" ht="11.25">
      <c r="A199" s="0" t="s">
        <v>16</v>
      </c>
      <c r="B199" s="0" t="s">
        <v>3759</v>
      </c>
      <c r="C199" s="0" t="s">
        <v>3760</v>
      </c>
      <c r="D199" s="0" t="s">
        <v>3778</v>
      </c>
      <c r="E199" s="0" t="s">
        <v>3779</v>
      </c>
      <c r="F199" s="0" t="s">
        <v>3257</v>
      </c>
      <c r="G199" s="0" t="s">
        <v>3780</v>
      </c>
    </row>
    <row customHeight="1" ht="11.25">
      <c r="A200" s="0" t="s">
        <v>16</v>
      </c>
      <c r="B200" s="0" t="s">
        <v>3759</v>
      </c>
      <c r="C200" s="0" t="s">
        <v>3760</v>
      </c>
      <c r="D200" s="0" t="s">
        <v>3497</v>
      </c>
      <c r="E200" s="0" t="s">
        <v>3781</v>
      </c>
      <c r="F200" s="0" t="s">
        <v>3257</v>
      </c>
      <c r="G200" s="0" t="s">
        <v>3782</v>
      </c>
    </row>
    <row customHeight="1" ht="11.25">
      <c r="A201" s="0" t="s">
        <v>16</v>
      </c>
      <c r="B201" s="0" t="s">
        <v>3759</v>
      </c>
      <c r="C201" s="0" t="s">
        <v>3760</v>
      </c>
      <c r="D201" s="0" t="s">
        <v>3759</v>
      </c>
      <c r="E201" s="0" t="s">
        <v>3760</v>
      </c>
      <c r="F201" s="0" t="s">
        <v>3254</v>
      </c>
      <c r="G201" s="0" t="s">
        <v>3783</v>
      </c>
    </row>
    <row customHeight="1" ht="11.25">
      <c r="A202" s="0" t="s">
        <v>16</v>
      </c>
      <c r="B202" s="0" t="s">
        <v>3759</v>
      </c>
      <c r="C202" s="0" t="s">
        <v>3760</v>
      </c>
      <c r="D202" s="0" t="s">
        <v>3784</v>
      </c>
      <c r="E202" s="0" t="s">
        <v>3785</v>
      </c>
      <c r="F202" s="0" t="s">
        <v>3296</v>
      </c>
      <c r="G202" s="0" t="s">
        <v>3786</v>
      </c>
    </row>
    <row customHeight="1" ht="11.25">
      <c r="A203" s="0" t="s">
        <v>16</v>
      </c>
      <c r="B203" s="0" t="s">
        <v>3759</v>
      </c>
      <c r="C203" s="0" t="s">
        <v>3760</v>
      </c>
      <c r="D203" s="0" t="s">
        <v>3787</v>
      </c>
      <c r="E203" s="0" t="s">
        <v>3788</v>
      </c>
      <c r="F203" s="0" t="s">
        <v>3257</v>
      </c>
      <c r="G203" s="0" t="s">
        <v>3789</v>
      </c>
    </row>
    <row customHeight="1" ht="11.25">
      <c r="A204" s="0" t="s">
        <v>16</v>
      </c>
      <c r="B204" s="0" t="s">
        <v>3759</v>
      </c>
      <c r="C204" s="0" t="s">
        <v>3760</v>
      </c>
      <c r="D204" s="0" t="s">
        <v>3790</v>
      </c>
      <c r="E204" s="0" t="s">
        <v>3791</v>
      </c>
      <c r="F204" s="0" t="s">
        <v>3257</v>
      </c>
      <c r="G204" s="0" t="s">
        <v>3792</v>
      </c>
    </row>
    <row customHeight="1" ht="11.25">
      <c r="A205" s="0" t="s">
        <v>16</v>
      </c>
      <c r="B205" s="0" t="s">
        <v>3759</v>
      </c>
      <c r="C205" s="0" t="s">
        <v>3760</v>
      </c>
      <c r="D205" s="0" t="s">
        <v>3793</v>
      </c>
      <c r="E205" s="0" t="s">
        <v>3794</v>
      </c>
      <c r="F205" s="0" t="s">
        <v>3257</v>
      </c>
      <c r="G205" s="0" t="s">
        <v>3795</v>
      </c>
    </row>
    <row customHeight="1" ht="11.25">
      <c r="A206" s="0" t="s">
        <v>16</v>
      </c>
      <c r="B206" s="0" t="s">
        <v>3759</v>
      </c>
      <c r="C206" s="0" t="s">
        <v>3760</v>
      </c>
      <c r="D206" s="0" t="s">
        <v>3796</v>
      </c>
      <c r="E206" s="0" t="s">
        <v>3797</v>
      </c>
      <c r="F206" s="0" t="s">
        <v>3257</v>
      </c>
      <c r="G206" s="0" t="s">
        <v>3798</v>
      </c>
    </row>
    <row customHeight="1" ht="11.25">
      <c r="A207" s="0" t="s">
        <v>16</v>
      </c>
      <c r="B207" s="0" t="s">
        <v>3759</v>
      </c>
      <c r="C207" s="0" t="s">
        <v>3760</v>
      </c>
      <c r="D207" s="0" t="s">
        <v>3799</v>
      </c>
      <c r="E207" s="0" t="s">
        <v>3800</v>
      </c>
      <c r="F207" s="0" t="s">
        <v>3675</v>
      </c>
      <c r="G207" s="0" t="s">
        <v>3801</v>
      </c>
    </row>
    <row customHeight="1" ht="11.25">
      <c r="A208" s="0" t="s">
        <v>16</v>
      </c>
      <c r="B208" s="0" t="s">
        <v>3759</v>
      </c>
      <c r="C208" s="0" t="s">
        <v>3760</v>
      </c>
      <c r="D208" s="0" t="s">
        <v>3802</v>
      </c>
      <c r="E208" s="0" t="s">
        <v>3803</v>
      </c>
      <c r="F208" s="0" t="s">
        <v>3257</v>
      </c>
      <c r="G208" s="0" t="s">
        <v>3804</v>
      </c>
    </row>
    <row customHeight="1" ht="11.25">
      <c r="A209" s="0" t="s">
        <v>16</v>
      </c>
      <c r="B209" s="0" t="s">
        <v>3805</v>
      </c>
      <c r="C209" s="0" t="s">
        <v>3806</v>
      </c>
      <c r="D209" s="0" t="s">
        <v>3807</v>
      </c>
      <c r="E209" s="0" t="s">
        <v>3808</v>
      </c>
      <c r="F209" s="0" t="s">
        <v>3257</v>
      </c>
      <c r="G209" s="0" t="s">
        <v>3809</v>
      </c>
    </row>
    <row customHeight="1" ht="11.25">
      <c r="A210" s="0" t="s">
        <v>16</v>
      </c>
      <c r="B210" s="0" t="s">
        <v>3805</v>
      </c>
      <c r="C210" s="0" t="s">
        <v>3806</v>
      </c>
      <c r="D210" s="0" t="s">
        <v>3805</v>
      </c>
      <c r="E210" s="0" t="s">
        <v>3806</v>
      </c>
      <c r="F210" s="0" t="s">
        <v>3254</v>
      </c>
      <c r="G210" s="0" t="s">
        <v>3810</v>
      </c>
    </row>
    <row customHeight="1" ht="11.25">
      <c r="A211" s="0" t="s">
        <v>16</v>
      </c>
      <c r="B211" s="0" t="s">
        <v>3805</v>
      </c>
      <c r="C211" s="0" t="s">
        <v>3806</v>
      </c>
      <c r="D211" s="0" t="s">
        <v>3811</v>
      </c>
      <c r="E211" s="0" t="s">
        <v>3812</v>
      </c>
      <c r="F211" s="0" t="s">
        <v>3257</v>
      </c>
      <c r="G211" s="0" t="s">
        <v>3813</v>
      </c>
    </row>
    <row customHeight="1" ht="11.25">
      <c r="A212" s="0" t="s">
        <v>16</v>
      </c>
      <c r="B212" s="0" t="s">
        <v>3805</v>
      </c>
      <c r="C212" s="0" t="s">
        <v>3806</v>
      </c>
      <c r="D212" s="0" t="s">
        <v>3814</v>
      </c>
      <c r="E212" s="0" t="s">
        <v>3815</v>
      </c>
      <c r="F212" s="0" t="s">
        <v>3257</v>
      </c>
      <c r="G212" s="0" t="s">
        <v>3816</v>
      </c>
    </row>
    <row customHeight="1" ht="11.25">
      <c r="A213" s="0" t="s">
        <v>16</v>
      </c>
      <c r="B213" s="0" t="s">
        <v>3817</v>
      </c>
      <c r="C213" s="0" t="s">
        <v>3818</v>
      </c>
      <c r="D213" s="0" t="s">
        <v>3819</v>
      </c>
      <c r="E213" s="0" t="s">
        <v>3820</v>
      </c>
      <c r="F213" s="0" t="s">
        <v>3257</v>
      </c>
      <c r="G213" s="0" t="s">
        <v>3821</v>
      </c>
    </row>
    <row customHeight="1" ht="11.25">
      <c r="A214" s="0" t="s">
        <v>16</v>
      </c>
      <c r="B214" s="0" t="s">
        <v>3817</v>
      </c>
      <c r="C214" s="0" t="s">
        <v>3818</v>
      </c>
      <c r="D214" s="0" t="s">
        <v>3822</v>
      </c>
      <c r="E214" s="0" t="s">
        <v>3823</v>
      </c>
      <c r="F214" s="0" t="s">
        <v>3257</v>
      </c>
      <c r="G214" s="0" t="s">
        <v>3824</v>
      </c>
    </row>
    <row customHeight="1" ht="11.25">
      <c r="A215" s="0" t="s">
        <v>16</v>
      </c>
      <c r="B215" s="0" t="s">
        <v>3817</v>
      </c>
      <c r="C215" s="0" t="s">
        <v>3818</v>
      </c>
      <c r="D215" s="0" t="s">
        <v>3825</v>
      </c>
      <c r="E215" s="0" t="s">
        <v>3826</v>
      </c>
      <c r="F215" s="0" t="s">
        <v>3257</v>
      </c>
      <c r="G215" s="0" t="s">
        <v>3827</v>
      </c>
    </row>
    <row customHeight="1" ht="11.25">
      <c r="A216" s="0" t="s">
        <v>16</v>
      </c>
      <c r="B216" s="0" t="s">
        <v>3817</v>
      </c>
      <c r="C216" s="0" t="s">
        <v>3818</v>
      </c>
      <c r="D216" s="0" t="s">
        <v>3828</v>
      </c>
      <c r="E216" s="0" t="s">
        <v>3829</v>
      </c>
      <c r="F216" s="0" t="s">
        <v>3257</v>
      </c>
      <c r="G216" s="0" t="s">
        <v>3830</v>
      </c>
    </row>
    <row customHeight="1" ht="11.25">
      <c r="A217" s="0" t="s">
        <v>16</v>
      </c>
      <c r="B217" s="0" t="s">
        <v>3817</v>
      </c>
      <c r="C217" s="0" t="s">
        <v>3818</v>
      </c>
      <c r="D217" s="0" t="s">
        <v>3831</v>
      </c>
      <c r="E217" s="0" t="s">
        <v>3832</v>
      </c>
      <c r="F217" s="0" t="s">
        <v>3257</v>
      </c>
      <c r="G217" s="0" t="s">
        <v>3833</v>
      </c>
    </row>
    <row customHeight="1" ht="11.25">
      <c r="A218" s="0" t="s">
        <v>16</v>
      </c>
      <c r="B218" s="0" t="s">
        <v>3817</v>
      </c>
      <c r="C218" s="0" t="s">
        <v>3818</v>
      </c>
      <c r="D218" s="0" t="s">
        <v>3817</v>
      </c>
      <c r="E218" s="0" t="s">
        <v>3818</v>
      </c>
      <c r="F218" s="0" t="s">
        <v>3254</v>
      </c>
      <c r="G218" s="0" t="s">
        <v>3834</v>
      </c>
    </row>
    <row customHeight="1" ht="11.25">
      <c r="A219" s="0" t="s">
        <v>16</v>
      </c>
      <c r="B219" s="0" t="s">
        <v>3817</v>
      </c>
      <c r="C219" s="0" t="s">
        <v>3818</v>
      </c>
      <c r="D219" s="0" t="s">
        <v>3835</v>
      </c>
      <c r="E219" s="0" t="s">
        <v>3836</v>
      </c>
      <c r="F219" s="0" t="s">
        <v>3257</v>
      </c>
      <c r="G219" s="0" t="s">
        <v>3837</v>
      </c>
    </row>
    <row customHeight="1" ht="11.25">
      <c r="A220" s="0" t="s">
        <v>16</v>
      </c>
      <c r="B220" s="0" t="s">
        <v>3817</v>
      </c>
      <c r="C220" s="0" t="s">
        <v>3818</v>
      </c>
      <c r="D220" s="0" t="s">
        <v>3838</v>
      </c>
      <c r="E220" s="0" t="s">
        <v>3839</v>
      </c>
      <c r="F220" s="0" t="s">
        <v>3257</v>
      </c>
      <c r="G220" s="0" t="s">
        <v>3840</v>
      </c>
    </row>
    <row customHeight="1" ht="11.25">
      <c r="A221" s="0" t="s">
        <v>16</v>
      </c>
      <c r="B221" s="0" t="s">
        <v>3817</v>
      </c>
      <c r="C221" s="0" t="s">
        <v>3818</v>
      </c>
      <c r="D221" s="0" t="s">
        <v>3841</v>
      </c>
      <c r="E221" s="0" t="s">
        <v>3842</v>
      </c>
      <c r="F221" s="0" t="s">
        <v>3257</v>
      </c>
      <c r="G221" s="0" t="s">
        <v>3843</v>
      </c>
    </row>
    <row customHeight="1" ht="11.25">
      <c r="A222" s="0" t="s">
        <v>16</v>
      </c>
      <c r="B222" s="0" t="s">
        <v>3817</v>
      </c>
      <c r="C222" s="0" t="s">
        <v>3818</v>
      </c>
      <c r="D222" s="0" t="s">
        <v>3844</v>
      </c>
      <c r="E222" s="0" t="s">
        <v>3845</v>
      </c>
      <c r="F222" s="0" t="s">
        <v>3257</v>
      </c>
      <c r="G222" s="0" t="s">
        <v>3846</v>
      </c>
    </row>
    <row customHeight="1" ht="11.25">
      <c r="A223" s="0" t="s">
        <v>16</v>
      </c>
      <c r="B223" s="0" t="s">
        <v>3847</v>
      </c>
      <c r="C223" s="0" t="s">
        <v>3848</v>
      </c>
      <c r="D223" s="0" t="s">
        <v>3849</v>
      </c>
      <c r="E223" s="0" t="s">
        <v>3850</v>
      </c>
      <c r="F223" s="0" t="s">
        <v>3257</v>
      </c>
      <c r="G223" s="0" t="s">
        <v>3851</v>
      </c>
    </row>
    <row customHeight="1" ht="11.25">
      <c r="A224" s="0" t="s">
        <v>16</v>
      </c>
      <c r="B224" s="0" t="s">
        <v>3847</v>
      </c>
      <c r="C224" s="0" t="s">
        <v>3848</v>
      </c>
      <c r="D224" s="0" t="s">
        <v>3852</v>
      </c>
      <c r="E224" s="0" t="s">
        <v>3853</v>
      </c>
      <c r="F224" s="0" t="s">
        <v>3257</v>
      </c>
      <c r="G224" s="0" t="s">
        <v>3854</v>
      </c>
    </row>
    <row customHeight="1" ht="11.25">
      <c r="A225" s="0" t="s">
        <v>16</v>
      </c>
      <c r="B225" s="0" t="s">
        <v>3847</v>
      </c>
      <c r="C225" s="0" t="s">
        <v>3848</v>
      </c>
      <c r="D225" s="0" t="s">
        <v>3855</v>
      </c>
      <c r="E225" s="0" t="s">
        <v>3856</v>
      </c>
      <c r="F225" s="0" t="s">
        <v>3257</v>
      </c>
      <c r="G225" s="0" t="s">
        <v>3857</v>
      </c>
    </row>
    <row customHeight="1" ht="11.25">
      <c r="A226" s="0" t="s">
        <v>16</v>
      </c>
      <c r="B226" s="0" t="s">
        <v>3847</v>
      </c>
      <c r="C226" s="0" t="s">
        <v>3848</v>
      </c>
      <c r="D226" s="0" t="s">
        <v>3858</v>
      </c>
      <c r="E226" s="0" t="s">
        <v>3859</v>
      </c>
      <c r="F226" s="0" t="s">
        <v>3257</v>
      </c>
      <c r="G226" s="0" t="s">
        <v>3860</v>
      </c>
    </row>
    <row customHeight="1" ht="11.25">
      <c r="A227" s="0" t="s">
        <v>16</v>
      </c>
      <c r="B227" s="0" t="s">
        <v>3847</v>
      </c>
      <c r="C227" s="0" t="s">
        <v>3848</v>
      </c>
      <c r="D227" s="0" t="s">
        <v>3861</v>
      </c>
      <c r="E227" s="0" t="s">
        <v>3862</v>
      </c>
      <c r="F227" s="0" t="s">
        <v>3257</v>
      </c>
      <c r="G227" s="0" t="s">
        <v>3863</v>
      </c>
    </row>
    <row customHeight="1" ht="11.25">
      <c r="A228" s="0" t="s">
        <v>16</v>
      </c>
      <c r="B228" s="0" t="s">
        <v>3847</v>
      </c>
      <c r="C228" s="0" t="s">
        <v>3848</v>
      </c>
      <c r="D228" s="0" t="s">
        <v>3847</v>
      </c>
      <c r="E228" s="0" t="s">
        <v>3848</v>
      </c>
      <c r="F228" s="0" t="s">
        <v>3254</v>
      </c>
      <c r="G228" s="0" t="s">
        <v>3864</v>
      </c>
    </row>
    <row customHeight="1" ht="11.25">
      <c r="A229" s="0" t="s">
        <v>16</v>
      </c>
      <c r="B229" s="0" t="s">
        <v>3847</v>
      </c>
      <c r="C229" s="0" t="s">
        <v>3848</v>
      </c>
      <c r="D229" s="0" t="s">
        <v>3865</v>
      </c>
      <c r="E229" s="0" t="s">
        <v>3866</v>
      </c>
      <c r="F229" s="0" t="s">
        <v>3257</v>
      </c>
      <c r="G229" s="0" t="s">
        <v>3867</v>
      </c>
    </row>
    <row customHeight="1" ht="11.25">
      <c r="A230" s="0" t="s">
        <v>16</v>
      </c>
      <c r="B230" s="0" t="s">
        <v>3847</v>
      </c>
      <c r="C230" s="0" t="s">
        <v>3848</v>
      </c>
      <c r="D230" s="0" t="s">
        <v>3868</v>
      </c>
      <c r="E230" s="0" t="s">
        <v>3869</v>
      </c>
      <c r="F230" s="0" t="s">
        <v>3257</v>
      </c>
      <c r="G230" s="0" t="s">
        <v>3870</v>
      </c>
    </row>
    <row customHeight="1" ht="11.25">
      <c r="A231" s="0" t="s">
        <v>16</v>
      </c>
      <c r="B231" s="0" t="s">
        <v>3847</v>
      </c>
      <c r="C231" s="0" t="s">
        <v>3848</v>
      </c>
      <c r="D231" s="0" t="s">
        <v>3871</v>
      </c>
      <c r="E231" s="0" t="s">
        <v>3872</v>
      </c>
      <c r="F231" s="0" t="s">
        <v>3257</v>
      </c>
      <c r="G231" s="0" t="s">
        <v>3873</v>
      </c>
    </row>
    <row customHeight="1" ht="11.25">
      <c r="A232" s="0" t="s">
        <v>16</v>
      </c>
      <c r="B232" s="0" t="s">
        <v>3874</v>
      </c>
      <c r="C232" s="0" t="s">
        <v>3875</v>
      </c>
      <c r="D232" s="0" t="s">
        <v>3876</v>
      </c>
      <c r="E232" s="0" t="s">
        <v>3877</v>
      </c>
      <c r="F232" s="0" t="s">
        <v>3257</v>
      </c>
      <c r="G232" s="0" t="s">
        <v>3878</v>
      </c>
    </row>
    <row customHeight="1" ht="11.25">
      <c r="A233" s="0" t="s">
        <v>16</v>
      </c>
      <c r="B233" s="0" t="s">
        <v>3874</v>
      </c>
      <c r="C233" s="0" t="s">
        <v>3875</v>
      </c>
      <c r="D233" s="0" t="s">
        <v>3879</v>
      </c>
      <c r="E233" s="0" t="s">
        <v>3880</v>
      </c>
      <c r="F233" s="0" t="s">
        <v>3257</v>
      </c>
      <c r="G233" s="0" t="s">
        <v>3881</v>
      </c>
    </row>
    <row customHeight="1" ht="11.25">
      <c r="A234" s="0" t="s">
        <v>16</v>
      </c>
      <c r="B234" s="0" t="s">
        <v>3874</v>
      </c>
      <c r="C234" s="0" t="s">
        <v>3875</v>
      </c>
      <c r="D234" s="0" t="s">
        <v>3882</v>
      </c>
      <c r="E234" s="0" t="s">
        <v>3883</v>
      </c>
      <c r="F234" s="0" t="s">
        <v>3257</v>
      </c>
      <c r="G234" s="0" t="s">
        <v>3884</v>
      </c>
    </row>
    <row customHeight="1" ht="11.25">
      <c r="A235" s="0" t="s">
        <v>16</v>
      </c>
      <c r="B235" s="0" t="s">
        <v>3874</v>
      </c>
      <c r="C235" s="0" t="s">
        <v>3875</v>
      </c>
      <c r="D235" s="0" t="s">
        <v>3885</v>
      </c>
      <c r="E235" s="0" t="s">
        <v>3886</v>
      </c>
      <c r="F235" s="0" t="s">
        <v>3257</v>
      </c>
      <c r="G235" s="0" t="s">
        <v>3887</v>
      </c>
    </row>
    <row customHeight="1" ht="11.25">
      <c r="A236" s="0" t="s">
        <v>16</v>
      </c>
      <c r="B236" s="0" t="s">
        <v>3874</v>
      </c>
      <c r="C236" s="0" t="s">
        <v>3875</v>
      </c>
      <c r="D236" s="0" t="s">
        <v>3888</v>
      </c>
      <c r="E236" s="0" t="s">
        <v>3889</v>
      </c>
      <c r="F236" s="0" t="s">
        <v>3257</v>
      </c>
      <c r="G236" s="0" t="s">
        <v>3890</v>
      </c>
    </row>
    <row customHeight="1" ht="11.25">
      <c r="A237" s="0" t="s">
        <v>16</v>
      </c>
      <c r="B237" s="0" t="s">
        <v>3874</v>
      </c>
      <c r="C237" s="0" t="s">
        <v>3875</v>
      </c>
      <c r="D237" s="0" t="s">
        <v>3891</v>
      </c>
      <c r="E237" s="0" t="s">
        <v>3892</v>
      </c>
      <c r="F237" s="0" t="s">
        <v>3257</v>
      </c>
      <c r="G237" s="0" t="s">
        <v>3893</v>
      </c>
    </row>
    <row customHeight="1" ht="11.25">
      <c r="A238" s="0" t="s">
        <v>16</v>
      </c>
      <c r="B238" s="0" t="s">
        <v>3874</v>
      </c>
      <c r="C238" s="0" t="s">
        <v>3875</v>
      </c>
      <c r="D238" s="0" t="s">
        <v>3874</v>
      </c>
      <c r="E238" s="0" t="s">
        <v>3875</v>
      </c>
      <c r="F238" s="0" t="s">
        <v>3254</v>
      </c>
      <c r="G238" s="0" t="s">
        <v>3894</v>
      </c>
    </row>
    <row customHeight="1" ht="11.25">
      <c r="A239" s="0" t="s">
        <v>16</v>
      </c>
      <c r="B239" s="0" t="s">
        <v>3874</v>
      </c>
      <c r="C239" s="0" t="s">
        <v>3875</v>
      </c>
      <c r="D239" s="0" t="s">
        <v>3895</v>
      </c>
      <c r="E239" s="0" t="s">
        <v>3896</v>
      </c>
      <c r="F239" s="0" t="s">
        <v>3296</v>
      </c>
      <c r="G239" s="0" t="s">
        <v>3897</v>
      </c>
    </row>
    <row customHeight="1" ht="11.25">
      <c r="A240" s="0" t="s">
        <v>16</v>
      </c>
      <c r="B240" s="0" t="s">
        <v>3874</v>
      </c>
      <c r="C240" s="0" t="s">
        <v>3875</v>
      </c>
      <c r="D240" s="0" t="s">
        <v>3898</v>
      </c>
      <c r="E240" s="0" t="s">
        <v>3899</v>
      </c>
      <c r="F240" s="0" t="s">
        <v>3257</v>
      </c>
      <c r="G240" s="0" t="s">
        <v>3900</v>
      </c>
    </row>
    <row customHeight="1" ht="11.25">
      <c r="A241" s="0" t="s">
        <v>16</v>
      </c>
      <c r="B241" s="0" t="s">
        <v>3874</v>
      </c>
      <c r="C241" s="0" t="s">
        <v>3875</v>
      </c>
      <c r="D241" s="0" t="s">
        <v>3723</v>
      </c>
      <c r="E241" s="0" t="s">
        <v>3901</v>
      </c>
      <c r="F241" s="0" t="s">
        <v>3257</v>
      </c>
      <c r="G241" s="0" t="s">
        <v>3902</v>
      </c>
    </row>
    <row customHeight="1" ht="11.25">
      <c r="A242" s="0" t="s">
        <v>16</v>
      </c>
      <c r="B242" s="0" t="s">
        <v>3874</v>
      </c>
      <c r="C242" s="0" t="s">
        <v>3875</v>
      </c>
      <c r="D242" s="0" t="s">
        <v>3903</v>
      </c>
      <c r="E242" s="0" t="s">
        <v>3904</v>
      </c>
      <c r="F242" s="0" t="s">
        <v>3257</v>
      </c>
      <c r="G242" s="0" t="s">
        <v>3905</v>
      </c>
    </row>
    <row customHeight="1" ht="11.25">
      <c r="A243" s="0" t="s">
        <v>16</v>
      </c>
      <c r="B243" s="0" t="s">
        <v>3874</v>
      </c>
      <c r="C243" s="0" t="s">
        <v>3875</v>
      </c>
      <c r="D243" s="0" t="s">
        <v>3906</v>
      </c>
      <c r="E243" s="0" t="s">
        <v>3907</v>
      </c>
      <c r="F243" s="0" t="s">
        <v>3257</v>
      </c>
      <c r="G243" s="0" t="s">
        <v>3908</v>
      </c>
    </row>
    <row customHeight="1" ht="11.25">
      <c r="A244" s="0" t="s">
        <v>16</v>
      </c>
      <c r="B244" s="0" t="s">
        <v>3874</v>
      </c>
      <c r="C244" s="0" t="s">
        <v>3875</v>
      </c>
      <c r="D244" s="0" t="s">
        <v>3909</v>
      </c>
      <c r="E244" s="0" t="s">
        <v>3910</v>
      </c>
      <c r="F244" s="0" t="s">
        <v>3257</v>
      </c>
      <c r="G244" s="0" t="s">
        <v>3911</v>
      </c>
    </row>
    <row customHeight="1" ht="11.25">
      <c r="A245" s="0" t="s">
        <v>16</v>
      </c>
      <c r="B245" s="0" t="s">
        <v>3874</v>
      </c>
      <c r="C245" s="0" t="s">
        <v>3875</v>
      </c>
      <c r="D245" s="0" t="s">
        <v>3912</v>
      </c>
      <c r="E245" s="0" t="s">
        <v>3913</v>
      </c>
      <c r="F245" s="0" t="s">
        <v>3257</v>
      </c>
      <c r="G245" s="0" t="s">
        <v>3914</v>
      </c>
    </row>
    <row customHeight="1" ht="11.25">
      <c r="A246" s="0" t="s">
        <v>16</v>
      </c>
      <c r="B246" s="0" t="s">
        <v>3915</v>
      </c>
      <c r="C246" s="0" t="s">
        <v>3916</v>
      </c>
      <c r="D246" s="0" t="s">
        <v>3917</v>
      </c>
      <c r="E246" s="0" t="s">
        <v>3918</v>
      </c>
      <c r="F246" s="0" t="s">
        <v>3257</v>
      </c>
      <c r="G246" s="0" t="s">
        <v>3919</v>
      </c>
    </row>
    <row customHeight="1" ht="11.25">
      <c r="A247" s="0" t="s">
        <v>16</v>
      </c>
      <c r="B247" s="0" t="s">
        <v>3915</v>
      </c>
      <c r="C247" s="0" t="s">
        <v>3916</v>
      </c>
      <c r="D247" s="0" t="s">
        <v>3920</v>
      </c>
      <c r="E247" s="0" t="s">
        <v>3921</v>
      </c>
      <c r="F247" s="0" t="s">
        <v>3257</v>
      </c>
      <c r="G247" s="0" t="s">
        <v>3922</v>
      </c>
    </row>
    <row customHeight="1" ht="11.25">
      <c r="A248" s="0" t="s">
        <v>16</v>
      </c>
      <c r="B248" s="0" t="s">
        <v>3915</v>
      </c>
      <c r="C248" s="0" t="s">
        <v>3916</v>
      </c>
      <c r="D248" s="0" t="s">
        <v>3915</v>
      </c>
      <c r="E248" s="0" t="s">
        <v>3916</v>
      </c>
      <c r="F248" s="0" t="s">
        <v>3254</v>
      </c>
      <c r="G248" s="0" t="s">
        <v>3923</v>
      </c>
    </row>
    <row customHeight="1" ht="11.25">
      <c r="A249" s="0" t="s">
        <v>16</v>
      </c>
      <c r="B249" s="0" t="s">
        <v>3915</v>
      </c>
      <c r="C249" s="0" t="s">
        <v>3916</v>
      </c>
      <c r="D249" s="0" t="s">
        <v>3924</v>
      </c>
      <c r="E249" s="0" t="s">
        <v>3925</v>
      </c>
      <c r="F249" s="0" t="s">
        <v>3257</v>
      </c>
      <c r="G249" s="0" t="s">
        <v>3926</v>
      </c>
    </row>
    <row customHeight="1" ht="11.25">
      <c r="A250" s="0" t="s">
        <v>16</v>
      </c>
      <c r="B250" s="0" t="s">
        <v>3915</v>
      </c>
      <c r="C250" s="0" t="s">
        <v>3916</v>
      </c>
      <c r="D250" s="0" t="s">
        <v>3927</v>
      </c>
      <c r="E250" s="0" t="s">
        <v>3928</v>
      </c>
      <c r="F250" s="0" t="s">
        <v>3257</v>
      </c>
      <c r="G250" s="0" t="s">
        <v>3929</v>
      </c>
    </row>
    <row customHeight="1" ht="11.25">
      <c r="A251" s="0" t="s">
        <v>16</v>
      </c>
      <c r="B251" s="0" t="s">
        <v>3915</v>
      </c>
      <c r="C251" s="0" t="s">
        <v>3916</v>
      </c>
      <c r="D251" s="0" t="s">
        <v>3930</v>
      </c>
      <c r="E251" s="0" t="s">
        <v>3931</v>
      </c>
      <c r="F251" s="0" t="s">
        <v>3257</v>
      </c>
      <c r="G251" s="0" t="s">
        <v>3932</v>
      </c>
    </row>
    <row customHeight="1" ht="11.25">
      <c r="A252" s="0" t="s">
        <v>16</v>
      </c>
      <c r="B252" s="0" t="s">
        <v>3915</v>
      </c>
      <c r="C252" s="0" t="s">
        <v>3916</v>
      </c>
      <c r="D252" s="0" t="s">
        <v>3933</v>
      </c>
      <c r="E252" s="0" t="s">
        <v>3934</v>
      </c>
      <c r="F252" s="0" t="s">
        <v>3257</v>
      </c>
      <c r="G252" s="0" t="s">
        <v>3935</v>
      </c>
    </row>
    <row customHeight="1" ht="11.25">
      <c r="A253" s="0" t="s">
        <v>16</v>
      </c>
      <c r="B253" s="0" t="s">
        <v>3915</v>
      </c>
      <c r="C253" s="0" t="s">
        <v>3916</v>
      </c>
      <c r="D253" s="0" t="s">
        <v>3936</v>
      </c>
      <c r="E253" s="0" t="s">
        <v>3937</v>
      </c>
      <c r="F253" s="0" t="s">
        <v>3257</v>
      </c>
      <c r="G253" s="0" t="s">
        <v>3938</v>
      </c>
    </row>
    <row customHeight="1" ht="11.25">
      <c r="A254" s="0" t="s">
        <v>16</v>
      </c>
      <c r="B254" s="0" t="s">
        <v>3939</v>
      </c>
      <c r="C254" s="0" t="s">
        <v>3940</v>
      </c>
      <c r="D254" s="0" t="s">
        <v>3941</v>
      </c>
      <c r="E254" s="0" t="s">
        <v>3942</v>
      </c>
      <c r="F254" s="0" t="s">
        <v>3257</v>
      </c>
      <c r="G254" s="0" t="s">
        <v>3943</v>
      </c>
    </row>
    <row customHeight="1" ht="11.25">
      <c r="A255" s="0" t="s">
        <v>16</v>
      </c>
      <c r="B255" s="0" t="s">
        <v>3939</v>
      </c>
      <c r="C255" s="0" t="s">
        <v>3940</v>
      </c>
      <c r="D255" s="0" t="s">
        <v>3944</v>
      </c>
      <c r="E255" s="0" t="s">
        <v>3945</v>
      </c>
      <c r="F255" s="0" t="s">
        <v>3257</v>
      </c>
      <c r="G255" s="0" t="s">
        <v>3946</v>
      </c>
    </row>
    <row customHeight="1" ht="11.25">
      <c r="A256" s="0" t="s">
        <v>16</v>
      </c>
      <c r="B256" s="0" t="s">
        <v>3939</v>
      </c>
      <c r="C256" s="0" t="s">
        <v>3940</v>
      </c>
      <c r="D256" s="0" t="s">
        <v>3947</v>
      </c>
      <c r="E256" s="0" t="s">
        <v>3948</v>
      </c>
      <c r="F256" s="0" t="s">
        <v>3257</v>
      </c>
      <c r="G256" s="0" t="s">
        <v>3949</v>
      </c>
    </row>
    <row customHeight="1" ht="11.25">
      <c r="A257" s="0" t="s">
        <v>16</v>
      </c>
      <c r="B257" s="0" t="s">
        <v>3939</v>
      </c>
      <c r="C257" s="0" t="s">
        <v>3940</v>
      </c>
      <c r="D257" s="0" t="s">
        <v>3950</v>
      </c>
      <c r="E257" s="0" t="s">
        <v>3951</v>
      </c>
      <c r="F257" s="0" t="s">
        <v>3257</v>
      </c>
      <c r="G257" s="0" t="s">
        <v>3952</v>
      </c>
    </row>
    <row customHeight="1" ht="11.25">
      <c r="A258" s="0" t="s">
        <v>16</v>
      </c>
      <c r="B258" s="0" t="s">
        <v>3939</v>
      </c>
      <c r="C258" s="0" t="s">
        <v>3940</v>
      </c>
      <c r="D258" s="0" t="s">
        <v>3953</v>
      </c>
      <c r="E258" s="0" t="s">
        <v>3954</v>
      </c>
      <c r="F258" s="0" t="s">
        <v>3257</v>
      </c>
      <c r="G258" s="0" t="s">
        <v>3955</v>
      </c>
    </row>
    <row customHeight="1" ht="11.25">
      <c r="A259" s="0" t="s">
        <v>16</v>
      </c>
      <c r="B259" s="0" t="s">
        <v>3939</v>
      </c>
      <c r="C259" s="0" t="s">
        <v>3940</v>
      </c>
      <c r="D259" s="0" t="s">
        <v>3956</v>
      </c>
      <c r="E259" s="0" t="s">
        <v>3957</v>
      </c>
      <c r="F259" s="0" t="s">
        <v>3257</v>
      </c>
      <c r="G259" s="0" t="s">
        <v>3958</v>
      </c>
    </row>
    <row customHeight="1" ht="11.25">
      <c r="A260" s="0" t="s">
        <v>16</v>
      </c>
      <c r="B260" s="0" t="s">
        <v>3939</v>
      </c>
      <c r="C260" s="0" t="s">
        <v>3940</v>
      </c>
      <c r="D260" s="0" t="s">
        <v>3939</v>
      </c>
      <c r="E260" s="0" t="s">
        <v>3940</v>
      </c>
      <c r="F260" s="0" t="s">
        <v>3254</v>
      </c>
      <c r="G260" s="0" t="s">
        <v>3959</v>
      </c>
    </row>
    <row customHeight="1" ht="11.25">
      <c r="A261" s="0" t="s">
        <v>16</v>
      </c>
      <c r="B261" s="0" t="s">
        <v>3939</v>
      </c>
      <c r="C261" s="0" t="s">
        <v>3940</v>
      </c>
      <c r="D261" s="0" t="s">
        <v>3960</v>
      </c>
      <c r="E261" s="0" t="s">
        <v>3961</v>
      </c>
      <c r="F261" s="0" t="s">
        <v>3296</v>
      </c>
      <c r="G261" s="0" t="s">
        <v>3962</v>
      </c>
    </row>
    <row customHeight="1" ht="11.25">
      <c r="A262" s="0" t="s">
        <v>16</v>
      </c>
      <c r="B262" s="0" t="s">
        <v>3939</v>
      </c>
      <c r="C262" s="0" t="s">
        <v>3940</v>
      </c>
      <c r="D262" s="0" t="s">
        <v>3963</v>
      </c>
      <c r="E262" s="0" t="s">
        <v>3964</v>
      </c>
      <c r="F262" s="0" t="s">
        <v>3257</v>
      </c>
      <c r="G262" s="0" t="s">
        <v>3965</v>
      </c>
    </row>
    <row customHeight="1" ht="11.25">
      <c r="A263" s="0" t="s">
        <v>16</v>
      </c>
      <c r="B263" s="0" t="s">
        <v>3939</v>
      </c>
      <c r="C263" s="0" t="s">
        <v>3940</v>
      </c>
      <c r="D263" s="0" t="s">
        <v>3966</v>
      </c>
      <c r="E263" s="0" t="s">
        <v>3967</v>
      </c>
      <c r="F263" s="0" t="s">
        <v>3257</v>
      </c>
      <c r="G263" s="0" t="s">
        <v>3968</v>
      </c>
    </row>
    <row customHeight="1" ht="11.25">
      <c r="A264" s="0" t="s">
        <v>16</v>
      </c>
      <c r="B264" s="0" t="s">
        <v>3969</v>
      </c>
      <c r="C264" s="0" t="s">
        <v>3970</v>
      </c>
      <c r="D264" s="0" t="s">
        <v>3971</v>
      </c>
      <c r="E264" s="0" t="s">
        <v>3972</v>
      </c>
      <c r="F264" s="0" t="s">
        <v>3257</v>
      </c>
      <c r="G264" s="0" t="s">
        <v>3973</v>
      </c>
    </row>
    <row customHeight="1" ht="11.25">
      <c r="A265" s="0" t="s">
        <v>16</v>
      </c>
      <c r="B265" s="0" t="s">
        <v>3969</v>
      </c>
      <c r="C265" s="0" t="s">
        <v>3970</v>
      </c>
      <c r="D265" s="0" t="s">
        <v>3645</v>
      </c>
      <c r="E265" s="0" t="s">
        <v>3974</v>
      </c>
      <c r="F265" s="0" t="s">
        <v>3257</v>
      </c>
      <c r="G265" s="0" t="s">
        <v>3975</v>
      </c>
    </row>
    <row customHeight="1" ht="11.25">
      <c r="A266" s="0" t="s">
        <v>16</v>
      </c>
      <c r="B266" s="0" t="s">
        <v>3969</v>
      </c>
      <c r="C266" s="0" t="s">
        <v>3970</v>
      </c>
      <c r="D266" s="0" t="s">
        <v>3976</v>
      </c>
      <c r="E266" s="0" t="s">
        <v>3977</v>
      </c>
      <c r="F266" s="0" t="s">
        <v>3257</v>
      </c>
      <c r="G266" s="0" t="s">
        <v>3978</v>
      </c>
    </row>
    <row customHeight="1" ht="11.25">
      <c r="A267" s="0" t="s">
        <v>16</v>
      </c>
      <c r="B267" s="0" t="s">
        <v>3969</v>
      </c>
      <c r="C267" s="0" t="s">
        <v>3970</v>
      </c>
      <c r="D267" s="0" t="s">
        <v>3979</v>
      </c>
      <c r="E267" s="0" t="s">
        <v>3980</v>
      </c>
      <c r="F267" s="0" t="s">
        <v>3257</v>
      </c>
      <c r="G267" s="0" t="s">
        <v>3981</v>
      </c>
    </row>
    <row customHeight="1" ht="11.25">
      <c r="A268" s="0" t="s">
        <v>16</v>
      </c>
      <c r="B268" s="0" t="s">
        <v>3969</v>
      </c>
      <c r="C268" s="0" t="s">
        <v>3970</v>
      </c>
      <c r="D268" s="0" t="s">
        <v>3969</v>
      </c>
      <c r="E268" s="0" t="s">
        <v>3970</v>
      </c>
      <c r="F268" s="0" t="s">
        <v>3254</v>
      </c>
      <c r="G268" s="0" t="s">
        <v>3982</v>
      </c>
    </row>
    <row customHeight="1" ht="11.25">
      <c r="A269" s="0" t="s">
        <v>16</v>
      </c>
      <c r="B269" s="0" t="s">
        <v>3969</v>
      </c>
      <c r="C269" s="0" t="s">
        <v>3970</v>
      </c>
      <c r="D269" s="0" t="s">
        <v>3983</v>
      </c>
      <c r="E269" s="0" t="s">
        <v>3984</v>
      </c>
      <c r="F269" s="0" t="s">
        <v>3257</v>
      </c>
      <c r="G269" s="0" t="s">
        <v>3985</v>
      </c>
    </row>
    <row customHeight="1" ht="11.25">
      <c r="A270" s="0" t="s">
        <v>16</v>
      </c>
      <c r="B270" s="0" t="s">
        <v>3969</v>
      </c>
      <c r="C270" s="0" t="s">
        <v>3970</v>
      </c>
      <c r="D270" s="0" t="s">
        <v>3986</v>
      </c>
      <c r="E270" s="0" t="s">
        <v>3987</v>
      </c>
      <c r="F270" s="0" t="s">
        <v>3257</v>
      </c>
      <c r="G270" s="0" t="s">
        <v>3988</v>
      </c>
    </row>
    <row customHeight="1" ht="11.25">
      <c r="A271" s="0" t="s">
        <v>16</v>
      </c>
      <c r="B271" s="0" t="s">
        <v>3969</v>
      </c>
      <c r="C271" s="0" t="s">
        <v>3970</v>
      </c>
      <c r="D271" s="0" t="s">
        <v>3989</v>
      </c>
      <c r="E271" s="0" t="s">
        <v>3990</v>
      </c>
      <c r="F271" s="0" t="s">
        <v>3257</v>
      </c>
      <c r="G271" s="0" t="s">
        <v>3991</v>
      </c>
    </row>
    <row customHeight="1" ht="11.25">
      <c r="A272" s="0" t="s">
        <v>16</v>
      </c>
      <c r="B272" s="0" t="s">
        <v>3992</v>
      </c>
      <c r="C272" s="0" t="s">
        <v>3993</v>
      </c>
      <c r="D272" s="0" t="s">
        <v>3994</v>
      </c>
      <c r="E272" s="0" t="s">
        <v>3995</v>
      </c>
      <c r="F272" s="0" t="s">
        <v>3257</v>
      </c>
      <c r="G272" s="0" t="s">
        <v>3996</v>
      </c>
    </row>
    <row customHeight="1" ht="11.25">
      <c r="A273" s="0" t="s">
        <v>16</v>
      </c>
      <c r="B273" s="0" t="s">
        <v>3992</v>
      </c>
      <c r="C273" s="0" t="s">
        <v>3993</v>
      </c>
      <c r="D273" s="0" t="s">
        <v>3997</v>
      </c>
      <c r="E273" s="0" t="s">
        <v>3998</v>
      </c>
      <c r="F273" s="0" t="s">
        <v>3257</v>
      </c>
      <c r="G273" s="0" t="s">
        <v>3999</v>
      </c>
    </row>
    <row customHeight="1" ht="11.25">
      <c r="A274" s="0" t="s">
        <v>16</v>
      </c>
      <c r="B274" s="0" t="s">
        <v>3992</v>
      </c>
      <c r="C274" s="0" t="s">
        <v>3993</v>
      </c>
      <c r="D274" s="0" t="s">
        <v>4000</v>
      </c>
      <c r="E274" s="0" t="s">
        <v>4001</v>
      </c>
      <c r="F274" s="0" t="s">
        <v>3257</v>
      </c>
      <c r="G274" s="0" t="s">
        <v>4002</v>
      </c>
    </row>
    <row customHeight="1" ht="11.25">
      <c r="A275" s="0" t="s">
        <v>16</v>
      </c>
      <c r="B275" s="0" t="s">
        <v>3992</v>
      </c>
      <c r="C275" s="0" t="s">
        <v>3993</v>
      </c>
      <c r="D275" s="0" t="s">
        <v>4003</v>
      </c>
      <c r="E275" s="0" t="s">
        <v>4004</v>
      </c>
      <c r="F275" s="0" t="s">
        <v>3257</v>
      </c>
      <c r="G275" s="0" t="s">
        <v>4005</v>
      </c>
    </row>
    <row customHeight="1" ht="11.25">
      <c r="A276" s="0" t="s">
        <v>16</v>
      </c>
      <c r="B276" s="0" t="s">
        <v>3992</v>
      </c>
      <c r="C276" s="0" t="s">
        <v>3993</v>
      </c>
      <c r="D276" s="0" t="s">
        <v>4006</v>
      </c>
      <c r="E276" s="0" t="s">
        <v>4007</v>
      </c>
      <c r="F276" s="0" t="s">
        <v>3257</v>
      </c>
      <c r="G276" s="0" t="s">
        <v>4008</v>
      </c>
    </row>
    <row customHeight="1" ht="11.25">
      <c r="A277" s="0" t="s">
        <v>16</v>
      </c>
      <c r="B277" s="0" t="s">
        <v>3992</v>
      </c>
      <c r="C277" s="0" t="s">
        <v>3993</v>
      </c>
      <c r="D277" s="0" t="s">
        <v>4009</v>
      </c>
      <c r="E277" s="0" t="s">
        <v>4010</v>
      </c>
      <c r="F277" s="0" t="s">
        <v>3257</v>
      </c>
      <c r="G277" s="0" t="s">
        <v>4011</v>
      </c>
    </row>
    <row customHeight="1" ht="11.25">
      <c r="A278" s="0" t="s">
        <v>16</v>
      </c>
      <c r="B278" s="0" t="s">
        <v>3992</v>
      </c>
      <c r="C278" s="0" t="s">
        <v>3993</v>
      </c>
      <c r="D278" s="0" t="s">
        <v>3992</v>
      </c>
      <c r="E278" s="0" t="s">
        <v>3993</v>
      </c>
      <c r="F278" s="0" t="s">
        <v>3254</v>
      </c>
      <c r="G278" s="0" t="s">
        <v>4012</v>
      </c>
    </row>
    <row customHeight="1" ht="11.25">
      <c r="A279" s="0" t="s">
        <v>16</v>
      </c>
      <c r="B279" s="0" t="s">
        <v>3992</v>
      </c>
      <c r="C279" s="0" t="s">
        <v>3993</v>
      </c>
      <c r="D279" s="0" t="s">
        <v>3750</v>
      </c>
      <c r="E279" s="0" t="s">
        <v>4013</v>
      </c>
      <c r="F279" s="0" t="s">
        <v>3257</v>
      </c>
      <c r="G279" s="0" t="s">
        <v>4014</v>
      </c>
    </row>
    <row customHeight="1" ht="11.25">
      <c r="A280" s="0" t="s">
        <v>16</v>
      </c>
      <c r="B280" s="0" t="s">
        <v>3992</v>
      </c>
      <c r="C280" s="0" t="s">
        <v>3993</v>
      </c>
      <c r="D280" s="0" t="s">
        <v>4015</v>
      </c>
      <c r="E280" s="0" t="s">
        <v>4016</v>
      </c>
      <c r="F280" s="0" t="s">
        <v>3257</v>
      </c>
      <c r="G280" s="0" t="s">
        <v>4017</v>
      </c>
    </row>
    <row customHeight="1" ht="11.25">
      <c r="A281" s="0" t="s">
        <v>16</v>
      </c>
      <c r="B281" s="0" t="s">
        <v>3992</v>
      </c>
      <c r="C281" s="0" t="s">
        <v>3993</v>
      </c>
      <c r="D281" s="0" t="s">
        <v>4018</v>
      </c>
      <c r="E281" s="0" t="s">
        <v>4019</v>
      </c>
      <c r="F281" s="0" t="s">
        <v>3257</v>
      </c>
      <c r="G281" s="0" t="s">
        <v>4020</v>
      </c>
    </row>
    <row customHeight="1" ht="11.25">
      <c r="A282" s="0" t="s">
        <v>16</v>
      </c>
      <c r="B282" s="0" t="s">
        <v>3992</v>
      </c>
      <c r="C282" s="0" t="s">
        <v>3993</v>
      </c>
      <c r="D282" s="0" t="s">
        <v>4021</v>
      </c>
      <c r="E282" s="0" t="s">
        <v>4022</v>
      </c>
      <c r="F282" s="0" t="s">
        <v>3257</v>
      </c>
      <c r="G282" s="0" t="s">
        <v>4023</v>
      </c>
    </row>
    <row customHeight="1" ht="11.25">
      <c r="A283" s="0" t="s">
        <v>16</v>
      </c>
      <c r="B283" s="0" t="s">
        <v>3992</v>
      </c>
      <c r="C283" s="0" t="s">
        <v>3993</v>
      </c>
      <c r="D283" s="0" t="s">
        <v>4024</v>
      </c>
      <c r="E283" s="0" t="s">
        <v>4025</v>
      </c>
      <c r="F283" s="0" t="s">
        <v>3257</v>
      </c>
      <c r="G283" s="0" t="s">
        <v>4026</v>
      </c>
    </row>
    <row customHeight="1" ht="11.25">
      <c r="A284" s="0" t="s">
        <v>16</v>
      </c>
      <c r="B284" s="0" t="s">
        <v>3992</v>
      </c>
      <c r="C284" s="0" t="s">
        <v>3993</v>
      </c>
      <c r="D284" s="0" t="s">
        <v>4027</v>
      </c>
      <c r="E284" s="0" t="s">
        <v>4028</v>
      </c>
      <c r="F284" s="0" t="s">
        <v>3257</v>
      </c>
      <c r="G284" s="0" t="s">
        <v>4029</v>
      </c>
    </row>
    <row customHeight="1" ht="11.25">
      <c r="A285" s="0" t="s">
        <v>16</v>
      </c>
      <c r="B285" s="0" t="s">
        <v>3992</v>
      </c>
      <c r="C285" s="0" t="s">
        <v>3993</v>
      </c>
      <c r="D285" s="0" t="s">
        <v>4030</v>
      </c>
      <c r="E285" s="0" t="s">
        <v>4031</v>
      </c>
      <c r="F285" s="0" t="s">
        <v>3257</v>
      </c>
      <c r="G285" s="0" t="s">
        <v>4032</v>
      </c>
    </row>
    <row customHeight="1" ht="11.25">
      <c r="A286" s="0" t="s">
        <v>16</v>
      </c>
      <c r="B286" s="0" t="s">
        <v>3992</v>
      </c>
      <c r="C286" s="0" t="s">
        <v>3993</v>
      </c>
      <c r="D286" s="0" t="s">
        <v>4033</v>
      </c>
      <c r="E286" s="0" t="s">
        <v>4034</v>
      </c>
      <c r="F286" s="0" t="s">
        <v>3257</v>
      </c>
      <c r="G286" s="0" t="s">
        <v>4035</v>
      </c>
    </row>
    <row customHeight="1" ht="11.25">
      <c r="A287" s="0" t="s">
        <v>16</v>
      </c>
      <c r="B287" s="0" t="s">
        <v>3992</v>
      </c>
      <c r="C287" s="0" t="s">
        <v>3993</v>
      </c>
      <c r="D287" s="0" t="s">
        <v>4036</v>
      </c>
      <c r="E287" s="0" t="s">
        <v>4037</v>
      </c>
      <c r="F287" s="0" t="s">
        <v>3257</v>
      </c>
      <c r="G287" s="0" t="s">
        <v>4038</v>
      </c>
    </row>
    <row customHeight="1" ht="11.25">
      <c r="A288" s="0" t="s">
        <v>16</v>
      </c>
      <c r="B288" s="0" t="s">
        <v>3992</v>
      </c>
      <c r="C288" s="0" t="s">
        <v>3993</v>
      </c>
      <c r="D288" s="0" t="s">
        <v>4039</v>
      </c>
      <c r="E288" s="0" t="s">
        <v>4040</v>
      </c>
      <c r="F288" s="0" t="s">
        <v>3257</v>
      </c>
      <c r="G288" s="0" t="s">
        <v>4041</v>
      </c>
    </row>
    <row customHeight="1" ht="11.25">
      <c r="A289" s="0" t="s">
        <v>16</v>
      </c>
      <c r="B289" s="0" t="s">
        <v>3992</v>
      </c>
      <c r="C289" s="0" t="s">
        <v>3993</v>
      </c>
      <c r="D289" s="0" t="s">
        <v>4042</v>
      </c>
      <c r="E289" s="0" t="s">
        <v>4043</v>
      </c>
      <c r="F289" s="0" t="s">
        <v>3257</v>
      </c>
      <c r="G289" s="0" t="s">
        <v>4044</v>
      </c>
    </row>
    <row customHeight="1" ht="11.25">
      <c r="A290" s="0" t="s">
        <v>16</v>
      </c>
      <c r="B290" s="0" t="s">
        <v>3992</v>
      </c>
      <c r="C290" s="0" t="s">
        <v>3993</v>
      </c>
      <c r="D290" s="0" t="s">
        <v>4045</v>
      </c>
      <c r="E290" s="0" t="s">
        <v>4046</v>
      </c>
      <c r="F290" s="0" t="s">
        <v>3257</v>
      </c>
      <c r="G290" s="0" t="s">
        <v>4047</v>
      </c>
    </row>
    <row customHeight="1" ht="11.25">
      <c r="A291" s="0" t="s">
        <v>16</v>
      </c>
      <c r="B291" s="0" t="s">
        <v>4048</v>
      </c>
      <c r="C291" s="0" t="s">
        <v>4049</v>
      </c>
      <c r="D291" s="0" t="s">
        <v>3255</v>
      </c>
      <c r="E291" s="0" t="s">
        <v>4050</v>
      </c>
      <c r="F291" s="0" t="s">
        <v>3257</v>
      </c>
      <c r="G291" s="0" t="s">
        <v>4051</v>
      </c>
    </row>
    <row customHeight="1" ht="11.25">
      <c r="A292" s="0" t="s">
        <v>16</v>
      </c>
      <c r="B292" s="0" t="s">
        <v>4048</v>
      </c>
      <c r="C292" s="0" t="s">
        <v>4049</v>
      </c>
      <c r="D292" s="0" t="s">
        <v>3849</v>
      </c>
      <c r="E292" s="0" t="s">
        <v>4052</v>
      </c>
      <c r="F292" s="0" t="s">
        <v>3257</v>
      </c>
      <c r="G292" s="0" t="s">
        <v>4053</v>
      </c>
    </row>
    <row customHeight="1" ht="11.25">
      <c r="A293" s="0" t="s">
        <v>16</v>
      </c>
      <c r="B293" s="0" t="s">
        <v>4048</v>
      </c>
      <c r="C293" s="0" t="s">
        <v>4049</v>
      </c>
      <c r="D293" s="0" t="s">
        <v>4054</v>
      </c>
      <c r="E293" s="0" t="s">
        <v>4055</v>
      </c>
      <c r="F293" s="0" t="s">
        <v>3257</v>
      </c>
      <c r="G293" s="0" t="s">
        <v>4056</v>
      </c>
    </row>
    <row customHeight="1" ht="11.25">
      <c r="A294" s="0" t="s">
        <v>16</v>
      </c>
      <c r="B294" s="0" t="s">
        <v>4048</v>
      </c>
      <c r="C294" s="0" t="s">
        <v>4049</v>
      </c>
      <c r="D294" s="0" t="s">
        <v>4057</v>
      </c>
      <c r="E294" s="0" t="s">
        <v>4058</v>
      </c>
      <c r="F294" s="0" t="s">
        <v>3257</v>
      </c>
      <c r="G294" s="0" t="s">
        <v>4059</v>
      </c>
    </row>
    <row customHeight="1" ht="11.25">
      <c r="A295" s="0" t="s">
        <v>16</v>
      </c>
      <c r="B295" s="0" t="s">
        <v>4048</v>
      </c>
      <c r="C295" s="0" t="s">
        <v>4049</v>
      </c>
      <c r="D295" s="0" t="s">
        <v>4060</v>
      </c>
      <c r="E295" s="0" t="s">
        <v>4061</v>
      </c>
      <c r="F295" s="0" t="s">
        <v>3257</v>
      </c>
      <c r="G295" s="0" t="s">
        <v>4062</v>
      </c>
    </row>
    <row customHeight="1" ht="11.25">
      <c r="A296" s="0" t="s">
        <v>16</v>
      </c>
      <c r="B296" s="0" t="s">
        <v>4048</v>
      </c>
      <c r="C296" s="0" t="s">
        <v>4049</v>
      </c>
      <c r="D296" s="0" t="s">
        <v>4048</v>
      </c>
      <c r="E296" s="0" t="s">
        <v>4049</v>
      </c>
      <c r="F296" s="0" t="s">
        <v>3254</v>
      </c>
      <c r="G296" s="0" t="s">
        <v>4063</v>
      </c>
    </row>
    <row customHeight="1" ht="11.25">
      <c r="A297" s="0" t="s">
        <v>16</v>
      </c>
      <c r="B297" s="0" t="s">
        <v>4048</v>
      </c>
      <c r="C297" s="0" t="s">
        <v>4049</v>
      </c>
      <c r="D297" s="0" t="s">
        <v>4064</v>
      </c>
      <c r="E297" s="0" t="s">
        <v>4065</v>
      </c>
      <c r="F297" s="0" t="s">
        <v>3257</v>
      </c>
      <c r="G297" s="0" t="s">
        <v>4066</v>
      </c>
    </row>
    <row customHeight="1" ht="11.25">
      <c r="A298" s="0" t="s">
        <v>16</v>
      </c>
      <c r="B298" s="0" t="s">
        <v>4048</v>
      </c>
      <c r="C298" s="0" t="s">
        <v>4049</v>
      </c>
      <c r="D298" s="0" t="s">
        <v>4067</v>
      </c>
      <c r="E298" s="0" t="s">
        <v>4068</v>
      </c>
      <c r="F298" s="0" t="s">
        <v>3257</v>
      </c>
      <c r="G298" s="0" t="s">
        <v>4069</v>
      </c>
    </row>
    <row customHeight="1" ht="11.25">
      <c r="A299" s="0" t="s">
        <v>16</v>
      </c>
      <c r="B299" s="0" t="s">
        <v>4070</v>
      </c>
      <c r="C299" s="0" t="s">
        <v>4071</v>
      </c>
      <c r="D299" s="0" t="s">
        <v>3849</v>
      </c>
      <c r="E299" s="0" t="s">
        <v>4072</v>
      </c>
      <c r="F299" s="0" t="s">
        <v>3257</v>
      </c>
      <c r="G299" s="0" t="s">
        <v>4073</v>
      </c>
    </row>
    <row customHeight="1" ht="11.25">
      <c r="A300" s="0" t="s">
        <v>16</v>
      </c>
      <c r="B300" s="0" t="s">
        <v>4070</v>
      </c>
      <c r="C300" s="0" t="s">
        <v>4071</v>
      </c>
      <c r="D300" s="0" t="s">
        <v>4074</v>
      </c>
      <c r="E300" s="0" t="s">
        <v>4075</v>
      </c>
      <c r="F300" s="0" t="s">
        <v>3257</v>
      </c>
      <c r="G300" s="0" t="s">
        <v>4076</v>
      </c>
    </row>
    <row customHeight="1" ht="11.25">
      <c r="A301" s="0" t="s">
        <v>16</v>
      </c>
      <c r="B301" s="0" t="s">
        <v>4070</v>
      </c>
      <c r="C301" s="0" t="s">
        <v>4071</v>
      </c>
      <c r="D301" s="0" t="s">
        <v>4077</v>
      </c>
      <c r="E301" s="0" t="s">
        <v>4078</v>
      </c>
      <c r="F301" s="0" t="s">
        <v>3257</v>
      </c>
      <c r="G301" s="0" t="s">
        <v>4079</v>
      </c>
    </row>
    <row customHeight="1" ht="11.25">
      <c r="A302" s="0" t="s">
        <v>16</v>
      </c>
      <c r="B302" s="0" t="s">
        <v>4070</v>
      </c>
      <c r="C302" s="0" t="s">
        <v>4071</v>
      </c>
      <c r="D302" s="0" t="s">
        <v>4080</v>
      </c>
      <c r="E302" s="0" t="s">
        <v>4081</v>
      </c>
      <c r="F302" s="0" t="s">
        <v>3675</v>
      </c>
      <c r="G302" s="0" t="s">
        <v>4082</v>
      </c>
    </row>
    <row customHeight="1" ht="11.25">
      <c r="A303" s="0" t="s">
        <v>16</v>
      </c>
      <c r="B303" s="0" t="s">
        <v>4070</v>
      </c>
      <c r="C303" s="0" t="s">
        <v>4071</v>
      </c>
      <c r="D303" s="0" t="s">
        <v>4083</v>
      </c>
      <c r="E303" s="0" t="s">
        <v>4084</v>
      </c>
      <c r="F303" s="0" t="s">
        <v>3257</v>
      </c>
      <c r="G303" s="0" t="s">
        <v>4085</v>
      </c>
    </row>
    <row customHeight="1" ht="11.25">
      <c r="A304" s="0" t="s">
        <v>16</v>
      </c>
      <c r="B304" s="0" t="s">
        <v>4070</v>
      </c>
      <c r="C304" s="0" t="s">
        <v>4071</v>
      </c>
      <c r="D304" s="0" t="s">
        <v>4086</v>
      </c>
      <c r="E304" s="0" t="s">
        <v>4087</v>
      </c>
      <c r="F304" s="0" t="s">
        <v>3257</v>
      </c>
      <c r="G304" s="0" t="s">
        <v>4088</v>
      </c>
    </row>
    <row customHeight="1" ht="11.25">
      <c r="A305" s="0" t="s">
        <v>16</v>
      </c>
      <c r="B305" s="0" t="s">
        <v>4070</v>
      </c>
      <c r="C305" s="0" t="s">
        <v>4071</v>
      </c>
      <c r="D305" s="0" t="s">
        <v>3369</v>
      </c>
      <c r="E305" s="0" t="s">
        <v>4089</v>
      </c>
      <c r="F305" s="0" t="s">
        <v>3257</v>
      </c>
      <c r="G305" s="0" t="s">
        <v>4090</v>
      </c>
    </row>
    <row customHeight="1" ht="11.25">
      <c r="A306" s="0" t="s">
        <v>16</v>
      </c>
      <c r="B306" s="0" t="s">
        <v>4070</v>
      </c>
      <c r="C306" s="0" t="s">
        <v>4071</v>
      </c>
      <c r="D306" s="0" t="s">
        <v>4091</v>
      </c>
      <c r="E306" s="0" t="s">
        <v>4092</v>
      </c>
      <c r="F306" s="0" t="s">
        <v>3257</v>
      </c>
      <c r="G306" s="0" t="s">
        <v>4093</v>
      </c>
    </row>
    <row customHeight="1" ht="11.25">
      <c r="A307" s="0" t="s">
        <v>16</v>
      </c>
      <c r="B307" s="0" t="s">
        <v>4070</v>
      </c>
      <c r="C307" s="0" t="s">
        <v>4071</v>
      </c>
      <c r="D307" s="0" t="s">
        <v>4094</v>
      </c>
      <c r="E307" s="0" t="s">
        <v>4095</v>
      </c>
      <c r="F307" s="0" t="s">
        <v>3257</v>
      </c>
      <c r="G307" s="0" t="s">
        <v>4096</v>
      </c>
    </row>
    <row customHeight="1" ht="11.25">
      <c r="A308" s="0" t="s">
        <v>16</v>
      </c>
      <c r="B308" s="0" t="s">
        <v>4070</v>
      </c>
      <c r="C308" s="0" t="s">
        <v>4071</v>
      </c>
      <c r="D308" s="0" t="s">
        <v>4097</v>
      </c>
      <c r="E308" s="0" t="s">
        <v>4098</v>
      </c>
      <c r="F308" s="0" t="s">
        <v>3257</v>
      </c>
      <c r="G308" s="0" t="s">
        <v>4099</v>
      </c>
    </row>
    <row customHeight="1" ht="11.25">
      <c r="A309" s="0" t="s">
        <v>16</v>
      </c>
      <c r="B309" s="0" t="s">
        <v>4070</v>
      </c>
      <c r="C309" s="0" t="s">
        <v>4071</v>
      </c>
      <c r="D309" s="0" t="s">
        <v>4100</v>
      </c>
      <c r="E309" s="0" t="s">
        <v>4101</v>
      </c>
      <c r="F309" s="0" t="s">
        <v>3257</v>
      </c>
      <c r="G309" s="0" t="s">
        <v>4102</v>
      </c>
    </row>
    <row customHeight="1" ht="11.25">
      <c r="A310" s="0" t="s">
        <v>16</v>
      </c>
      <c r="B310" s="0" t="s">
        <v>4070</v>
      </c>
      <c r="C310" s="0" t="s">
        <v>4071</v>
      </c>
      <c r="D310" s="0" t="s">
        <v>4070</v>
      </c>
      <c r="E310" s="0" t="s">
        <v>4071</v>
      </c>
      <c r="F310" s="0" t="s">
        <v>3254</v>
      </c>
      <c r="G310" s="0" t="s">
        <v>4103</v>
      </c>
    </row>
    <row customHeight="1" ht="11.25">
      <c r="A311" s="0" t="s">
        <v>16</v>
      </c>
      <c r="B311" s="0" t="s">
        <v>4070</v>
      </c>
      <c r="C311" s="0" t="s">
        <v>4071</v>
      </c>
      <c r="D311" s="0" t="s">
        <v>4104</v>
      </c>
      <c r="E311" s="0" t="s">
        <v>4105</v>
      </c>
      <c r="F311" s="0" t="s">
        <v>3257</v>
      </c>
      <c r="G311" s="0" t="s">
        <v>4106</v>
      </c>
    </row>
    <row customHeight="1" ht="11.25">
      <c r="A312" s="0" t="s">
        <v>16</v>
      </c>
      <c r="B312" s="0" t="s">
        <v>4107</v>
      </c>
      <c r="C312" s="0" t="s">
        <v>4108</v>
      </c>
      <c r="D312" s="0" t="s">
        <v>4109</v>
      </c>
      <c r="E312" s="0" t="s">
        <v>4110</v>
      </c>
      <c r="F312" s="0" t="s">
        <v>3257</v>
      </c>
      <c r="G312" s="0" t="s">
        <v>4111</v>
      </c>
    </row>
    <row customHeight="1" ht="11.25">
      <c r="A313" s="0" t="s">
        <v>16</v>
      </c>
      <c r="B313" s="0" t="s">
        <v>4107</v>
      </c>
      <c r="C313" s="0" t="s">
        <v>4108</v>
      </c>
      <c r="D313" s="0" t="s">
        <v>3581</v>
      </c>
      <c r="E313" s="0" t="s">
        <v>4112</v>
      </c>
      <c r="F313" s="0" t="s">
        <v>3257</v>
      </c>
      <c r="G313" s="0" t="s">
        <v>4113</v>
      </c>
    </row>
    <row customHeight="1" ht="11.25">
      <c r="A314" s="0" t="s">
        <v>16</v>
      </c>
      <c r="B314" s="0" t="s">
        <v>4107</v>
      </c>
      <c r="C314" s="0" t="s">
        <v>4108</v>
      </c>
      <c r="D314" s="0" t="s">
        <v>4114</v>
      </c>
      <c r="E314" s="0" t="s">
        <v>4115</v>
      </c>
      <c r="F314" s="0" t="s">
        <v>3257</v>
      </c>
      <c r="G314" s="0" t="s">
        <v>4116</v>
      </c>
    </row>
    <row customHeight="1" ht="11.25">
      <c r="A315" s="0" t="s">
        <v>16</v>
      </c>
      <c r="B315" s="0" t="s">
        <v>4107</v>
      </c>
      <c r="C315" s="0" t="s">
        <v>4108</v>
      </c>
      <c r="D315" s="0" t="s">
        <v>3617</v>
      </c>
      <c r="E315" s="0" t="s">
        <v>4117</v>
      </c>
      <c r="F315" s="0" t="s">
        <v>3257</v>
      </c>
      <c r="G315" s="0" t="s">
        <v>4118</v>
      </c>
    </row>
    <row customHeight="1" ht="11.25">
      <c r="A316" s="0" t="s">
        <v>16</v>
      </c>
      <c r="B316" s="0" t="s">
        <v>4107</v>
      </c>
      <c r="C316" s="0" t="s">
        <v>4108</v>
      </c>
      <c r="D316" s="0" t="s">
        <v>3591</v>
      </c>
      <c r="E316" s="0" t="s">
        <v>4119</v>
      </c>
      <c r="F316" s="0" t="s">
        <v>3257</v>
      </c>
      <c r="G316" s="0" t="s">
        <v>4120</v>
      </c>
    </row>
    <row customHeight="1" ht="11.25">
      <c r="A317" s="0" t="s">
        <v>16</v>
      </c>
      <c r="B317" s="0" t="s">
        <v>4107</v>
      </c>
      <c r="C317" s="0" t="s">
        <v>4108</v>
      </c>
      <c r="D317" s="0" t="s">
        <v>4121</v>
      </c>
      <c r="E317" s="0" t="s">
        <v>4122</v>
      </c>
      <c r="F317" s="0" t="s">
        <v>3257</v>
      </c>
      <c r="G317" s="0" t="s">
        <v>4123</v>
      </c>
    </row>
    <row customHeight="1" ht="11.25">
      <c r="A318" s="0" t="s">
        <v>16</v>
      </c>
      <c r="B318" s="0" t="s">
        <v>4107</v>
      </c>
      <c r="C318" s="0" t="s">
        <v>4108</v>
      </c>
      <c r="D318" s="0" t="s">
        <v>4124</v>
      </c>
      <c r="E318" s="0" t="s">
        <v>4125</v>
      </c>
      <c r="F318" s="0" t="s">
        <v>3257</v>
      </c>
      <c r="G318" s="0" t="s">
        <v>4126</v>
      </c>
    </row>
    <row customHeight="1" ht="11.25">
      <c r="A319" s="0" t="s">
        <v>16</v>
      </c>
      <c r="B319" s="0" t="s">
        <v>4107</v>
      </c>
      <c r="C319" s="0" t="s">
        <v>4108</v>
      </c>
      <c r="D319" s="0" t="s">
        <v>4127</v>
      </c>
      <c r="E319" s="0" t="s">
        <v>4128</v>
      </c>
      <c r="F319" s="0" t="s">
        <v>3257</v>
      </c>
      <c r="G319" s="0" t="s">
        <v>4129</v>
      </c>
    </row>
    <row customHeight="1" ht="11.25">
      <c r="A320" s="0" t="s">
        <v>16</v>
      </c>
      <c r="B320" s="0" t="s">
        <v>4107</v>
      </c>
      <c r="C320" s="0" t="s">
        <v>4108</v>
      </c>
      <c r="D320" s="0" t="s">
        <v>4107</v>
      </c>
      <c r="E320" s="0" t="s">
        <v>4108</v>
      </c>
      <c r="F320" s="0" t="s">
        <v>3254</v>
      </c>
      <c r="G320" s="0" t="s">
        <v>4130</v>
      </c>
    </row>
    <row customHeight="1" ht="11.25">
      <c r="A321" s="0" t="s">
        <v>16</v>
      </c>
      <c r="B321" s="0" t="s">
        <v>4107</v>
      </c>
      <c r="C321" s="0" t="s">
        <v>4108</v>
      </c>
      <c r="D321" s="0" t="s">
        <v>3930</v>
      </c>
      <c r="E321" s="0" t="s">
        <v>4131</v>
      </c>
      <c r="F321" s="0" t="s">
        <v>3257</v>
      </c>
      <c r="G321" s="0" t="s">
        <v>4132</v>
      </c>
    </row>
    <row customHeight="1" ht="11.25">
      <c r="A322" s="0" t="s">
        <v>16</v>
      </c>
      <c r="B322" s="0" t="s">
        <v>4107</v>
      </c>
      <c r="C322" s="0" t="s">
        <v>4108</v>
      </c>
      <c r="D322" s="0" t="s">
        <v>4133</v>
      </c>
      <c r="E322" s="0" t="s">
        <v>4134</v>
      </c>
      <c r="F322" s="0" t="s">
        <v>3257</v>
      </c>
      <c r="G322" s="0" t="s">
        <v>4135</v>
      </c>
    </row>
    <row customHeight="1" ht="11.25">
      <c r="A323" s="0" t="s">
        <v>16</v>
      </c>
      <c r="B323" s="0" t="s">
        <v>4107</v>
      </c>
      <c r="C323" s="0" t="s">
        <v>4108</v>
      </c>
      <c r="D323" s="0" t="s">
        <v>3790</v>
      </c>
      <c r="E323" s="0" t="s">
        <v>4136</v>
      </c>
      <c r="F323" s="0" t="s">
        <v>3257</v>
      </c>
      <c r="G323" s="0" t="s">
        <v>4137</v>
      </c>
    </row>
    <row customHeight="1" ht="11.25">
      <c r="A324" s="0" t="s">
        <v>16</v>
      </c>
      <c r="B324" s="0" t="s">
        <v>4138</v>
      </c>
      <c r="C324" s="0" t="s">
        <v>4139</v>
      </c>
      <c r="D324" s="0" t="s">
        <v>4140</v>
      </c>
      <c r="E324" s="0" t="s">
        <v>4141</v>
      </c>
      <c r="F324" s="0" t="s">
        <v>3257</v>
      </c>
      <c r="G324" s="0" t="s">
        <v>4142</v>
      </c>
    </row>
    <row customHeight="1" ht="11.25">
      <c r="A325" s="0" t="s">
        <v>16</v>
      </c>
      <c r="B325" s="0" t="s">
        <v>4138</v>
      </c>
      <c r="C325" s="0" t="s">
        <v>4139</v>
      </c>
      <c r="D325" s="0" t="s">
        <v>3494</v>
      </c>
      <c r="E325" s="0" t="s">
        <v>4143</v>
      </c>
      <c r="F325" s="0" t="s">
        <v>3257</v>
      </c>
      <c r="G325" s="0" t="s">
        <v>4144</v>
      </c>
    </row>
    <row customHeight="1" ht="11.25">
      <c r="A326" s="0" t="s">
        <v>16</v>
      </c>
      <c r="B326" s="0" t="s">
        <v>4138</v>
      </c>
      <c r="C326" s="0" t="s">
        <v>4139</v>
      </c>
      <c r="D326" s="0" t="s">
        <v>4145</v>
      </c>
      <c r="E326" s="0" t="s">
        <v>4146</v>
      </c>
      <c r="F326" s="0" t="s">
        <v>3257</v>
      </c>
      <c r="G326" s="0" t="s">
        <v>4147</v>
      </c>
    </row>
    <row customHeight="1" ht="11.25">
      <c r="A327" s="0" t="s">
        <v>16</v>
      </c>
      <c r="B327" s="0" t="s">
        <v>4138</v>
      </c>
      <c r="C327" s="0" t="s">
        <v>4139</v>
      </c>
      <c r="D327" s="0" t="s">
        <v>4148</v>
      </c>
      <c r="E327" s="0" t="s">
        <v>4149</v>
      </c>
      <c r="F327" s="0" t="s">
        <v>3257</v>
      </c>
      <c r="G327" s="0" t="s">
        <v>4150</v>
      </c>
    </row>
    <row customHeight="1" ht="11.25">
      <c r="A328" s="0" t="s">
        <v>16</v>
      </c>
      <c r="B328" s="0" t="s">
        <v>4138</v>
      </c>
      <c r="C328" s="0" t="s">
        <v>4139</v>
      </c>
      <c r="D328" s="0" t="s">
        <v>4151</v>
      </c>
      <c r="E328" s="0" t="s">
        <v>4152</v>
      </c>
      <c r="F328" s="0" t="s">
        <v>3257</v>
      </c>
      <c r="G328" s="0" t="s">
        <v>4153</v>
      </c>
    </row>
    <row customHeight="1" ht="11.25">
      <c r="A329" s="0" t="s">
        <v>16</v>
      </c>
      <c r="B329" s="0" t="s">
        <v>4138</v>
      </c>
      <c r="C329" s="0" t="s">
        <v>4139</v>
      </c>
      <c r="D329" s="0" t="s">
        <v>4138</v>
      </c>
      <c r="E329" s="0" t="s">
        <v>4139</v>
      </c>
      <c r="F329" s="0" t="s">
        <v>3254</v>
      </c>
      <c r="G329" s="0" t="s">
        <v>4154</v>
      </c>
    </row>
    <row customHeight="1" ht="11.25">
      <c r="A330" s="0" t="s">
        <v>16</v>
      </c>
      <c r="B330" s="0" t="s">
        <v>4138</v>
      </c>
      <c r="C330" s="0" t="s">
        <v>4139</v>
      </c>
      <c r="D330" s="0" t="s">
        <v>4155</v>
      </c>
      <c r="E330" s="0" t="s">
        <v>4156</v>
      </c>
      <c r="F330" s="0" t="s">
        <v>3257</v>
      </c>
      <c r="G330" s="0" t="s">
        <v>4157</v>
      </c>
    </row>
    <row customHeight="1" ht="11.25">
      <c r="A331" s="0" t="s">
        <v>16</v>
      </c>
      <c r="B331" s="0" t="s">
        <v>4138</v>
      </c>
      <c r="C331" s="0" t="s">
        <v>4139</v>
      </c>
      <c r="D331" s="0" t="s">
        <v>4158</v>
      </c>
      <c r="E331" s="0" t="s">
        <v>4159</v>
      </c>
      <c r="F331" s="0" t="s">
        <v>3257</v>
      </c>
      <c r="G331" s="0" t="s">
        <v>4160</v>
      </c>
    </row>
    <row customHeight="1" ht="11.25">
      <c r="A332" s="0" t="s">
        <v>16</v>
      </c>
      <c r="B332" s="0" t="s">
        <v>4138</v>
      </c>
      <c r="C332" s="0" t="s">
        <v>4139</v>
      </c>
      <c r="D332" s="0" t="s">
        <v>4161</v>
      </c>
      <c r="E332" s="0" t="s">
        <v>4162</v>
      </c>
      <c r="F332" s="0" t="s">
        <v>3257</v>
      </c>
      <c r="G332" s="0" t="s">
        <v>4163</v>
      </c>
    </row>
    <row customHeight="1" ht="11.25">
      <c r="A333" s="0" t="s">
        <v>16</v>
      </c>
      <c r="B333" s="0" t="s">
        <v>4138</v>
      </c>
      <c r="C333" s="0" t="s">
        <v>4139</v>
      </c>
      <c r="D333" s="0" t="s">
        <v>4164</v>
      </c>
      <c r="E333" s="0" t="s">
        <v>4165</v>
      </c>
      <c r="F333" s="0" t="s">
        <v>3257</v>
      </c>
      <c r="G333" s="0" t="s">
        <v>4166</v>
      </c>
    </row>
    <row customHeight="1" ht="11.25">
      <c r="A334" s="0" t="s">
        <v>16</v>
      </c>
      <c r="B334" s="0" t="s">
        <v>4167</v>
      </c>
      <c r="C334" s="0" t="s">
        <v>4168</v>
      </c>
      <c r="D334" s="0" t="s">
        <v>4169</v>
      </c>
      <c r="E334" s="0" t="s">
        <v>4170</v>
      </c>
      <c r="F334" s="0" t="s">
        <v>3257</v>
      </c>
      <c r="G334" s="0" t="s">
        <v>4171</v>
      </c>
    </row>
    <row customHeight="1" ht="11.25">
      <c r="A335" s="0" t="s">
        <v>16</v>
      </c>
      <c r="B335" s="0" t="s">
        <v>4167</v>
      </c>
      <c r="C335" s="0" t="s">
        <v>4168</v>
      </c>
      <c r="D335" s="0" t="s">
        <v>4172</v>
      </c>
      <c r="E335" s="0" t="s">
        <v>4173</v>
      </c>
      <c r="F335" s="0" t="s">
        <v>3257</v>
      </c>
      <c r="G335" s="0" t="s">
        <v>4174</v>
      </c>
    </row>
    <row customHeight="1" ht="11.25">
      <c r="A336" s="0" t="s">
        <v>16</v>
      </c>
      <c r="B336" s="0" t="s">
        <v>4167</v>
      </c>
      <c r="C336" s="0" t="s">
        <v>4168</v>
      </c>
      <c r="D336" s="0" t="s">
        <v>4175</v>
      </c>
      <c r="E336" s="0" t="s">
        <v>4176</v>
      </c>
      <c r="F336" s="0" t="s">
        <v>3257</v>
      </c>
      <c r="G336" s="0" t="s">
        <v>4177</v>
      </c>
    </row>
    <row customHeight="1" ht="11.25">
      <c r="A337" s="0" t="s">
        <v>16</v>
      </c>
      <c r="B337" s="0" t="s">
        <v>4167</v>
      </c>
      <c r="C337" s="0" t="s">
        <v>4168</v>
      </c>
      <c r="D337" s="0" t="s">
        <v>4178</v>
      </c>
      <c r="E337" s="0" t="s">
        <v>4179</v>
      </c>
      <c r="F337" s="0" t="s">
        <v>3257</v>
      </c>
      <c r="G337" s="0" t="s">
        <v>4180</v>
      </c>
    </row>
    <row customHeight="1" ht="11.25">
      <c r="A338" s="0" t="s">
        <v>16</v>
      </c>
      <c r="B338" s="0" t="s">
        <v>4167</v>
      </c>
      <c r="C338" s="0" t="s">
        <v>4168</v>
      </c>
      <c r="D338" s="0" t="s">
        <v>3750</v>
      </c>
      <c r="E338" s="0" t="s">
        <v>4181</v>
      </c>
      <c r="F338" s="0" t="s">
        <v>3257</v>
      </c>
      <c r="G338" s="0" t="s">
        <v>4182</v>
      </c>
    </row>
    <row customHeight="1" ht="11.25">
      <c r="A339" s="0" t="s">
        <v>16</v>
      </c>
      <c r="B339" s="0" t="s">
        <v>4167</v>
      </c>
      <c r="C339" s="0" t="s">
        <v>4168</v>
      </c>
      <c r="D339" s="0" t="s">
        <v>4183</v>
      </c>
      <c r="E339" s="0" t="s">
        <v>4184</v>
      </c>
      <c r="F339" s="0" t="s">
        <v>3257</v>
      </c>
      <c r="G339" s="0" t="s">
        <v>4185</v>
      </c>
    </row>
    <row customHeight="1" ht="11.25">
      <c r="A340" s="0" t="s">
        <v>16</v>
      </c>
      <c r="B340" s="0" t="s">
        <v>4167</v>
      </c>
      <c r="C340" s="0" t="s">
        <v>4168</v>
      </c>
      <c r="D340" s="0" t="s">
        <v>4186</v>
      </c>
      <c r="E340" s="0" t="s">
        <v>4187</v>
      </c>
      <c r="F340" s="0" t="s">
        <v>3257</v>
      </c>
      <c r="G340" s="0" t="s">
        <v>4188</v>
      </c>
    </row>
    <row customHeight="1" ht="11.25">
      <c r="A341" s="0" t="s">
        <v>16</v>
      </c>
      <c r="B341" s="0" t="s">
        <v>4167</v>
      </c>
      <c r="C341" s="0" t="s">
        <v>4168</v>
      </c>
      <c r="D341" s="0" t="s">
        <v>4167</v>
      </c>
      <c r="E341" s="0" t="s">
        <v>4168</v>
      </c>
      <c r="F341" s="0" t="s">
        <v>3254</v>
      </c>
      <c r="G341" s="0" t="s">
        <v>4189</v>
      </c>
    </row>
    <row customHeight="1" ht="11.25">
      <c r="A342" s="0" t="s">
        <v>16</v>
      </c>
      <c r="B342" s="0" t="s">
        <v>4167</v>
      </c>
      <c r="C342" s="0" t="s">
        <v>4168</v>
      </c>
      <c r="D342" s="0" t="s">
        <v>4190</v>
      </c>
      <c r="E342" s="0" t="s">
        <v>4191</v>
      </c>
      <c r="F342" s="0" t="s">
        <v>3296</v>
      </c>
      <c r="G342" s="0" t="s">
        <v>4192</v>
      </c>
    </row>
    <row customHeight="1" ht="11.25">
      <c r="A343" s="0" t="s">
        <v>16</v>
      </c>
      <c r="B343" s="0" t="s">
        <v>4167</v>
      </c>
      <c r="C343" s="0" t="s">
        <v>4168</v>
      </c>
      <c r="D343" s="0" t="s">
        <v>4193</v>
      </c>
      <c r="E343" s="0" t="s">
        <v>4194</v>
      </c>
      <c r="F343" s="0" t="s">
        <v>3257</v>
      </c>
      <c r="G343" s="0" t="s">
        <v>4195</v>
      </c>
    </row>
    <row customHeight="1" ht="11.25">
      <c r="A344" s="0" t="s">
        <v>16</v>
      </c>
      <c r="B344" s="0" t="s">
        <v>4167</v>
      </c>
      <c r="C344" s="0" t="s">
        <v>4168</v>
      </c>
      <c r="D344" s="0" t="s">
        <v>4196</v>
      </c>
      <c r="E344" s="0" t="s">
        <v>4197</v>
      </c>
      <c r="F344" s="0" t="s">
        <v>3257</v>
      </c>
      <c r="G344" s="0" t="s">
        <v>4198</v>
      </c>
    </row>
    <row customHeight="1" ht="11.25">
      <c r="A345" s="0" t="s">
        <v>16</v>
      </c>
      <c r="B345" s="0" t="s">
        <v>4199</v>
      </c>
      <c r="C345" s="0" t="s">
        <v>4200</v>
      </c>
      <c r="D345" s="0" t="s">
        <v>4201</v>
      </c>
      <c r="E345" s="0" t="s">
        <v>4202</v>
      </c>
      <c r="F345" s="0" t="s">
        <v>3257</v>
      </c>
      <c r="G345" s="0" t="s">
        <v>4203</v>
      </c>
    </row>
    <row customHeight="1" ht="11.25">
      <c r="A346" s="0" t="s">
        <v>16</v>
      </c>
      <c r="B346" s="0" t="s">
        <v>4199</v>
      </c>
      <c r="C346" s="0" t="s">
        <v>4200</v>
      </c>
      <c r="D346" s="0" t="s">
        <v>4204</v>
      </c>
      <c r="E346" s="0" t="s">
        <v>4205</v>
      </c>
      <c r="F346" s="0" t="s">
        <v>3257</v>
      </c>
      <c r="G346" s="0" t="s">
        <v>4206</v>
      </c>
    </row>
    <row customHeight="1" ht="11.25">
      <c r="A347" s="0" t="s">
        <v>16</v>
      </c>
      <c r="B347" s="0" t="s">
        <v>4199</v>
      </c>
      <c r="C347" s="0" t="s">
        <v>4200</v>
      </c>
      <c r="D347" s="0" t="s">
        <v>3645</v>
      </c>
      <c r="E347" s="0" t="s">
        <v>4207</v>
      </c>
      <c r="F347" s="0" t="s">
        <v>3257</v>
      </c>
      <c r="G347" s="0" t="s">
        <v>4208</v>
      </c>
    </row>
    <row customHeight="1" ht="11.25">
      <c r="A348" s="0" t="s">
        <v>16</v>
      </c>
      <c r="B348" s="0" t="s">
        <v>4199</v>
      </c>
      <c r="C348" s="0" t="s">
        <v>4200</v>
      </c>
      <c r="D348" s="0" t="s">
        <v>3720</v>
      </c>
      <c r="E348" s="0" t="s">
        <v>4209</v>
      </c>
      <c r="F348" s="0" t="s">
        <v>3257</v>
      </c>
      <c r="G348" s="0" t="s">
        <v>4210</v>
      </c>
    </row>
    <row customHeight="1" ht="11.25">
      <c r="A349" s="0" t="s">
        <v>16</v>
      </c>
      <c r="B349" s="0" t="s">
        <v>4199</v>
      </c>
      <c r="C349" s="0" t="s">
        <v>4200</v>
      </c>
      <c r="D349" s="0" t="s">
        <v>4211</v>
      </c>
      <c r="E349" s="0" t="s">
        <v>4212</v>
      </c>
      <c r="F349" s="0" t="s">
        <v>3257</v>
      </c>
      <c r="G349" s="0" t="s">
        <v>4213</v>
      </c>
    </row>
    <row customHeight="1" ht="11.25">
      <c r="A350" s="0" t="s">
        <v>16</v>
      </c>
      <c r="B350" s="0" t="s">
        <v>4199</v>
      </c>
      <c r="C350" s="0" t="s">
        <v>4200</v>
      </c>
      <c r="D350" s="0" t="s">
        <v>4214</v>
      </c>
      <c r="E350" s="0" t="s">
        <v>4215</v>
      </c>
      <c r="F350" s="0" t="s">
        <v>3257</v>
      </c>
      <c r="G350" s="0" t="s">
        <v>4216</v>
      </c>
    </row>
    <row customHeight="1" ht="11.25">
      <c r="A351" s="0" t="s">
        <v>16</v>
      </c>
      <c r="B351" s="0" t="s">
        <v>4199</v>
      </c>
      <c r="C351" s="0" t="s">
        <v>4200</v>
      </c>
      <c r="D351" s="0" t="s">
        <v>3723</v>
      </c>
      <c r="E351" s="0" t="s">
        <v>4217</v>
      </c>
      <c r="F351" s="0" t="s">
        <v>3257</v>
      </c>
      <c r="G351" s="0" t="s">
        <v>4218</v>
      </c>
    </row>
    <row customHeight="1" ht="11.25">
      <c r="A352" s="0" t="s">
        <v>16</v>
      </c>
      <c r="B352" s="0" t="s">
        <v>4199</v>
      </c>
      <c r="C352" s="0" t="s">
        <v>4200</v>
      </c>
      <c r="D352" s="0" t="s">
        <v>4219</v>
      </c>
      <c r="E352" s="0" t="s">
        <v>4220</v>
      </c>
      <c r="F352" s="0" t="s">
        <v>3257</v>
      </c>
      <c r="G352" s="0" t="s">
        <v>4221</v>
      </c>
    </row>
    <row customHeight="1" ht="11.25">
      <c r="A353" s="0" t="s">
        <v>16</v>
      </c>
      <c r="B353" s="0" t="s">
        <v>4199</v>
      </c>
      <c r="C353" s="0" t="s">
        <v>4200</v>
      </c>
      <c r="D353" s="0" t="s">
        <v>4222</v>
      </c>
      <c r="E353" s="0" t="s">
        <v>4223</v>
      </c>
      <c r="F353" s="0" t="s">
        <v>3257</v>
      </c>
      <c r="G353" s="0" t="s">
        <v>4224</v>
      </c>
    </row>
    <row customHeight="1" ht="11.25">
      <c r="A354" s="0" t="s">
        <v>16</v>
      </c>
      <c r="B354" s="0" t="s">
        <v>4199</v>
      </c>
      <c r="C354" s="0" t="s">
        <v>4200</v>
      </c>
      <c r="D354" s="0" t="s">
        <v>4199</v>
      </c>
      <c r="E354" s="0" t="s">
        <v>4200</v>
      </c>
      <c r="F354" s="0" t="s">
        <v>3254</v>
      </c>
      <c r="G354" s="0" t="s">
        <v>4225</v>
      </c>
    </row>
    <row customHeight="1" ht="11.25">
      <c r="A355" s="0" t="s">
        <v>16</v>
      </c>
      <c r="B355" s="0" t="s">
        <v>4199</v>
      </c>
      <c r="C355" s="0" t="s">
        <v>4200</v>
      </c>
      <c r="D355" s="0" t="s">
        <v>4226</v>
      </c>
      <c r="E355" s="0" t="s">
        <v>4227</v>
      </c>
      <c r="F355" s="0" t="s">
        <v>3257</v>
      </c>
      <c r="G355" s="0" t="s">
        <v>4228</v>
      </c>
    </row>
    <row customHeight="1" ht="11.25">
      <c r="A356" s="0" t="s">
        <v>16</v>
      </c>
      <c r="B356" s="0" t="s">
        <v>4229</v>
      </c>
      <c r="C356" s="0" t="s">
        <v>4230</v>
      </c>
      <c r="D356" s="0" t="s">
        <v>4231</v>
      </c>
      <c r="E356" s="0" t="s">
        <v>4232</v>
      </c>
      <c r="F356" s="0" t="s">
        <v>3257</v>
      </c>
      <c r="G356" s="0" t="s">
        <v>4233</v>
      </c>
    </row>
    <row customHeight="1" ht="11.25">
      <c r="A357" s="0" t="s">
        <v>16</v>
      </c>
      <c r="B357" s="0" t="s">
        <v>4229</v>
      </c>
      <c r="C357" s="0" t="s">
        <v>4230</v>
      </c>
      <c r="D357" s="0" t="s">
        <v>4234</v>
      </c>
      <c r="E357" s="0" t="s">
        <v>4235</v>
      </c>
      <c r="F357" s="0" t="s">
        <v>3257</v>
      </c>
      <c r="G357" s="0" t="s">
        <v>4236</v>
      </c>
    </row>
    <row customHeight="1" ht="11.25">
      <c r="A358" s="0" t="s">
        <v>16</v>
      </c>
      <c r="B358" s="0" t="s">
        <v>4229</v>
      </c>
      <c r="C358" s="0" t="s">
        <v>4230</v>
      </c>
      <c r="D358" s="0" t="s">
        <v>4237</v>
      </c>
      <c r="E358" s="0" t="s">
        <v>4238</v>
      </c>
      <c r="F358" s="0" t="s">
        <v>3257</v>
      </c>
      <c r="G358" s="0" t="s">
        <v>4239</v>
      </c>
    </row>
    <row customHeight="1" ht="11.25">
      <c r="A359" s="0" t="s">
        <v>16</v>
      </c>
      <c r="B359" s="0" t="s">
        <v>4229</v>
      </c>
      <c r="C359" s="0" t="s">
        <v>4230</v>
      </c>
      <c r="D359" s="0" t="s">
        <v>3879</v>
      </c>
      <c r="E359" s="0" t="s">
        <v>4240</v>
      </c>
      <c r="F359" s="0" t="s">
        <v>3257</v>
      </c>
      <c r="G359" s="0" t="s">
        <v>4241</v>
      </c>
    </row>
    <row customHeight="1" ht="11.25">
      <c r="A360" s="0" t="s">
        <v>16</v>
      </c>
      <c r="B360" s="0" t="s">
        <v>4229</v>
      </c>
      <c r="C360" s="0" t="s">
        <v>4230</v>
      </c>
      <c r="D360" s="0" t="s">
        <v>3623</v>
      </c>
      <c r="E360" s="0" t="s">
        <v>4242</v>
      </c>
      <c r="F360" s="0" t="s">
        <v>3257</v>
      </c>
      <c r="G360" s="0" t="s">
        <v>4243</v>
      </c>
    </row>
    <row customHeight="1" ht="11.25">
      <c r="A361" s="0" t="s">
        <v>16</v>
      </c>
      <c r="B361" s="0" t="s">
        <v>4229</v>
      </c>
      <c r="C361" s="0" t="s">
        <v>4230</v>
      </c>
      <c r="D361" s="0" t="s">
        <v>4229</v>
      </c>
      <c r="E361" s="0" t="s">
        <v>4230</v>
      </c>
      <c r="F361" s="0" t="s">
        <v>3254</v>
      </c>
      <c r="G361" s="0" t="s">
        <v>4244</v>
      </c>
    </row>
    <row customHeight="1" ht="11.25">
      <c r="A362" s="0" t="s">
        <v>16</v>
      </c>
      <c r="B362" s="0" t="s">
        <v>4229</v>
      </c>
      <c r="C362" s="0" t="s">
        <v>4230</v>
      </c>
      <c r="D362" s="0" t="s">
        <v>4245</v>
      </c>
      <c r="E362" s="0" t="s">
        <v>4246</v>
      </c>
      <c r="F362" s="0" t="s">
        <v>3257</v>
      </c>
      <c r="G362" s="0" t="s">
        <v>4247</v>
      </c>
    </row>
    <row customHeight="1" ht="11.25">
      <c r="A363" s="0" t="s">
        <v>16</v>
      </c>
      <c r="B363" s="0" t="s">
        <v>4248</v>
      </c>
      <c r="C363" s="0" t="s">
        <v>4249</v>
      </c>
      <c r="D363" s="0" t="s">
        <v>4169</v>
      </c>
      <c r="E363" s="0" t="s">
        <v>4250</v>
      </c>
      <c r="F363" s="0" t="s">
        <v>3257</v>
      </c>
      <c r="G363" s="0" t="s">
        <v>4251</v>
      </c>
    </row>
    <row customHeight="1" ht="11.25">
      <c r="A364" s="0" t="s">
        <v>16</v>
      </c>
      <c r="B364" s="0" t="s">
        <v>4248</v>
      </c>
      <c r="C364" s="0" t="s">
        <v>4249</v>
      </c>
      <c r="D364" s="0" t="s">
        <v>4252</v>
      </c>
      <c r="E364" s="0" t="s">
        <v>4253</v>
      </c>
      <c r="F364" s="0" t="s">
        <v>3257</v>
      </c>
      <c r="G364" s="0" t="s">
        <v>4254</v>
      </c>
    </row>
    <row customHeight="1" ht="11.25">
      <c r="A365" s="0" t="s">
        <v>16</v>
      </c>
      <c r="B365" s="0" t="s">
        <v>4248</v>
      </c>
      <c r="C365" s="0" t="s">
        <v>4249</v>
      </c>
      <c r="D365" s="0" t="s">
        <v>3858</v>
      </c>
      <c r="E365" s="0" t="s">
        <v>4255</v>
      </c>
      <c r="F365" s="0" t="s">
        <v>3257</v>
      </c>
      <c r="G365" s="0" t="s">
        <v>4256</v>
      </c>
    </row>
    <row customHeight="1" ht="11.25">
      <c r="A366" s="0" t="s">
        <v>16</v>
      </c>
      <c r="B366" s="0" t="s">
        <v>4248</v>
      </c>
      <c r="C366" s="0" t="s">
        <v>4249</v>
      </c>
      <c r="D366" s="0" t="s">
        <v>4257</v>
      </c>
      <c r="E366" s="0" t="s">
        <v>4258</v>
      </c>
      <c r="F366" s="0" t="s">
        <v>3257</v>
      </c>
      <c r="G366" s="0" t="s">
        <v>4259</v>
      </c>
    </row>
    <row customHeight="1" ht="11.25">
      <c r="A367" s="0" t="s">
        <v>16</v>
      </c>
      <c r="B367" s="0" t="s">
        <v>4248</v>
      </c>
      <c r="C367" s="0" t="s">
        <v>4249</v>
      </c>
      <c r="D367" s="0" t="s">
        <v>4260</v>
      </c>
      <c r="E367" s="0" t="s">
        <v>4261</v>
      </c>
      <c r="F367" s="0" t="s">
        <v>3257</v>
      </c>
      <c r="G367" s="0" t="s">
        <v>4262</v>
      </c>
    </row>
    <row customHeight="1" ht="11.25">
      <c r="A368" s="0" t="s">
        <v>16</v>
      </c>
      <c r="B368" s="0" t="s">
        <v>4248</v>
      </c>
      <c r="C368" s="0" t="s">
        <v>4249</v>
      </c>
      <c r="D368" s="0" t="s">
        <v>3327</v>
      </c>
      <c r="E368" s="0" t="s">
        <v>4263</v>
      </c>
      <c r="F368" s="0" t="s">
        <v>3257</v>
      </c>
      <c r="G368" s="0" t="s">
        <v>4264</v>
      </c>
    </row>
    <row customHeight="1" ht="11.25">
      <c r="A369" s="0" t="s">
        <v>16</v>
      </c>
      <c r="B369" s="0" t="s">
        <v>4248</v>
      </c>
      <c r="C369" s="0" t="s">
        <v>4249</v>
      </c>
      <c r="D369" s="0" t="s">
        <v>4265</v>
      </c>
      <c r="E369" s="0" t="s">
        <v>4266</v>
      </c>
      <c r="F369" s="0" t="s">
        <v>3257</v>
      </c>
      <c r="G369" s="0" t="s">
        <v>4267</v>
      </c>
    </row>
    <row customHeight="1" ht="11.25">
      <c r="A370" s="0" t="s">
        <v>16</v>
      </c>
      <c r="B370" s="0" t="s">
        <v>4248</v>
      </c>
      <c r="C370" s="0" t="s">
        <v>4249</v>
      </c>
      <c r="D370" s="0" t="s">
        <v>4268</v>
      </c>
      <c r="E370" s="0" t="s">
        <v>4269</v>
      </c>
      <c r="F370" s="0" t="s">
        <v>3257</v>
      </c>
      <c r="G370" s="0" t="s">
        <v>4270</v>
      </c>
    </row>
    <row customHeight="1" ht="11.25">
      <c r="A371" s="0" t="s">
        <v>16</v>
      </c>
      <c r="B371" s="0" t="s">
        <v>4248</v>
      </c>
      <c r="C371" s="0" t="s">
        <v>4249</v>
      </c>
      <c r="D371" s="0" t="s">
        <v>4248</v>
      </c>
      <c r="E371" s="0" t="s">
        <v>4249</v>
      </c>
      <c r="F371" s="0" t="s">
        <v>3254</v>
      </c>
      <c r="G371" s="0" t="s">
        <v>4271</v>
      </c>
    </row>
    <row customHeight="1" ht="11.25">
      <c r="A372" s="0" t="s">
        <v>16</v>
      </c>
      <c r="B372" s="0" t="s">
        <v>4248</v>
      </c>
      <c r="C372" s="0" t="s">
        <v>4249</v>
      </c>
      <c r="D372" s="0" t="s">
        <v>4272</v>
      </c>
      <c r="E372" s="0" t="s">
        <v>4273</v>
      </c>
      <c r="F372" s="0" t="s">
        <v>3296</v>
      </c>
      <c r="G372" s="0" t="s">
        <v>4274</v>
      </c>
    </row>
    <row customHeight="1" ht="11.25">
      <c r="A373" s="0" t="s">
        <v>16</v>
      </c>
      <c r="B373" s="0" t="s">
        <v>4248</v>
      </c>
      <c r="C373" s="0" t="s">
        <v>4249</v>
      </c>
      <c r="D373" s="0" t="s">
        <v>4275</v>
      </c>
      <c r="E373" s="0" t="s">
        <v>4276</v>
      </c>
      <c r="F373" s="0" t="s">
        <v>3257</v>
      </c>
      <c r="G373" s="0" t="s">
        <v>4277</v>
      </c>
    </row>
    <row customHeight="1" ht="11.25">
      <c r="A374" s="0" t="s">
        <v>16</v>
      </c>
      <c r="B374" s="0" t="s">
        <v>4248</v>
      </c>
      <c r="C374" s="0" t="s">
        <v>4249</v>
      </c>
      <c r="D374" s="0" t="s">
        <v>4278</v>
      </c>
      <c r="E374" s="0" t="s">
        <v>4279</v>
      </c>
      <c r="F374" s="0" t="s">
        <v>3257</v>
      </c>
      <c r="G374" s="0" t="s">
        <v>4280</v>
      </c>
    </row>
    <row customHeight="1" ht="11.25">
      <c r="A375" s="0" t="s">
        <v>16</v>
      </c>
      <c r="B375" s="0" t="s">
        <v>4281</v>
      </c>
      <c r="C375" s="0" t="s">
        <v>4282</v>
      </c>
      <c r="D375" s="0" t="s">
        <v>4283</v>
      </c>
      <c r="E375" s="0" t="s">
        <v>4284</v>
      </c>
      <c r="F375" s="0" t="s">
        <v>3257</v>
      </c>
      <c r="G375" s="0" t="s">
        <v>4285</v>
      </c>
    </row>
    <row customHeight="1" ht="11.25">
      <c r="A376" s="0" t="s">
        <v>16</v>
      </c>
      <c r="B376" s="0" t="s">
        <v>4281</v>
      </c>
      <c r="C376" s="0" t="s">
        <v>4282</v>
      </c>
      <c r="D376" s="0" t="s">
        <v>4286</v>
      </c>
      <c r="E376" s="0" t="s">
        <v>4287</v>
      </c>
      <c r="F376" s="0" t="s">
        <v>3257</v>
      </c>
      <c r="G376" s="0" t="s">
        <v>4288</v>
      </c>
    </row>
    <row customHeight="1" ht="11.25">
      <c r="A377" s="0" t="s">
        <v>16</v>
      </c>
      <c r="B377" s="0" t="s">
        <v>4281</v>
      </c>
      <c r="C377" s="0" t="s">
        <v>4282</v>
      </c>
      <c r="D377" s="0" t="s">
        <v>4289</v>
      </c>
      <c r="E377" s="0" t="s">
        <v>4290</v>
      </c>
      <c r="F377" s="0" t="s">
        <v>3257</v>
      </c>
      <c r="G377" s="0" t="s">
        <v>4291</v>
      </c>
    </row>
    <row customHeight="1" ht="11.25">
      <c r="A378" s="0" t="s">
        <v>16</v>
      </c>
      <c r="B378" s="0" t="s">
        <v>4281</v>
      </c>
      <c r="C378" s="0" t="s">
        <v>4282</v>
      </c>
      <c r="D378" s="0" t="s">
        <v>4292</v>
      </c>
      <c r="E378" s="0" t="s">
        <v>4293</v>
      </c>
      <c r="F378" s="0" t="s">
        <v>3257</v>
      </c>
      <c r="G378" s="0" t="s">
        <v>4294</v>
      </c>
    </row>
    <row customHeight="1" ht="11.25">
      <c r="A379" s="0" t="s">
        <v>16</v>
      </c>
      <c r="B379" s="0" t="s">
        <v>4281</v>
      </c>
      <c r="C379" s="0" t="s">
        <v>4282</v>
      </c>
      <c r="D379" s="0" t="s">
        <v>4295</v>
      </c>
      <c r="E379" s="0" t="s">
        <v>4296</v>
      </c>
      <c r="F379" s="0" t="s">
        <v>3257</v>
      </c>
      <c r="G379" s="0" t="s">
        <v>4297</v>
      </c>
    </row>
    <row customHeight="1" ht="11.25">
      <c r="A380" s="0" t="s">
        <v>16</v>
      </c>
      <c r="B380" s="0" t="s">
        <v>4281</v>
      </c>
      <c r="C380" s="0" t="s">
        <v>4282</v>
      </c>
      <c r="D380" s="0" t="s">
        <v>4298</v>
      </c>
      <c r="E380" s="0" t="s">
        <v>4299</v>
      </c>
      <c r="F380" s="0" t="s">
        <v>3257</v>
      </c>
      <c r="G380" s="0" t="s">
        <v>4300</v>
      </c>
    </row>
    <row customHeight="1" ht="11.25">
      <c r="A381" s="0" t="s">
        <v>16</v>
      </c>
      <c r="B381" s="0" t="s">
        <v>4281</v>
      </c>
      <c r="C381" s="0" t="s">
        <v>4282</v>
      </c>
      <c r="D381" s="0" t="s">
        <v>4301</v>
      </c>
      <c r="E381" s="0" t="s">
        <v>4302</v>
      </c>
      <c r="F381" s="0" t="s">
        <v>3257</v>
      </c>
      <c r="G381" s="0" t="s">
        <v>4303</v>
      </c>
    </row>
    <row customHeight="1" ht="11.25">
      <c r="A382" s="0" t="s">
        <v>16</v>
      </c>
      <c r="B382" s="0" t="s">
        <v>4281</v>
      </c>
      <c r="C382" s="0" t="s">
        <v>4282</v>
      </c>
      <c r="D382" s="0" t="s">
        <v>4281</v>
      </c>
      <c r="E382" s="0" t="s">
        <v>4282</v>
      </c>
      <c r="F382" s="0" t="s">
        <v>3254</v>
      </c>
      <c r="G382" s="0" t="s">
        <v>4304</v>
      </c>
    </row>
    <row customHeight="1" ht="11.25">
      <c r="A383" s="0" t="s">
        <v>16</v>
      </c>
      <c r="B383" s="0" t="s">
        <v>4281</v>
      </c>
      <c r="C383" s="0" t="s">
        <v>4282</v>
      </c>
      <c r="D383" s="0" t="s">
        <v>4305</v>
      </c>
      <c r="E383" s="0" t="s">
        <v>4306</v>
      </c>
      <c r="F383" s="0" t="s">
        <v>3296</v>
      </c>
      <c r="G383" s="0" t="s">
        <v>4307</v>
      </c>
    </row>
    <row customHeight="1" ht="11.25">
      <c r="A384" s="0" t="s">
        <v>16</v>
      </c>
      <c r="B384" s="0" t="s">
        <v>4281</v>
      </c>
      <c r="C384" s="0" t="s">
        <v>4282</v>
      </c>
      <c r="D384" s="0" t="s">
        <v>4308</v>
      </c>
      <c r="E384" s="0" t="s">
        <v>4309</v>
      </c>
      <c r="F384" s="0" t="s">
        <v>3257</v>
      </c>
      <c r="G384" s="0" t="s">
        <v>4310</v>
      </c>
    </row>
    <row customHeight="1" ht="11.25">
      <c r="A385" s="0" t="s">
        <v>16</v>
      </c>
      <c r="B385" s="0" t="s">
        <v>4281</v>
      </c>
      <c r="C385" s="0" t="s">
        <v>4282</v>
      </c>
      <c r="D385" s="0" t="s">
        <v>4311</v>
      </c>
      <c r="E385" s="0" t="s">
        <v>4312</v>
      </c>
      <c r="F385" s="0" t="s">
        <v>3257</v>
      </c>
      <c r="G385" s="0" t="s">
        <v>4313</v>
      </c>
    </row>
    <row customHeight="1" ht="11.25">
      <c r="A386" s="0" t="s">
        <v>16</v>
      </c>
      <c r="B386" s="0" t="s">
        <v>4314</v>
      </c>
      <c r="C386" s="0" t="s">
        <v>4315</v>
      </c>
      <c r="D386" s="0" t="s">
        <v>4316</v>
      </c>
      <c r="E386" s="0" t="s">
        <v>4317</v>
      </c>
      <c r="F386" s="0" t="s">
        <v>3257</v>
      </c>
      <c r="G386" s="0" t="s">
        <v>4318</v>
      </c>
    </row>
    <row customHeight="1" ht="11.25">
      <c r="A387" s="0" t="s">
        <v>16</v>
      </c>
      <c r="B387" s="0" t="s">
        <v>4314</v>
      </c>
      <c r="C387" s="0" t="s">
        <v>4315</v>
      </c>
      <c r="D387" s="0" t="s">
        <v>4314</v>
      </c>
      <c r="E387" s="0" t="s">
        <v>4315</v>
      </c>
      <c r="F387" s="0" t="s">
        <v>3254</v>
      </c>
      <c r="G387" s="0" t="s">
        <v>4319</v>
      </c>
    </row>
    <row customHeight="1" ht="11.25">
      <c r="A388" s="0" t="s">
        <v>16</v>
      </c>
      <c r="B388" s="0" t="s">
        <v>4314</v>
      </c>
      <c r="C388" s="0" t="s">
        <v>4315</v>
      </c>
      <c r="D388" s="0" t="s">
        <v>4320</v>
      </c>
      <c r="E388" s="0" t="s">
        <v>4321</v>
      </c>
      <c r="F388" s="0" t="s">
        <v>3257</v>
      </c>
      <c r="G388" s="0" t="s">
        <v>4322</v>
      </c>
    </row>
    <row customHeight="1" ht="11.25">
      <c r="A389" s="0" t="s">
        <v>16</v>
      </c>
      <c r="B389" s="0" t="s">
        <v>4314</v>
      </c>
      <c r="C389" s="0" t="s">
        <v>4315</v>
      </c>
      <c r="D389" s="0" t="s">
        <v>4323</v>
      </c>
      <c r="E389" s="0" t="s">
        <v>4324</v>
      </c>
      <c r="F389" s="0" t="s">
        <v>3257</v>
      </c>
      <c r="G389" s="0" t="s">
        <v>4325</v>
      </c>
    </row>
    <row customHeight="1" ht="11.25">
      <c r="A390" s="0" t="s">
        <v>16</v>
      </c>
      <c r="B390" s="0" t="s">
        <v>4326</v>
      </c>
      <c r="C390" s="0" t="s">
        <v>4327</v>
      </c>
      <c r="D390" s="0" t="s">
        <v>4328</v>
      </c>
      <c r="E390" s="0" t="s">
        <v>4329</v>
      </c>
      <c r="F390" s="0" t="s">
        <v>3257</v>
      </c>
      <c r="G390" s="0" t="s">
        <v>4330</v>
      </c>
    </row>
    <row customHeight="1" ht="11.25">
      <c r="A391" s="0" t="s">
        <v>16</v>
      </c>
      <c r="B391" s="0" t="s">
        <v>4326</v>
      </c>
      <c r="C391" s="0" t="s">
        <v>4327</v>
      </c>
      <c r="D391" s="0" t="s">
        <v>4331</v>
      </c>
      <c r="E391" s="0" t="s">
        <v>4332</v>
      </c>
      <c r="F391" s="0" t="s">
        <v>3257</v>
      </c>
      <c r="G391" s="0" t="s">
        <v>4333</v>
      </c>
    </row>
    <row customHeight="1" ht="11.25">
      <c r="A392" s="0" t="s">
        <v>16</v>
      </c>
      <c r="B392" s="0" t="s">
        <v>4326</v>
      </c>
      <c r="C392" s="0" t="s">
        <v>4327</v>
      </c>
      <c r="D392" s="0" t="s">
        <v>4334</v>
      </c>
      <c r="E392" s="0" t="s">
        <v>4335</v>
      </c>
      <c r="F392" s="0" t="s">
        <v>3257</v>
      </c>
      <c r="G392" s="0" t="s">
        <v>4336</v>
      </c>
    </row>
    <row customHeight="1" ht="11.25">
      <c r="A393" s="0" t="s">
        <v>16</v>
      </c>
      <c r="B393" s="0" t="s">
        <v>4326</v>
      </c>
      <c r="C393" s="0" t="s">
        <v>4327</v>
      </c>
      <c r="D393" s="0" t="s">
        <v>4337</v>
      </c>
      <c r="E393" s="0" t="s">
        <v>4338</v>
      </c>
      <c r="F393" s="0" t="s">
        <v>3257</v>
      </c>
      <c r="G393" s="0" t="s">
        <v>4339</v>
      </c>
    </row>
    <row customHeight="1" ht="11.25">
      <c r="A394" s="0" t="s">
        <v>16</v>
      </c>
      <c r="B394" s="0" t="s">
        <v>4326</v>
      </c>
      <c r="C394" s="0" t="s">
        <v>4327</v>
      </c>
      <c r="D394" s="0" t="s">
        <v>4340</v>
      </c>
      <c r="E394" s="0" t="s">
        <v>4341</v>
      </c>
      <c r="F394" s="0" t="s">
        <v>3257</v>
      </c>
      <c r="G394" s="0" t="s">
        <v>4342</v>
      </c>
    </row>
    <row customHeight="1" ht="11.25">
      <c r="A395" s="0" t="s">
        <v>16</v>
      </c>
      <c r="B395" s="0" t="s">
        <v>4326</v>
      </c>
      <c r="C395" s="0" t="s">
        <v>4327</v>
      </c>
      <c r="D395" s="0" t="s">
        <v>4343</v>
      </c>
      <c r="E395" s="0" t="s">
        <v>4344</v>
      </c>
      <c r="F395" s="0" t="s">
        <v>3257</v>
      </c>
      <c r="G395" s="0" t="s">
        <v>4345</v>
      </c>
    </row>
    <row customHeight="1" ht="11.25">
      <c r="A396" s="0" t="s">
        <v>16</v>
      </c>
      <c r="B396" s="0" t="s">
        <v>4326</v>
      </c>
      <c r="C396" s="0" t="s">
        <v>4327</v>
      </c>
      <c r="D396" s="0" t="s">
        <v>3687</v>
      </c>
      <c r="E396" s="0" t="s">
        <v>4346</v>
      </c>
      <c r="F396" s="0" t="s">
        <v>3257</v>
      </c>
      <c r="G396" s="0" t="s">
        <v>4347</v>
      </c>
    </row>
    <row customHeight="1" ht="11.25">
      <c r="A397" s="0" t="s">
        <v>16</v>
      </c>
      <c r="B397" s="0" t="s">
        <v>4326</v>
      </c>
      <c r="C397" s="0" t="s">
        <v>4327</v>
      </c>
      <c r="D397" s="0" t="s">
        <v>4348</v>
      </c>
      <c r="E397" s="0" t="s">
        <v>4349</v>
      </c>
      <c r="F397" s="0" t="s">
        <v>3257</v>
      </c>
      <c r="G397" s="0" t="s">
        <v>4350</v>
      </c>
    </row>
    <row customHeight="1" ht="11.25">
      <c r="A398" s="0" t="s">
        <v>16</v>
      </c>
      <c r="B398" s="0" t="s">
        <v>4326</v>
      </c>
      <c r="C398" s="0" t="s">
        <v>4327</v>
      </c>
      <c r="D398" s="0" t="s">
        <v>4351</v>
      </c>
      <c r="E398" s="0" t="s">
        <v>4352</v>
      </c>
      <c r="F398" s="0" t="s">
        <v>3257</v>
      </c>
      <c r="G398" s="0" t="s">
        <v>4353</v>
      </c>
    </row>
    <row customHeight="1" ht="11.25">
      <c r="A399" s="0" t="s">
        <v>16</v>
      </c>
      <c r="B399" s="0" t="s">
        <v>4326</v>
      </c>
      <c r="C399" s="0" t="s">
        <v>4327</v>
      </c>
      <c r="D399" s="0" t="s">
        <v>4326</v>
      </c>
      <c r="E399" s="0" t="s">
        <v>4327</v>
      </c>
      <c r="F399" s="0" t="s">
        <v>3254</v>
      </c>
      <c r="G399" s="0" t="s">
        <v>4354</v>
      </c>
    </row>
    <row customHeight="1" ht="11.25">
      <c r="A400" s="0" t="s">
        <v>16</v>
      </c>
      <c r="B400" s="0" t="s">
        <v>4326</v>
      </c>
      <c r="C400" s="0" t="s">
        <v>4327</v>
      </c>
      <c r="D400" s="0" t="s">
        <v>4355</v>
      </c>
      <c r="E400" s="0" t="s">
        <v>4356</v>
      </c>
      <c r="F400" s="0" t="s">
        <v>3257</v>
      </c>
      <c r="G400" s="0" t="s">
        <v>4357</v>
      </c>
    </row>
    <row customHeight="1" ht="11.25">
      <c r="A401" s="0" t="s">
        <v>16</v>
      </c>
      <c r="B401" s="0" t="s">
        <v>4358</v>
      </c>
      <c r="C401" s="0" t="s">
        <v>4359</v>
      </c>
      <c r="D401" s="0" t="s">
        <v>4360</v>
      </c>
      <c r="E401" s="0" t="s">
        <v>4361</v>
      </c>
      <c r="F401" s="0" t="s">
        <v>3257</v>
      </c>
      <c r="G401" s="0" t="s">
        <v>4362</v>
      </c>
    </row>
    <row customHeight="1" ht="11.25">
      <c r="A402" s="0" t="s">
        <v>16</v>
      </c>
      <c r="B402" s="0" t="s">
        <v>4358</v>
      </c>
      <c r="C402" s="0" t="s">
        <v>4359</v>
      </c>
      <c r="D402" s="0" t="s">
        <v>4363</v>
      </c>
      <c r="E402" s="0" t="s">
        <v>4364</v>
      </c>
      <c r="F402" s="0" t="s">
        <v>3257</v>
      </c>
      <c r="G402" s="0" t="s">
        <v>4365</v>
      </c>
    </row>
    <row customHeight="1" ht="11.25">
      <c r="A403" s="0" t="s">
        <v>16</v>
      </c>
      <c r="B403" s="0" t="s">
        <v>4358</v>
      </c>
      <c r="C403" s="0" t="s">
        <v>4359</v>
      </c>
      <c r="D403" s="0" t="s">
        <v>4366</v>
      </c>
      <c r="E403" s="0" t="s">
        <v>4367</v>
      </c>
      <c r="F403" s="0" t="s">
        <v>3257</v>
      </c>
      <c r="G403" s="0" t="s">
        <v>4368</v>
      </c>
    </row>
    <row customHeight="1" ht="11.25">
      <c r="A404" s="0" t="s">
        <v>16</v>
      </c>
      <c r="B404" s="0" t="s">
        <v>4358</v>
      </c>
      <c r="C404" s="0" t="s">
        <v>4359</v>
      </c>
      <c r="D404" s="0" t="s">
        <v>4369</v>
      </c>
      <c r="E404" s="0" t="s">
        <v>4370</v>
      </c>
      <c r="F404" s="0" t="s">
        <v>3257</v>
      </c>
      <c r="G404" s="0" t="s">
        <v>4371</v>
      </c>
    </row>
    <row customHeight="1" ht="11.25">
      <c r="A405" s="0" t="s">
        <v>16</v>
      </c>
      <c r="B405" s="0" t="s">
        <v>4358</v>
      </c>
      <c r="C405" s="0" t="s">
        <v>4359</v>
      </c>
      <c r="D405" s="0" t="s">
        <v>4372</v>
      </c>
      <c r="E405" s="0" t="s">
        <v>4373</v>
      </c>
      <c r="F405" s="0" t="s">
        <v>3257</v>
      </c>
      <c r="G405" s="0" t="s">
        <v>4374</v>
      </c>
    </row>
    <row customHeight="1" ht="11.25">
      <c r="A406" s="0" t="s">
        <v>16</v>
      </c>
      <c r="B406" s="0" t="s">
        <v>4358</v>
      </c>
      <c r="C406" s="0" t="s">
        <v>4359</v>
      </c>
      <c r="D406" s="0" t="s">
        <v>4375</v>
      </c>
      <c r="E406" s="0" t="s">
        <v>4376</v>
      </c>
      <c r="F406" s="0" t="s">
        <v>3257</v>
      </c>
      <c r="G406" s="0" t="s">
        <v>4377</v>
      </c>
    </row>
    <row customHeight="1" ht="11.25">
      <c r="A407" s="0" t="s">
        <v>16</v>
      </c>
      <c r="B407" s="0" t="s">
        <v>4358</v>
      </c>
      <c r="C407" s="0" t="s">
        <v>4359</v>
      </c>
      <c r="D407" s="0" t="s">
        <v>3787</v>
      </c>
      <c r="E407" s="0" t="s">
        <v>4378</v>
      </c>
      <c r="F407" s="0" t="s">
        <v>3257</v>
      </c>
      <c r="G407" s="0" t="s">
        <v>4379</v>
      </c>
    </row>
    <row customHeight="1" ht="11.25">
      <c r="A408" s="0" t="s">
        <v>16</v>
      </c>
      <c r="B408" s="0" t="s">
        <v>4358</v>
      </c>
      <c r="C408" s="0" t="s">
        <v>4359</v>
      </c>
      <c r="D408" s="0" t="s">
        <v>4380</v>
      </c>
      <c r="E408" s="0" t="s">
        <v>4381</v>
      </c>
      <c r="F408" s="0" t="s">
        <v>3257</v>
      </c>
      <c r="G408" s="0" t="s">
        <v>4382</v>
      </c>
    </row>
    <row customHeight="1" ht="11.25">
      <c r="A409" s="0" t="s">
        <v>16</v>
      </c>
      <c r="B409" s="0" t="s">
        <v>4358</v>
      </c>
      <c r="C409" s="0" t="s">
        <v>4359</v>
      </c>
      <c r="D409" s="0" t="s">
        <v>4193</v>
      </c>
      <c r="E409" s="0" t="s">
        <v>4383</v>
      </c>
      <c r="F409" s="0" t="s">
        <v>3257</v>
      </c>
      <c r="G409" s="0" t="s">
        <v>4384</v>
      </c>
    </row>
    <row customHeight="1" ht="11.25">
      <c r="A410" s="0" t="s">
        <v>16</v>
      </c>
      <c r="B410" s="0" t="s">
        <v>4358</v>
      </c>
      <c r="C410" s="0" t="s">
        <v>4359</v>
      </c>
      <c r="D410" s="0" t="s">
        <v>4358</v>
      </c>
      <c r="E410" s="0" t="s">
        <v>4359</v>
      </c>
      <c r="F410" s="0" t="s">
        <v>3254</v>
      </c>
      <c r="G410" s="0" t="s">
        <v>4385</v>
      </c>
    </row>
    <row customHeight="1" ht="11.25">
      <c r="A411" s="0" t="s">
        <v>16</v>
      </c>
      <c r="B411" s="0" t="s">
        <v>4358</v>
      </c>
      <c r="C411" s="0" t="s">
        <v>4359</v>
      </c>
      <c r="D411" s="0" t="s">
        <v>4386</v>
      </c>
      <c r="E411" s="0" t="s">
        <v>4387</v>
      </c>
      <c r="F411" s="0" t="s">
        <v>3257</v>
      </c>
      <c r="G411" s="0" t="s">
        <v>4388</v>
      </c>
    </row>
    <row customHeight="1" ht="11.25">
      <c r="A412" s="0" t="s">
        <v>16</v>
      </c>
      <c r="B412" s="0" t="s">
        <v>4358</v>
      </c>
      <c r="C412" s="0" t="s">
        <v>4359</v>
      </c>
      <c r="D412" s="0" t="s">
        <v>4389</v>
      </c>
      <c r="E412" s="0" t="s">
        <v>4390</v>
      </c>
      <c r="F412" s="0" t="s">
        <v>3257</v>
      </c>
      <c r="G412" s="0" t="s">
        <v>4391</v>
      </c>
    </row>
    <row customHeight="1" ht="11.25">
      <c r="A413" s="0" t="s">
        <v>16</v>
      </c>
      <c r="B413" s="0" t="s">
        <v>4392</v>
      </c>
      <c r="C413" s="0" t="s">
        <v>4393</v>
      </c>
      <c r="D413" s="0" t="s">
        <v>4394</v>
      </c>
      <c r="E413" s="0" t="s">
        <v>4395</v>
      </c>
      <c r="F413" s="0" t="s">
        <v>3257</v>
      </c>
      <c r="G413" s="0" t="s">
        <v>4396</v>
      </c>
    </row>
    <row customHeight="1" ht="11.25">
      <c r="A414" s="0" t="s">
        <v>16</v>
      </c>
      <c r="B414" s="0" t="s">
        <v>4392</v>
      </c>
      <c r="C414" s="0" t="s">
        <v>4393</v>
      </c>
      <c r="D414" s="0" t="s">
        <v>4397</v>
      </c>
      <c r="E414" s="0" t="s">
        <v>4398</v>
      </c>
      <c r="F414" s="0" t="s">
        <v>3257</v>
      </c>
      <c r="G414" s="0" t="s">
        <v>4399</v>
      </c>
    </row>
    <row customHeight="1" ht="11.25">
      <c r="A415" s="0" t="s">
        <v>16</v>
      </c>
      <c r="B415" s="0" t="s">
        <v>4392</v>
      </c>
      <c r="C415" s="0" t="s">
        <v>4393</v>
      </c>
      <c r="D415" s="0" t="s">
        <v>3979</v>
      </c>
      <c r="E415" s="0" t="s">
        <v>4400</v>
      </c>
      <c r="F415" s="0" t="s">
        <v>3257</v>
      </c>
      <c r="G415" s="0" t="s">
        <v>4401</v>
      </c>
    </row>
    <row customHeight="1" ht="11.25">
      <c r="A416" s="0" t="s">
        <v>16</v>
      </c>
      <c r="B416" s="0" t="s">
        <v>4392</v>
      </c>
      <c r="C416" s="0" t="s">
        <v>4393</v>
      </c>
      <c r="D416" s="0" t="s">
        <v>4402</v>
      </c>
      <c r="E416" s="0" t="s">
        <v>4403</v>
      </c>
      <c r="F416" s="0" t="s">
        <v>3257</v>
      </c>
      <c r="G416" s="0" t="s">
        <v>4404</v>
      </c>
    </row>
    <row customHeight="1" ht="11.25">
      <c r="A417" s="0" t="s">
        <v>16</v>
      </c>
      <c r="B417" s="0" t="s">
        <v>4392</v>
      </c>
      <c r="C417" s="0" t="s">
        <v>4393</v>
      </c>
      <c r="D417" s="0" t="s">
        <v>4405</v>
      </c>
      <c r="E417" s="0" t="s">
        <v>4406</v>
      </c>
      <c r="F417" s="0" t="s">
        <v>3257</v>
      </c>
      <c r="G417" s="0" t="s">
        <v>4407</v>
      </c>
    </row>
    <row customHeight="1" ht="11.25">
      <c r="A418" s="0" t="s">
        <v>16</v>
      </c>
      <c r="B418" s="0" t="s">
        <v>4392</v>
      </c>
      <c r="C418" s="0" t="s">
        <v>4393</v>
      </c>
      <c r="D418" s="0" t="s">
        <v>4408</v>
      </c>
      <c r="E418" s="0" t="s">
        <v>4409</v>
      </c>
      <c r="F418" s="0" t="s">
        <v>3257</v>
      </c>
      <c r="G418" s="0" t="s">
        <v>4410</v>
      </c>
    </row>
    <row customHeight="1" ht="11.25">
      <c r="A419" s="0" t="s">
        <v>16</v>
      </c>
      <c r="B419" s="0" t="s">
        <v>4392</v>
      </c>
      <c r="C419" s="0" t="s">
        <v>4393</v>
      </c>
      <c r="D419" s="0" t="s">
        <v>4411</v>
      </c>
      <c r="E419" s="0" t="s">
        <v>4412</v>
      </c>
      <c r="F419" s="0" t="s">
        <v>3257</v>
      </c>
      <c r="G419" s="0" t="s">
        <v>4413</v>
      </c>
    </row>
    <row customHeight="1" ht="11.25">
      <c r="A420" s="0" t="s">
        <v>16</v>
      </c>
      <c r="B420" s="0" t="s">
        <v>4392</v>
      </c>
      <c r="C420" s="0" t="s">
        <v>4393</v>
      </c>
      <c r="D420" s="0" t="s">
        <v>4392</v>
      </c>
      <c r="E420" s="0" t="s">
        <v>4393</v>
      </c>
      <c r="F420" s="0" t="s">
        <v>3254</v>
      </c>
      <c r="G420" s="0" t="s">
        <v>4414</v>
      </c>
    </row>
    <row customHeight="1" ht="11.25">
      <c r="A421" s="0" t="s">
        <v>16</v>
      </c>
      <c r="B421" s="0" t="s">
        <v>4392</v>
      </c>
      <c r="C421" s="0" t="s">
        <v>4393</v>
      </c>
      <c r="D421" s="0" t="s">
        <v>4415</v>
      </c>
      <c r="E421" s="0" t="s">
        <v>4416</v>
      </c>
      <c r="F421" s="0" t="s">
        <v>3675</v>
      </c>
      <c r="G421" s="0" t="s">
        <v>4417</v>
      </c>
    </row>
    <row customHeight="1" ht="11.25">
      <c r="A422" s="0" t="s">
        <v>16</v>
      </c>
      <c r="B422" s="0" t="s">
        <v>4418</v>
      </c>
      <c r="C422" s="0" t="s">
        <v>4419</v>
      </c>
      <c r="D422" s="0" t="s">
        <v>3620</v>
      </c>
      <c r="E422" s="0" t="s">
        <v>4420</v>
      </c>
      <c r="F422" s="0" t="s">
        <v>3257</v>
      </c>
      <c r="G422" s="0" t="s">
        <v>4421</v>
      </c>
    </row>
    <row customHeight="1" ht="11.25">
      <c r="A423" s="0" t="s">
        <v>16</v>
      </c>
      <c r="B423" s="0" t="s">
        <v>4418</v>
      </c>
      <c r="C423" s="0" t="s">
        <v>4419</v>
      </c>
      <c r="D423" s="0" t="s">
        <v>4422</v>
      </c>
      <c r="E423" s="0" t="s">
        <v>4423</v>
      </c>
      <c r="F423" s="0" t="s">
        <v>3257</v>
      </c>
      <c r="G423" s="0" t="s">
        <v>4424</v>
      </c>
    </row>
    <row customHeight="1" ht="11.25">
      <c r="A424" s="0" t="s">
        <v>16</v>
      </c>
      <c r="B424" s="0" t="s">
        <v>4418</v>
      </c>
      <c r="C424" s="0" t="s">
        <v>4419</v>
      </c>
      <c r="D424" s="0" t="s">
        <v>3787</v>
      </c>
      <c r="E424" s="0" t="s">
        <v>4425</v>
      </c>
      <c r="F424" s="0" t="s">
        <v>3257</v>
      </c>
      <c r="G424" s="0" t="s">
        <v>4426</v>
      </c>
    </row>
    <row customHeight="1" ht="11.25">
      <c r="A425" s="0" t="s">
        <v>16</v>
      </c>
      <c r="B425" s="0" t="s">
        <v>4418</v>
      </c>
      <c r="C425" s="0" t="s">
        <v>4419</v>
      </c>
      <c r="D425" s="0" t="s">
        <v>4427</v>
      </c>
      <c r="E425" s="0" t="s">
        <v>4428</v>
      </c>
      <c r="F425" s="0" t="s">
        <v>3257</v>
      </c>
      <c r="G425" s="0" t="s">
        <v>4429</v>
      </c>
    </row>
    <row customHeight="1" ht="11.25">
      <c r="A426" s="0" t="s">
        <v>16</v>
      </c>
      <c r="B426" s="0" t="s">
        <v>4418</v>
      </c>
      <c r="C426" s="0" t="s">
        <v>4419</v>
      </c>
      <c r="D426" s="0" t="s">
        <v>4430</v>
      </c>
      <c r="E426" s="0" t="s">
        <v>4431</v>
      </c>
      <c r="F426" s="0" t="s">
        <v>3257</v>
      </c>
      <c r="G426" s="0" t="s">
        <v>4432</v>
      </c>
    </row>
    <row customHeight="1" ht="11.25">
      <c r="A427" s="0" t="s">
        <v>16</v>
      </c>
      <c r="B427" s="0" t="s">
        <v>4418</v>
      </c>
      <c r="C427" s="0" t="s">
        <v>4419</v>
      </c>
      <c r="D427" s="0" t="s">
        <v>4433</v>
      </c>
      <c r="E427" s="0" t="s">
        <v>4434</v>
      </c>
      <c r="F427" s="0" t="s">
        <v>3257</v>
      </c>
      <c r="G427" s="0" t="s">
        <v>4435</v>
      </c>
    </row>
    <row customHeight="1" ht="11.25">
      <c r="A428" s="0" t="s">
        <v>16</v>
      </c>
      <c r="B428" s="0" t="s">
        <v>4418</v>
      </c>
      <c r="C428" s="0" t="s">
        <v>4419</v>
      </c>
      <c r="D428" s="0" t="s">
        <v>4436</v>
      </c>
      <c r="E428" s="0" t="s">
        <v>4437</v>
      </c>
      <c r="F428" s="0" t="s">
        <v>3257</v>
      </c>
      <c r="G428" s="0" t="s">
        <v>4438</v>
      </c>
    </row>
    <row customHeight="1" ht="11.25">
      <c r="A429" s="0" t="s">
        <v>16</v>
      </c>
      <c r="B429" s="0" t="s">
        <v>4418</v>
      </c>
      <c r="C429" s="0" t="s">
        <v>4419</v>
      </c>
      <c r="D429" s="0" t="s">
        <v>4418</v>
      </c>
      <c r="E429" s="0" t="s">
        <v>4419</v>
      </c>
      <c r="F429" s="0" t="s">
        <v>3254</v>
      </c>
      <c r="G429" s="0" t="s">
        <v>4439</v>
      </c>
    </row>
    <row customHeight="1" ht="11.25">
      <c r="A430" s="0" t="s">
        <v>16</v>
      </c>
      <c r="B430" s="0" t="s">
        <v>4418</v>
      </c>
      <c r="C430" s="0" t="s">
        <v>4419</v>
      </c>
      <c r="D430" s="0" t="s">
        <v>4440</v>
      </c>
      <c r="E430" s="0" t="s">
        <v>4441</v>
      </c>
      <c r="F430" s="0" t="s">
        <v>3257</v>
      </c>
      <c r="G430" s="0" t="s">
        <v>4442</v>
      </c>
    </row>
    <row customHeight="1" ht="11.25">
      <c r="A431" s="0" t="s">
        <v>16</v>
      </c>
      <c r="B431" s="0" t="s">
        <v>4418</v>
      </c>
      <c r="C431" s="0" t="s">
        <v>4419</v>
      </c>
      <c r="D431" s="0" t="s">
        <v>4278</v>
      </c>
      <c r="E431" s="0" t="s">
        <v>4443</v>
      </c>
      <c r="F431" s="0" t="s">
        <v>3257</v>
      </c>
      <c r="G431" s="0" t="s">
        <v>4444</v>
      </c>
    </row>
    <row customHeight="1" ht="11.25">
      <c r="A432" s="0" t="s">
        <v>16</v>
      </c>
      <c r="B432" s="0" t="s">
        <v>4445</v>
      </c>
      <c r="C432" s="0" t="s">
        <v>4446</v>
      </c>
      <c r="D432" s="0" t="s">
        <v>3645</v>
      </c>
      <c r="E432" s="0" t="s">
        <v>4447</v>
      </c>
      <c r="F432" s="0" t="s">
        <v>3257</v>
      </c>
      <c r="G432" s="0" t="s">
        <v>4448</v>
      </c>
    </row>
    <row customHeight="1" ht="11.25">
      <c r="A433" s="0" t="s">
        <v>16</v>
      </c>
      <c r="B433" s="0" t="s">
        <v>4445</v>
      </c>
      <c r="C433" s="0" t="s">
        <v>4446</v>
      </c>
      <c r="D433" s="0" t="s">
        <v>4449</v>
      </c>
      <c r="E433" s="0" t="s">
        <v>4450</v>
      </c>
      <c r="F433" s="0" t="s">
        <v>3257</v>
      </c>
      <c r="G433" s="0" t="s">
        <v>4451</v>
      </c>
    </row>
    <row customHeight="1" ht="11.25">
      <c r="A434" s="0" t="s">
        <v>16</v>
      </c>
      <c r="B434" s="0" t="s">
        <v>4445</v>
      </c>
      <c r="C434" s="0" t="s">
        <v>4446</v>
      </c>
      <c r="D434" s="0" t="s">
        <v>4452</v>
      </c>
      <c r="E434" s="0" t="s">
        <v>4453</v>
      </c>
      <c r="F434" s="0" t="s">
        <v>3257</v>
      </c>
      <c r="G434" s="0" t="s">
        <v>4454</v>
      </c>
    </row>
    <row customHeight="1" ht="11.25">
      <c r="A435" s="0" t="s">
        <v>16</v>
      </c>
      <c r="B435" s="0" t="s">
        <v>4445</v>
      </c>
      <c r="C435" s="0" t="s">
        <v>4446</v>
      </c>
      <c r="D435" s="0" t="s">
        <v>4455</v>
      </c>
      <c r="E435" s="0" t="s">
        <v>4456</v>
      </c>
      <c r="F435" s="0" t="s">
        <v>3257</v>
      </c>
      <c r="G435" s="0" t="s">
        <v>4457</v>
      </c>
    </row>
    <row customHeight="1" ht="11.25">
      <c r="A436" s="0" t="s">
        <v>16</v>
      </c>
      <c r="B436" s="0" t="s">
        <v>4445</v>
      </c>
      <c r="C436" s="0" t="s">
        <v>4446</v>
      </c>
      <c r="D436" s="0" t="s">
        <v>4458</v>
      </c>
      <c r="E436" s="0" t="s">
        <v>4459</v>
      </c>
      <c r="F436" s="0" t="s">
        <v>3257</v>
      </c>
      <c r="G436" s="0" t="s">
        <v>4460</v>
      </c>
    </row>
    <row customHeight="1" ht="11.25">
      <c r="A437" s="0" t="s">
        <v>16</v>
      </c>
      <c r="B437" s="0" t="s">
        <v>4445</v>
      </c>
      <c r="C437" s="0" t="s">
        <v>4446</v>
      </c>
      <c r="D437" s="0" t="s">
        <v>4461</v>
      </c>
      <c r="E437" s="0" t="s">
        <v>4462</v>
      </c>
      <c r="F437" s="0" t="s">
        <v>3257</v>
      </c>
      <c r="G437" s="0" t="s">
        <v>4463</v>
      </c>
    </row>
    <row customHeight="1" ht="11.25">
      <c r="A438" s="0" t="s">
        <v>16</v>
      </c>
      <c r="B438" s="0" t="s">
        <v>4445</v>
      </c>
      <c r="C438" s="0" t="s">
        <v>4446</v>
      </c>
      <c r="D438" s="0" t="s">
        <v>4445</v>
      </c>
      <c r="E438" s="0" t="s">
        <v>4446</v>
      </c>
      <c r="F438" s="0" t="s">
        <v>3254</v>
      </c>
      <c r="G438" s="0" t="s">
        <v>4464</v>
      </c>
    </row>
    <row customHeight="1" ht="11.25">
      <c r="A439" s="0" t="s">
        <v>16</v>
      </c>
      <c r="B439" s="0" t="s">
        <v>4445</v>
      </c>
      <c r="C439" s="0" t="s">
        <v>4446</v>
      </c>
      <c r="D439" s="0" t="s">
        <v>4465</v>
      </c>
      <c r="E439" s="0" t="s">
        <v>4466</v>
      </c>
      <c r="F439" s="0" t="s">
        <v>3296</v>
      </c>
      <c r="G439" s="0" t="s">
        <v>4467</v>
      </c>
    </row>
    <row customHeight="1" ht="11.25">
      <c r="A440" s="0" t="s">
        <v>16</v>
      </c>
      <c r="B440" s="0" t="s">
        <v>4468</v>
      </c>
      <c r="C440" s="0" t="s">
        <v>4469</v>
      </c>
      <c r="D440" s="0" t="s">
        <v>4470</v>
      </c>
      <c r="E440" s="0" t="s">
        <v>4471</v>
      </c>
      <c r="F440" s="0" t="s">
        <v>3257</v>
      </c>
      <c r="G440" s="0" t="s">
        <v>4472</v>
      </c>
    </row>
    <row customHeight="1" ht="11.25">
      <c r="A441" s="0" t="s">
        <v>16</v>
      </c>
      <c r="B441" s="0" t="s">
        <v>4468</v>
      </c>
      <c r="C441" s="0" t="s">
        <v>4469</v>
      </c>
      <c r="D441" s="0" t="s">
        <v>3581</v>
      </c>
      <c r="E441" s="0" t="s">
        <v>4473</v>
      </c>
      <c r="F441" s="0" t="s">
        <v>3257</v>
      </c>
      <c r="G441" s="0" t="s">
        <v>4474</v>
      </c>
    </row>
    <row customHeight="1" ht="11.25">
      <c r="A442" s="0" t="s">
        <v>16</v>
      </c>
      <c r="B442" s="0" t="s">
        <v>4468</v>
      </c>
      <c r="C442" s="0" t="s">
        <v>4469</v>
      </c>
      <c r="D442" s="0" t="s">
        <v>4475</v>
      </c>
      <c r="E442" s="0" t="s">
        <v>4476</v>
      </c>
      <c r="F442" s="0" t="s">
        <v>3257</v>
      </c>
      <c r="G442" s="0" t="s">
        <v>4477</v>
      </c>
    </row>
    <row customHeight="1" ht="11.25">
      <c r="A443" s="0" t="s">
        <v>16</v>
      </c>
      <c r="B443" s="0" t="s">
        <v>4468</v>
      </c>
      <c r="C443" s="0" t="s">
        <v>4469</v>
      </c>
      <c r="D443" s="0" t="s">
        <v>3623</v>
      </c>
      <c r="E443" s="0" t="s">
        <v>4478</v>
      </c>
      <c r="F443" s="0" t="s">
        <v>3257</v>
      </c>
      <c r="G443" s="0" t="s">
        <v>4479</v>
      </c>
    </row>
    <row customHeight="1" ht="11.25">
      <c r="A444" s="0" t="s">
        <v>16</v>
      </c>
      <c r="B444" s="0" t="s">
        <v>4468</v>
      </c>
      <c r="C444" s="0" t="s">
        <v>4469</v>
      </c>
      <c r="D444" s="0" t="s">
        <v>4480</v>
      </c>
      <c r="E444" s="0" t="s">
        <v>4481</v>
      </c>
      <c r="F444" s="0" t="s">
        <v>3257</v>
      </c>
      <c r="G444" s="0" t="s">
        <v>4482</v>
      </c>
    </row>
    <row customHeight="1" ht="11.25">
      <c r="A445" s="0" t="s">
        <v>16</v>
      </c>
      <c r="B445" s="0" t="s">
        <v>4468</v>
      </c>
      <c r="C445" s="0" t="s">
        <v>4469</v>
      </c>
      <c r="D445" s="0" t="s">
        <v>4483</v>
      </c>
      <c r="E445" s="0" t="s">
        <v>4484</v>
      </c>
      <c r="F445" s="0" t="s">
        <v>3257</v>
      </c>
      <c r="G445" s="0" t="s">
        <v>4485</v>
      </c>
    </row>
    <row customHeight="1" ht="11.25">
      <c r="A446" s="0" t="s">
        <v>16</v>
      </c>
      <c r="B446" s="0" t="s">
        <v>4468</v>
      </c>
      <c r="C446" s="0" t="s">
        <v>4469</v>
      </c>
      <c r="D446" s="0" t="s">
        <v>4486</v>
      </c>
      <c r="E446" s="0" t="s">
        <v>4487</v>
      </c>
      <c r="F446" s="0" t="s">
        <v>3257</v>
      </c>
      <c r="G446" s="0" t="s">
        <v>4488</v>
      </c>
    </row>
    <row customHeight="1" ht="11.25">
      <c r="A447" s="0" t="s">
        <v>16</v>
      </c>
      <c r="B447" s="0" t="s">
        <v>4468</v>
      </c>
      <c r="C447" s="0" t="s">
        <v>4469</v>
      </c>
      <c r="D447" s="0" t="s">
        <v>4489</v>
      </c>
      <c r="E447" s="0" t="s">
        <v>4490</v>
      </c>
      <c r="F447" s="0" t="s">
        <v>3257</v>
      </c>
      <c r="G447" s="0" t="s">
        <v>4491</v>
      </c>
    </row>
    <row customHeight="1" ht="11.25">
      <c r="A448" s="0" t="s">
        <v>16</v>
      </c>
      <c r="B448" s="0" t="s">
        <v>4468</v>
      </c>
      <c r="C448" s="0" t="s">
        <v>4469</v>
      </c>
      <c r="D448" s="0" t="s">
        <v>4492</v>
      </c>
      <c r="E448" s="0" t="s">
        <v>4493</v>
      </c>
      <c r="F448" s="0" t="s">
        <v>3257</v>
      </c>
      <c r="G448" s="0" t="s">
        <v>4494</v>
      </c>
    </row>
    <row customHeight="1" ht="11.25">
      <c r="A449" s="0" t="s">
        <v>16</v>
      </c>
      <c r="B449" s="0" t="s">
        <v>4468</v>
      </c>
      <c r="C449" s="0" t="s">
        <v>4469</v>
      </c>
      <c r="D449" s="0" t="s">
        <v>4495</v>
      </c>
      <c r="E449" s="0" t="s">
        <v>4496</v>
      </c>
      <c r="F449" s="0" t="s">
        <v>3257</v>
      </c>
      <c r="G449" s="0" t="s">
        <v>4497</v>
      </c>
    </row>
    <row customHeight="1" ht="11.25">
      <c r="A450" s="0" t="s">
        <v>16</v>
      </c>
      <c r="B450" s="0" t="s">
        <v>4468</v>
      </c>
      <c r="C450" s="0" t="s">
        <v>4469</v>
      </c>
      <c r="D450" s="0" t="s">
        <v>4498</v>
      </c>
      <c r="E450" s="0" t="s">
        <v>4499</v>
      </c>
      <c r="F450" s="0" t="s">
        <v>3257</v>
      </c>
      <c r="G450" s="0" t="s">
        <v>4500</v>
      </c>
    </row>
    <row customHeight="1" ht="11.25">
      <c r="A451" s="0" t="s">
        <v>16</v>
      </c>
      <c r="B451" s="0" t="s">
        <v>4468</v>
      </c>
      <c r="C451" s="0" t="s">
        <v>4469</v>
      </c>
      <c r="D451" s="0" t="s">
        <v>4468</v>
      </c>
      <c r="E451" s="0" t="s">
        <v>4469</v>
      </c>
      <c r="F451" s="0" t="s">
        <v>3254</v>
      </c>
      <c r="G451" s="0" t="s">
        <v>4501</v>
      </c>
    </row>
    <row customHeight="1" ht="11.25">
      <c r="A452" s="0" t="s">
        <v>16</v>
      </c>
      <c r="B452" s="0" t="s">
        <v>4468</v>
      </c>
      <c r="C452" s="0" t="s">
        <v>4469</v>
      </c>
      <c r="D452" s="0" t="s">
        <v>4502</v>
      </c>
      <c r="E452" s="0" t="s">
        <v>4503</v>
      </c>
      <c r="F452" s="0" t="s">
        <v>3257</v>
      </c>
      <c r="G452" s="0" t="s">
        <v>4504</v>
      </c>
    </row>
    <row customHeight="1" ht="11.25">
      <c r="A453" s="0" t="s">
        <v>16</v>
      </c>
      <c r="B453" s="0" t="s">
        <v>4468</v>
      </c>
      <c r="C453" s="0" t="s">
        <v>4469</v>
      </c>
      <c r="D453" s="0" t="s">
        <v>4505</v>
      </c>
      <c r="E453" s="0" t="s">
        <v>4506</v>
      </c>
      <c r="F453" s="0" t="s">
        <v>3257</v>
      </c>
      <c r="G453" s="0" t="s">
        <v>4507</v>
      </c>
    </row>
    <row customHeight="1" ht="11.25">
      <c r="A454" s="0" t="s">
        <v>16</v>
      </c>
      <c r="B454" s="0" t="s">
        <v>4468</v>
      </c>
      <c r="C454" s="0" t="s">
        <v>4469</v>
      </c>
      <c r="D454" s="0" t="s">
        <v>4508</v>
      </c>
      <c r="E454" s="0" t="s">
        <v>4509</v>
      </c>
      <c r="F454" s="0" t="s">
        <v>3257</v>
      </c>
      <c r="G454" s="0" t="s">
        <v>4510</v>
      </c>
    </row>
    <row customHeight="1" ht="11.25">
      <c r="A455" s="0" t="s">
        <v>16</v>
      </c>
      <c r="B455" s="0" t="s">
        <v>4511</v>
      </c>
      <c r="C455" s="0" t="s">
        <v>4512</v>
      </c>
      <c r="D455" s="0" t="s">
        <v>4513</v>
      </c>
      <c r="E455" s="0" t="s">
        <v>4514</v>
      </c>
      <c r="F455" s="0" t="s">
        <v>3257</v>
      </c>
      <c r="G455" s="0" t="s">
        <v>4515</v>
      </c>
    </row>
    <row customHeight="1" ht="11.25">
      <c r="A456" s="0" t="s">
        <v>16</v>
      </c>
      <c r="B456" s="0" t="s">
        <v>4511</v>
      </c>
      <c r="C456" s="0" t="s">
        <v>4512</v>
      </c>
      <c r="D456" s="0" t="s">
        <v>4516</v>
      </c>
      <c r="E456" s="0" t="s">
        <v>4517</v>
      </c>
      <c r="F456" s="0" t="s">
        <v>3257</v>
      </c>
      <c r="G456" s="0" t="s">
        <v>4518</v>
      </c>
    </row>
    <row customHeight="1" ht="11.25">
      <c r="A457" s="0" t="s">
        <v>16</v>
      </c>
      <c r="B457" s="0" t="s">
        <v>4511</v>
      </c>
      <c r="C457" s="0" t="s">
        <v>4512</v>
      </c>
      <c r="D457" s="0" t="s">
        <v>4519</v>
      </c>
      <c r="E457" s="0" t="s">
        <v>4520</v>
      </c>
      <c r="F457" s="0" t="s">
        <v>3257</v>
      </c>
      <c r="G457" s="0" t="s">
        <v>4521</v>
      </c>
    </row>
    <row customHeight="1" ht="11.25">
      <c r="A458" s="0" t="s">
        <v>16</v>
      </c>
      <c r="B458" s="0" t="s">
        <v>4511</v>
      </c>
      <c r="C458" s="0" t="s">
        <v>4512</v>
      </c>
      <c r="D458" s="0" t="s">
        <v>4522</v>
      </c>
      <c r="E458" s="0" t="s">
        <v>4523</v>
      </c>
      <c r="F458" s="0" t="s">
        <v>3257</v>
      </c>
      <c r="G458" s="0" t="s">
        <v>4524</v>
      </c>
    </row>
    <row customHeight="1" ht="11.25">
      <c r="A459" s="0" t="s">
        <v>16</v>
      </c>
      <c r="B459" s="0" t="s">
        <v>4511</v>
      </c>
      <c r="C459" s="0" t="s">
        <v>4512</v>
      </c>
      <c r="D459" s="0" t="s">
        <v>3645</v>
      </c>
      <c r="E459" s="0" t="s">
        <v>4525</v>
      </c>
      <c r="F459" s="0" t="s">
        <v>3257</v>
      </c>
      <c r="G459" s="0" t="s">
        <v>4526</v>
      </c>
    </row>
    <row customHeight="1" ht="11.25">
      <c r="A460" s="0" t="s">
        <v>16</v>
      </c>
      <c r="B460" s="0" t="s">
        <v>4511</v>
      </c>
      <c r="C460" s="0" t="s">
        <v>4512</v>
      </c>
      <c r="D460" s="0" t="s">
        <v>4527</v>
      </c>
      <c r="E460" s="0" t="s">
        <v>4528</v>
      </c>
      <c r="F460" s="0" t="s">
        <v>3257</v>
      </c>
      <c r="G460" s="0" t="s">
        <v>4529</v>
      </c>
    </row>
    <row customHeight="1" ht="11.25">
      <c r="A461" s="0" t="s">
        <v>16</v>
      </c>
      <c r="B461" s="0" t="s">
        <v>4511</v>
      </c>
      <c r="C461" s="0" t="s">
        <v>4512</v>
      </c>
      <c r="D461" s="0" t="s">
        <v>4530</v>
      </c>
      <c r="E461" s="0" t="s">
        <v>4531</v>
      </c>
      <c r="F461" s="0" t="s">
        <v>3257</v>
      </c>
      <c r="G461" s="0" t="s">
        <v>4532</v>
      </c>
    </row>
    <row customHeight="1" ht="11.25">
      <c r="A462" s="0" t="s">
        <v>16</v>
      </c>
      <c r="B462" s="0" t="s">
        <v>4511</v>
      </c>
      <c r="C462" s="0" t="s">
        <v>4512</v>
      </c>
      <c r="D462" s="0" t="s">
        <v>4533</v>
      </c>
      <c r="E462" s="0" t="s">
        <v>4534</v>
      </c>
      <c r="F462" s="0" t="s">
        <v>3257</v>
      </c>
      <c r="G462" s="0" t="s">
        <v>4535</v>
      </c>
    </row>
    <row customHeight="1" ht="11.25">
      <c r="A463" s="0" t="s">
        <v>16</v>
      </c>
      <c r="B463" s="0" t="s">
        <v>4511</v>
      </c>
      <c r="C463" s="0" t="s">
        <v>4512</v>
      </c>
      <c r="D463" s="0" t="s">
        <v>4536</v>
      </c>
      <c r="E463" s="0" t="s">
        <v>4537</v>
      </c>
      <c r="F463" s="0" t="s">
        <v>3257</v>
      </c>
      <c r="G463" s="0" t="s">
        <v>4538</v>
      </c>
    </row>
    <row customHeight="1" ht="11.25">
      <c r="A464" s="0" t="s">
        <v>16</v>
      </c>
      <c r="B464" s="0" t="s">
        <v>4511</v>
      </c>
      <c r="C464" s="0" t="s">
        <v>4512</v>
      </c>
      <c r="D464" s="0" t="s">
        <v>4511</v>
      </c>
      <c r="E464" s="0" t="s">
        <v>4512</v>
      </c>
      <c r="F464" s="0" t="s">
        <v>3254</v>
      </c>
      <c r="G464" s="0" t="s">
        <v>4539</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FD4F378-2811-A817-54C7-AC774AAC0DE8}" mc:Ignorable="x14ac xr xr2 xr3">
  <sheetPr>
    <tabColor rgb="FFFFCC99"/>
  </sheetPr>
  <dimension ref="A1:C3"/>
  <sheetViews>
    <sheetView topLeftCell="A1" showGridLines="0" workbookViewId="0">
      <selection activeCell="A1" sqref="A1"/>
    </sheetView>
  </sheetViews>
  <sheetFormatPr defaultColWidth="9.140625" customHeight="1" defaultRowHeight="11.25"/>
  <cols>
    <col min="1" max="1" style="16761" width="9.140625"/>
    <col min="2" max="2" style="16761" width="84.28125" customWidth="1"/>
    <col min="3" max="3" style="16761" width="9.140625"/>
  </cols>
  <sheetData>
    <row customHeight="1" ht="11.25">
      <c r="A1" s="1119" t="s">
        <v>4555</v>
      </c>
      <c r="B1" s="1119" t="s">
        <v>4556</v>
      </c>
      <c r="C1" s="1119" t="s">
        <v>1181</v>
      </c>
    </row>
    <row customHeight="1" ht="11.25">
      <c r="A2" s="1119">
        <v>4189678</v>
      </c>
      <c r="B2" s="1119" t="s">
        <v>4557</v>
      </c>
      <c r="C2" s="1119" t="s">
        <v>4558</v>
      </c>
    </row>
    <row customHeight="1" ht="11.25">
      <c r="A3" s="1119">
        <v>4190415</v>
      </c>
      <c r="B3" s="1119" t="s">
        <v>4559</v>
      </c>
      <c r="C3" s="1119" t="s">
        <v>4558</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5F58218-FC42-FBBF-2308-B704D70DA20D}" mc:Ignorable="x14ac xr xr2 xr3">
  <sheetPr>
    <tabColor rgb="FFFFCC99"/>
  </sheetPr>
  <dimension ref="A1:E8"/>
  <sheetViews>
    <sheetView topLeftCell="A1" showGridLines="0" workbookViewId="0">
      <selection activeCell="A1" sqref="A1"/>
    </sheetView>
  </sheetViews>
  <sheetFormatPr defaultColWidth="9.140625" customHeight="1" defaultRowHeight="15"/>
  <cols>
    <col min="1" max="1" style="16763" width="38.421875" customWidth="1"/>
    <col min="2" max="5" style="16763" width="9.140625"/>
  </cols>
  <sheetData>
    <row customHeight="1" ht="15">
      <c r="A1" s="447" t="s">
        <v>4560</v>
      </c>
      <c r="B1" s="447" t="s">
        <v>4561</v>
      </c>
      <c r="C1" s="447"/>
      <c r="D1" s="447"/>
      <c r="E1" s="447"/>
    </row>
    <row customHeight="1" ht="15">
      <c r="A2" s="447"/>
      <c r="B2" s="447"/>
      <c r="C2" s="447"/>
      <c r="D2" s="447"/>
      <c r="E2" s="447"/>
    </row>
    <row customHeight="1" ht="15">
      <c r="A3" s="447"/>
      <c r="B3" s="447"/>
      <c r="C3" s="447"/>
      <c r="D3" s="447"/>
      <c r="E3" s="447"/>
    </row>
    <row customHeight="1" ht="15">
      <c r="A4" s="447"/>
      <c r="B4" s="447"/>
      <c r="C4" s="447"/>
      <c r="D4" s="447"/>
      <c r="E4" s="447"/>
    </row>
    <row customHeight="1" ht="15">
      <c r="A5" s="447"/>
      <c r="B5" s="447"/>
      <c r="C5" s="447"/>
      <c r="D5" s="447"/>
      <c r="E5" s="447"/>
    </row>
    <row customHeight="1" ht="15">
      <c r="A6" s="447"/>
      <c r="B6" s="447"/>
      <c r="C6" s="447"/>
      <c r="D6" s="447"/>
      <c r="E6" s="447"/>
    </row>
    <row customHeight="1" ht="15">
      <c r="A7" s="447"/>
      <c r="B7" s="447"/>
      <c r="C7" s="447"/>
      <c r="D7" s="447"/>
      <c r="E7" s="447"/>
    </row>
    <row customHeight="1" ht="15">
      <c r="A8" s="447"/>
      <c r="B8" s="447"/>
      <c r="C8" s="447"/>
      <c r="D8" s="447"/>
      <c r="E8" s="447"/>
    </row>
  </sheetData>
  <sheetProtection formatColumns="0" formatRows="0"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9BED432-4438-6D24-BE58-60F61881D58E}" mc:Ignorable="x14ac xr xr2 xr3">
  <sheetPr>
    <tabColor rgb="FFFFCC99"/>
  </sheetPr>
  <dimension ref="A1:E25"/>
  <sheetViews>
    <sheetView topLeftCell="A1" workbookViewId="0">
      <selection activeCell="A1" sqref="A1"/>
    </sheetView>
  </sheetViews>
  <sheetFormatPr customHeight="1" defaultRowHeight="11.25"/>
  <sheetData>
    <row customHeight="1" ht="11.25">
      <c r="A1" s="0" t="s">
        <v>4562</v>
      </c>
      <c r="B1" s="0" t="b">
        <v>1</v>
      </c>
    </row>
    <row customHeight="1" ht="11.25">
      <c r="A2" s="0" t="s">
        <v>4563</v>
      </c>
      <c r="B2" s="0" t="b">
        <v>0</v>
      </c>
    </row>
    <row customHeight="1" ht="11.25">
      <c r="A3" s="0" t="s">
        <v>4564</v>
      </c>
      <c r="B3" s="0" t="b">
        <v>1</v>
      </c>
    </row>
    <row customHeight="1" ht="11.25">
      <c r="A4" s="0" t="s">
        <v>4565</v>
      </c>
      <c r="B4" s="0" t="b">
        <v>0</v>
      </c>
    </row>
    <row customHeight="1" ht="11.25">
      <c r="A5" s="0" t="s">
        <v>4566</v>
      </c>
      <c r="B5" s="0" t="b">
        <v>0</v>
      </c>
    </row>
    <row customHeight="1" ht="11.25">
      <c r="A6" s="0" t="s">
        <v>4567</v>
      </c>
      <c r="B6" s="0" t="b">
        <v>0</v>
      </c>
    </row>
    <row customHeight="1" ht="11.25">
      <c r="A7" s="0" t="s">
        <v>4568</v>
      </c>
      <c r="B7" s="0" t="b">
        <v>0</v>
      </c>
    </row>
    <row customHeight="1" ht="11.25">
      <c r="A8" s="0" t="s">
        <v>4569</v>
      </c>
      <c r="B8" s="0" t="b">
        <v>0</v>
      </c>
    </row>
    <row customHeight="1" ht="11.25">
      <c r="A9" s="0" t="s">
        <v>4570</v>
      </c>
      <c r="B9" s="0" t="b">
        <v>0</v>
      </c>
    </row>
    <row customHeight="1" ht="11.25">
      <c r="A10" s="0" t="s">
        <v>4571</v>
      </c>
      <c r="B10" s="0" t="b">
        <v>0</v>
      </c>
    </row>
    <row customHeight="1" ht="11.25">
      <c r="A11" s="0" t="s">
        <v>4572</v>
      </c>
      <c r="B11" s="0" t="b">
        <v>0</v>
      </c>
    </row>
    <row customHeight="1" ht="11.25">
      <c r="A12" s="0" t="s">
        <v>4573</v>
      </c>
      <c r="B12" s="0" t="b">
        <v>0</v>
      </c>
    </row>
    <row customHeight="1" ht="11.25">
      <c r="A13" s="0" t="s">
        <v>4574</v>
      </c>
      <c r="B13" s="0" t="b">
        <v>0</v>
      </c>
    </row>
    <row customHeight="1" ht="11.25">
      <c r="A14" s="0" t="s">
        <v>4575</v>
      </c>
      <c r="B14" s="0" t="b">
        <v>1</v>
      </c>
    </row>
    <row customHeight="1" ht="11.25">
      <c r="A15" s="0" t="s">
        <v>4576</v>
      </c>
      <c r="B15" s="0" t="b">
        <v>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CD1F038-3068-1E69-6C78-85AA4A3B7748}" mc:Ignorable="x14ac xr xr2 xr3">
  <sheetPr>
    <tabColor rgb="FFFFCC99"/>
  </sheetPr>
  <dimension ref="A1:A1"/>
  <sheetViews>
    <sheetView topLeftCell="A1" showGridLines="0" workbookViewId="0">
      <selection activeCell="A1" sqref="A1"/>
    </sheetView>
  </sheetViews>
  <sheetFormatPr defaultColWidth="9.140625" customHeight="1" defaultRowHeight="12.75"/>
  <cols>
    <col min="1" max="1" style="14033" width="9.140625"/>
  </cols>
  <sheetData>
    <row customHeight="1" ht="12.75">
      <c r="A1" s="347"/>
    </row>
  </sheetData>
  <sheetProtection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F857882-B238-1718-A0A1-89E30EC33716}" mc:Ignorable="x14ac xr xr2 xr3">
  <sheetPr>
    <tabColor rgb="FFFFCC99"/>
  </sheetPr>
  <dimension ref="A1:B253"/>
  <sheetViews>
    <sheetView topLeftCell="A1" showGridLines="0" workbookViewId="0">
      <selection activeCell="A1" sqref="A1"/>
    </sheetView>
  </sheetViews>
  <sheetFormatPr defaultColWidth="9.140625" customHeight="1" defaultRowHeight="11.25"/>
  <cols>
    <col min="1" max="1" style="14218" width="36.28125" customWidth="1"/>
    <col min="2" max="2" style="14218" width="21.140625" customWidth="1"/>
  </cols>
  <sheetData>
    <row customHeight="1" ht="11.25">
      <c r="A1" s="351" t="s">
        <v>4577</v>
      </c>
      <c r="B1" s="351" t="s">
        <v>4578</v>
      </c>
    </row>
    <row customHeight="1" ht="11.25">
      <c r="A2" s="346" t="s">
        <v>4579</v>
      </c>
      <c r="B2" s="346" t="s">
        <v>4580</v>
      </c>
    </row>
    <row customHeight="1" ht="11.25">
      <c r="A3" s="346" t="s">
        <v>4581</v>
      </c>
      <c r="B3" s="346" t="s">
        <v>4582</v>
      </c>
    </row>
    <row customHeight="1" ht="11.25">
      <c r="A4" s="346" t="s">
        <v>4583</v>
      </c>
      <c r="B4" s="346" t="s">
        <v>4584</v>
      </c>
    </row>
    <row customHeight="1" ht="11.25">
      <c r="A5" s="346" t="s">
        <v>4585</v>
      </c>
      <c r="B5" s="346" t="s">
        <v>4586</v>
      </c>
    </row>
    <row customHeight="1" ht="11.25">
      <c r="A6" s="346" t="s">
        <v>4587</v>
      </c>
      <c r="B6" s="346" t="s">
        <v>4588</v>
      </c>
    </row>
    <row customHeight="1" ht="11.25">
      <c r="A7" s="346" t="s">
        <v>4589</v>
      </c>
      <c r="B7" s="346" t="s">
        <v>4590</v>
      </c>
    </row>
    <row customHeight="1" ht="11.25">
      <c r="A8" s="346" t="s">
        <v>4591</v>
      </c>
      <c r="B8" s="346" t="s">
        <v>4592</v>
      </c>
    </row>
    <row customHeight="1" ht="11.25">
      <c r="A9" s="346" t="s">
        <v>4593</v>
      </c>
      <c r="B9" s="346" t="s">
        <v>4594</v>
      </c>
    </row>
    <row customHeight="1" ht="11.25">
      <c r="A10" s="346" t="s">
        <v>4595</v>
      </c>
      <c r="B10" s="346" t="s">
        <v>4596</v>
      </c>
    </row>
    <row customHeight="1" ht="11.25">
      <c r="A11" s="346" t="s">
        <v>4597</v>
      </c>
      <c r="B11" s="346" t="s">
        <v>4598</v>
      </c>
    </row>
    <row customHeight="1" ht="11.25">
      <c r="A12" s="346" t="s">
        <v>4599</v>
      </c>
      <c r="B12" s="346" t="s">
        <v>4600</v>
      </c>
    </row>
    <row customHeight="1" ht="11.25">
      <c r="A13" s="346" t="s">
        <v>4601</v>
      </c>
      <c r="B13" s="346" t="s">
        <v>4602</v>
      </c>
    </row>
    <row customHeight="1" ht="11.25">
      <c r="A14" s="346" t="s">
        <v>4603</v>
      </c>
      <c r="B14" s="346" t="s">
        <v>4604</v>
      </c>
    </row>
    <row customHeight="1" ht="11.25">
      <c r="A15" s="346" t="s">
        <v>4605</v>
      </c>
      <c r="B15" s="346" t="s">
        <v>4606</v>
      </c>
    </row>
    <row customHeight="1" ht="11.25">
      <c r="A16" s="346" t="s">
        <v>4607</v>
      </c>
      <c r="B16" s="346" t="s">
        <v>4608</v>
      </c>
    </row>
    <row customHeight="1" ht="11.25">
      <c r="A17" s="346" t="s">
        <v>4609</v>
      </c>
      <c r="B17" s="346" t="s">
        <v>4610</v>
      </c>
    </row>
    <row customHeight="1" ht="11.25">
      <c r="A18" s="346" t="s">
        <v>4611</v>
      </c>
      <c r="B18" s="346" t="s">
        <v>4612</v>
      </c>
    </row>
    <row customHeight="1" ht="11.25">
      <c r="A19" s="346" t="s">
        <v>4613</v>
      </c>
      <c r="B19" s="346" t="s">
        <v>4614</v>
      </c>
    </row>
    <row customHeight="1" ht="11.25">
      <c r="A20" s="346" t="s">
        <v>4615</v>
      </c>
      <c r="B20" s="346" t="s">
        <v>4616</v>
      </c>
    </row>
    <row customHeight="1" ht="11.25">
      <c r="A21" s="346" t="s">
        <v>4617</v>
      </c>
      <c r="B21" s="346" t="s">
        <v>4618</v>
      </c>
    </row>
    <row customHeight="1" ht="11.25">
      <c r="A22" s="346" t="s">
        <v>4619</v>
      </c>
      <c r="B22" s="346" t="s">
        <v>4620</v>
      </c>
    </row>
    <row customHeight="1" ht="11.25">
      <c r="A23" s="346" t="s">
        <v>4621</v>
      </c>
      <c r="B23" s="346" t="s">
        <v>4622</v>
      </c>
    </row>
    <row customHeight="1" ht="11.25">
      <c r="A24" s="346" t="s">
        <v>4623</v>
      </c>
      <c r="B24" s="346" t="s">
        <v>4624</v>
      </c>
    </row>
    <row customHeight="1" ht="11.25">
      <c r="A25" s="346" t="s">
        <v>4625</v>
      </c>
      <c r="B25" s="346" t="s">
        <v>4626</v>
      </c>
    </row>
    <row customHeight="1" ht="11.25">
      <c r="A26" s="346" t="s">
        <v>4627</v>
      </c>
      <c r="B26" s="346" t="s">
        <v>4628</v>
      </c>
    </row>
    <row customHeight="1" ht="11.25">
      <c r="A27" s="346" t="s">
        <v>4629</v>
      </c>
      <c r="B27" s="346" t="s">
        <v>4630</v>
      </c>
    </row>
    <row customHeight="1" ht="11.25">
      <c r="A28" s="346" t="s">
        <v>4631</v>
      </c>
      <c r="B28" s="346" t="s">
        <v>4632</v>
      </c>
    </row>
    <row customHeight="1" ht="11.25">
      <c r="A29" s="346" t="s">
        <v>4633</v>
      </c>
      <c r="B29" s="346" t="s">
        <v>4634</v>
      </c>
    </row>
    <row customHeight="1" ht="11.25">
      <c r="A30" s="346" t="s">
        <v>4635</v>
      </c>
      <c r="B30" s="346" t="s">
        <v>4636</v>
      </c>
    </row>
    <row customHeight="1" ht="11.25">
      <c r="A31" s="346" t="s">
        <v>4637</v>
      </c>
      <c r="B31" s="346" t="s">
        <v>4638</v>
      </c>
    </row>
    <row customHeight="1" ht="11.25">
      <c r="A32" s="346" t="s">
        <v>4639</v>
      </c>
      <c r="B32" s="346" t="s">
        <v>4640</v>
      </c>
    </row>
    <row customHeight="1" ht="11.25">
      <c r="A33" s="346" t="s">
        <v>4641</v>
      </c>
      <c r="B33" s="346" t="s">
        <v>4642</v>
      </c>
    </row>
    <row customHeight="1" ht="11.25">
      <c r="A34" s="346" t="s">
        <v>4643</v>
      </c>
      <c r="B34" s="346" t="s">
        <v>4644</v>
      </c>
    </row>
    <row customHeight="1" ht="11.25">
      <c r="A35" s="346" t="s">
        <v>4645</v>
      </c>
      <c r="B35" s="346" t="s">
        <v>4646</v>
      </c>
    </row>
    <row customHeight="1" ht="11.25">
      <c r="A36" s="346" t="s">
        <v>4647</v>
      </c>
      <c r="B36" s="346" t="s">
        <v>4648</v>
      </c>
    </row>
    <row customHeight="1" ht="11.25">
      <c r="A37" s="346" t="s">
        <v>4649</v>
      </c>
      <c r="B37" s="346" t="s">
        <v>4650</v>
      </c>
    </row>
    <row customHeight="1" ht="11.25">
      <c r="A38" s="346" t="s">
        <v>4651</v>
      </c>
      <c r="B38" s="346" t="s">
        <v>4652</v>
      </c>
    </row>
    <row customHeight="1" ht="11.25">
      <c r="A39" s="346" t="s">
        <v>4653</v>
      </c>
      <c r="B39" s="346" t="s">
        <v>4654</v>
      </c>
    </row>
    <row customHeight="1" ht="11.25">
      <c r="A40" s="346" t="s">
        <v>4655</v>
      </c>
      <c r="B40" s="346" t="s">
        <v>4656</v>
      </c>
    </row>
    <row customHeight="1" ht="11.25">
      <c r="A41" s="346" t="s">
        <v>4657</v>
      </c>
      <c r="B41" s="346" t="s">
        <v>4658</v>
      </c>
    </row>
    <row customHeight="1" ht="11.25">
      <c r="A42" s="346" t="s">
        <v>4659</v>
      </c>
      <c r="B42" s="346" t="s">
        <v>4660</v>
      </c>
    </row>
    <row customHeight="1" ht="11.25">
      <c r="A43" s="346" t="s">
        <v>4661</v>
      </c>
      <c r="B43" s="346" t="s">
        <v>4662</v>
      </c>
    </row>
    <row customHeight="1" ht="11.25">
      <c r="A44" s="346" t="s">
        <v>4663</v>
      </c>
      <c r="B44" s="346" t="s">
        <v>4664</v>
      </c>
    </row>
    <row customHeight="1" ht="11.25">
      <c r="A45" s="346" t="s">
        <v>4665</v>
      </c>
      <c r="B45" s="346" t="s">
        <v>4666</v>
      </c>
    </row>
    <row customHeight="1" ht="11.25">
      <c r="A46" s="346" t="s">
        <v>4667</v>
      </c>
      <c r="B46" s="346" t="s">
        <v>4668</v>
      </c>
    </row>
    <row customHeight="1" ht="11.25">
      <c r="A47" s="346" t="s">
        <v>4669</v>
      </c>
      <c r="B47" s="346" t="s">
        <v>4670</v>
      </c>
    </row>
    <row customHeight="1" ht="11.25">
      <c r="A48" s="346" t="s">
        <v>4671</v>
      </c>
      <c r="B48" s="346" t="s">
        <v>4672</v>
      </c>
    </row>
    <row customHeight="1" ht="11.25">
      <c r="A49" s="346" t="s">
        <v>4673</v>
      </c>
      <c r="B49" s="346" t="s">
        <v>4674</v>
      </c>
    </row>
    <row customHeight="1" ht="11.25">
      <c r="A50" s="346" t="s">
        <v>4675</v>
      </c>
      <c r="B50" s="346" t="s">
        <v>4676</v>
      </c>
    </row>
    <row customHeight="1" ht="11.25">
      <c r="A51" s="346" t="s">
        <v>4677</v>
      </c>
      <c r="B51" s="346" t="s">
        <v>4678</v>
      </c>
    </row>
    <row customHeight="1" ht="11.25">
      <c r="A52" s="346" t="s">
        <v>4679</v>
      </c>
      <c r="B52" s="346" t="s">
        <v>4680</v>
      </c>
    </row>
    <row customHeight="1" ht="11.25">
      <c r="A53" s="346" t="s">
        <v>4681</v>
      </c>
      <c r="B53" s="346" t="s">
        <v>4682</v>
      </c>
    </row>
    <row customHeight="1" ht="11.25">
      <c r="A54" s="346" t="s">
        <v>4683</v>
      </c>
      <c r="B54" s="346" t="s">
        <v>4684</v>
      </c>
    </row>
    <row customHeight="1" ht="11.25">
      <c r="A55" s="346" t="s">
        <v>4685</v>
      </c>
      <c r="B55" s="346" t="s">
        <v>4686</v>
      </c>
    </row>
    <row customHeight="1" ht="11.25">
      <c r="A56" s="346" t="s">
        <v>4687</v>
      </c>
      <c r="B56" s="346" t="s">
        <v>4688</v>
      </c>
    </row>
    <row customHeight="1" ht="11.25">
      <c r="A57" s="346" t="s">
        <v>4689</v>
      </c>
      <c r="B57" s="346" t="s">
        <v>4690</v>
      </c>
    </row>
    <row customHeight="1" ht="11.25">
      <c r="A58" s="346" t="s">
        <v>4691</v>
      </c>
      <c r="B58" s="346" t="s">
        <v>4692</v>
      </c>
    </row>
    <row customHeight="1" ht="11.25">
      <c r="A59" s="346" t="s">
        <v>4693</v>
      </c>
      <c r="B59" s="346" t="s">
        <v>4694</v>
      </c>
    </row>
    <row customHeight="1" ht="11.25">
      <c r="A60" s="346" t="s">
        <v>4695</v>
      </c>
      <c r="B60" s="346" t="s">
        <v>4696</v>
      </c>
    </row>
    <row customHeight="1" ht="11.25">
      <c r="A61" s="346"/>
      <c r="B61" s="346" t="s">
        <v>4697</v>
      </c>
    </row>
    <row customHeight="1" ht="11.25">
      <c r="A62" s="346"/>
      <c r="B62" s="346" t="s">
        <v>4698</v>
      </c>
    </row>
    <row customHeight="1" ht="11.25">
      <c r="A63" s="346"/>
      <c r="B63" s="346" t="s">
        <v>4699</v>
      </c>
    </row>
    <row customHeight="1" ht="11.25">
      <c r="A64" s="346"/>
      <c r="B64" s="346" t="s">
        <v>4700</v>
      </c>
    </row>
    <row customHeight="1" ht="11.25">
      <c r="A65" s="346"/>
      <c r="B65" s="346" t="s">
        <v>4701</v>
      </c>
    </row>
    <row customHeight="1" ht="11.25">
      <c r="A66" s="346"/>
      <c r="B66" s="346" t="s">
        <v>4702</v>
      </c>
    </row>
    <row customHeight="1" ht="11.25">
      <c r="A67" s="346"/>
      <c r="B67" s="346" t="s">
        <v>4703</v>
      </c>
    </row>
    <row customHeight="1" ht="11.25">
      <c r="A68" s="346"/>
      <c r="B68" s="346" t="s">
        <v>4704</v>
      </c>
    </row>
    <row customHeight="1" ht="11.25">
      <c r="A69" s="346"/>
      <c r="B69" s="346" t="s">
        <v>4705</v>
      </c>
    </row>
    <row customHeight="1" ht="11.25">
      <c r="A70" s="346"/>
      <c r="B70" s="346" t="s">
        <v>4706</v>
      </c>
    </row>
    <row customHeight="1" ht="11.25">
      <c r="A71" s="346"/>
      <c r="B71" s="346"/>
    </row>
    <row customHeight="1" ht="11.25">
      <c r="A72" s="346"/>
      <c r="B72" s="346"/>
    </row>
    <row customHeight="1" ht="11.25">
      <c r="A73" s="346"/>
      <c r="B73" s="346"/>
    </row>
    <row customHeight="1" ht="11.25">
      <c r="A74" s="346"/>
      <c r="B74" s="346"/>
    </row>
    <row customHeight="1" ht="11.25">
      <c r="A75" s="346"/>
      <c r="B75" s="346"/>
    </row>
    <row customHeight="1" ht="11.25">
      <c r="A76" s="346"/>
      <c r="B76" s="346"/>
    </row>
    <row customHeight="1" ht="11.25">
      <c r="A77" s="346"/>
      <c r="B77" s="346"/>
    </row>
    <row customHeight="1" ht="11.25">
      <c r="A78" s="346"/>
      <c r="B78" s="346"/>
    </row>
    <row customHeight="1" ht="11.25">
      <c r="A79" s="346"/>
      <c r="B79" s="346"/>
    </row>
    <row customHeight="1" ht="11.25">
      <c r="A80" s="346"/>
      <c r="B80" s="346"/>
    </row>
    <row customHeight="1" ht="11.25">
      <c r="A81" s="346"/>
      <c r="B81" s="346"/>
    </row>
    <row customHeight="1" ht="11.25">
      <c r="A82" s="346"/>
      <c r="B82" s="346"/>
    </row>
    <row customHeight="1" ht="11.25">
      <c r="A83" s="346"/>
      <c r="B83" s="346"/>
    </row>
    <row customHeight="1" ht="11.25">
      <c r="A84" s="346"/>
      <c r="B84" s="346"/>
    </row>
    <row customHeight="1" ht="11.25">
      <c r="A85" s="346"/>
      <c r="B85" s="346"/>
    </row>
    <row customHeight="1" ht="11.25">
      <c r="A86" s="346"/>
      <c r="B86" s="346"/>
    </row>
    <row customHeight="1" ht="11.25">
      <c r="A87" s="346"/>
      <c r="B87" s="346"/>
    </row>
    <row customHeight="1" ht="11.25">
      <c r="A88" s="346"/>
      <c r="B88" s="346"/>
    </row>
    <row customHeight="1" ht="11.25">
      <c r="A89" s="346"/>
      <c r="B89" s="346"/>
    </row>
    <row customHeight="1" ht="11.25">
      <c r="A90" s="346"/>
      <c r="B90" s="346"/>
    </row>
    <row customHeight="1" ht="11.25">
      <c r="A91" s="346"/>
      <c r="B91" s="346"/>
    </row>
    <row customHeight="1" ht="11.25">
      <c r="A92" s="346"/>
      <c r="B92" s="346"/>
    </row>
    <row customHeight="1" ht="11.25">
      <c r="A93" s="346"/>
      <c r="B93" s="346"/>
    </row>
    <row customHeight="1" ht="11.25">
      <c r="A94" s="346"/>
      <c r="B94" s="346"/>
    </row>
    <row customHeight="1" ht="11.25">
      <c r="A95" s="346"/>
      <c r="B95" s="346"/>
    </row>
    <row customHeight="1" ht="11.25">
      <c r="A96" s="346"/>
      <c r="B96" s="346"/>
    </row>
    <row customHeight="1" ht="11.25">
      <c r="A97" s="346"/>
      <c r="B97" s="346"/>
    </row>
    <row customHeight="1" ht="11.25">
      <c r="A98" s="346"/>
      <c r="B98" s="346"/>
    </row>
    <row customHeight="1" ht="11.25">
      <c r="A99" s="346"/>
      <c r="B99" s="346"/>
    </row>
    <row customHeight="1" ht="11.25">
      <c r="A100" s="346"/>
      <c r="B100" s="346"/>
    </row>
    <row customHeight="1" ht="11.25">
      <c r="A101" s="346"/>
      <c r="B101" s="346"/>
    </row>
    <row customHeight="1" ht="11.25">
      <c r="A102" s="346"/>
      <c r="B102" s="346"/>
    </row>
    <row customHeight="1" ht="11.25">
      <c r="A103" s="346"/>
      <c r="B103" s="346"/>
    </row>
    <row customHeight="1" ht="11.25">
      <c r="A104" s="346"/>
      <c r="B104" s="346"/>
    </row>
    <row customHeight="1" ht="11.25">
      <c r="A105" s="346"/>
      <c r="B105" s="346"/>
    </row>
    <row customHeight="1" ht="11.25">
      <c r="A106" s="346"/>
      <c r="B106" s="346"/>
    </row>
    <row customHeight="1" ht="11.25">
      <c r="A107" s="346"/>
      <c r="B107" s="346"/>
    </row>
    <row customHeight="1" ht="11.25">
      <c r="A108" s="346"/>
      <c r="B108" s="346"/>
    </row>
    <row customHeight="1" ht="11.25">
      <c r="A109" s="346"/>
      <c r="B109" s="346"/>
    </row>
    <row customHeight="1" ht="11.25">
      <c r="A110" s="346"/>
      <c r="B110" s="346"/>
    </row>
    <row customHeight="1" ht="11.25">
      <c r="A111" s="346"/>
      <c r="B111" s="346"/>
    </row>
    <row customHeight="1" ht="11.25">
      <c r="A112" s="346"/>
      <c r="B112" s="346"/>
    </row>
    <row customHeight="1" ht="11.25">
      <c r="A113" s="346"/>
      <c r="B113" s="346"/>
    </row>
    <row customHeight="1" ht="11.25">
      <c r="A114" s="346"/>
      <c r="B114" s="346"/>
    </row>
    <row customHeight="1" ht="11.25">
      <c r="A115" s="346"/>
      <c r="B115" s="346"/>
    </row>
    <row customHeight="1" ht="11.25">
      <c r="A116" s="346"/>
      <c r="B116" s="346"/>
    </row>
    <row customHeight="1" ht="11.25">
      <c r="A117" s="346"/>
      <c r="B117" s="346"/>
    </row>
    <row customHeight="1" ht="11.25">
      <c r="A118" s="346"/>
      <c r="B118" s="346"/>
    </row>
    <row customHeight="1" ht="11.25">
      <c r="A119" s="346"/>
      <c r="B119" s="346"/>
    </row>
    <row customHeight="1" ht="11.25">
      <c r="A120" s="346"/>
      <c r="B120" s="346"/>
    </row>
    <row customHeight="1" ht="11.25">
      <c r="A121" s="346"/>
      <c r="B121" s="346"/>
    </row>
    <row customHeight="1" ht="11.25">
      <c r="A122" s="346"/>
      <c r="B122" s="346"/>
    </row>
    <row customHeight="1" ht="11.25">
      <c r="A123" s="346"/>
      <c r="B123" s="346"/>
    </row>
    <row customHeight="1" ht="11.25">
      <c r="A124" s="346"/>
      <c r="B124" s="346"/>
    </row>
    <row customHeight="1" ht="11.25">
      <c r="A125" s="346"/>
      <c r="B125" s="346"/>
    </row>
    <row customHeight="1" ht="11.25">
      <c r="A126" s="346"/>
      <c r="B126" s="346"/>
    </row>
    <row customHeight="1" ht="11.25">
      <c r="A127" s="346"/>
      <c r="B127" s="346"/>
    </row>
    <row customHeight="1" ht="11.25">
      <c r="A128" s="346"/>
      <c r="B128" s="346"/>
    </row>
    <row customHeight="1" ht="11.25">
      <c r="A129" s="346"/>
      <c r="B129" s="346"/>
    </row>
    <row customHeight="1" ht="11.25">
      <c r="A130" s="346"/>
      <c r="B130" s="346"/>
    </row>
    <row customHeight="1" ht="11.25">
      <c r="A131" s="346"/>
      <c r="B131" s="346"/>
    </row>
    <row customHeight="1" ht="11.25">
      <c r="A132" s="346"/>
      <c r="B132" s="346"/>
    </row>
    <row customHeight="1" ht="11.25">
      <c r="A133" s="346"/>
      <c r="B133" s="346"/>
    </row>
    <row customHeight="1" ht="11.25">
      <c r="A134" s="346"/>
      <c r="B134" s="346"/>
    </row>
    <row customHeight="1" ht="11.25">
      <c r="A135" s="346"/>
      <c r="B135" s="346"/>
    </row>
    <row customHeight="1" ht="11.25">
      <c r="A136" s="346"/>
      <c r="B136" s="346"/>
    </row>
    <row customHeight="1" ht="11.25">
      <c r="A137" s="346"/>
      <c r="B137" s="346"/>
    </row>
    <row customHeight="1" ht="11.25">
      <c r="A138" s="346"/>
      <c r="B138" s="346"/>
    </row>
    <row customHeight="1" ht="11.25">
      <c r="A139" s="346"/>
      <c r="B139" s="346"/>
    </row>
    <row customHeight="1" ht="11.25">
      <c r="A140" s="346"/>
      <c r="B140" s="346"/>
    </row>
    <row customHeight="1" ht="11.25">
      <c r="A141" s="346"/>
      <c r="B141" s="346"/>
    </row>
    <row customHeight="1" ht="11.25">
      <c r="A142" s="346"/>
      <c r="B142" s="346"/>
    </row>
    <row customHeight="1" ht="11.25">
      <c r="A143" s="346"/>
      <c r="B143" s="346"/>
    </row>
    <row customHeight="1" ht="11.25">
      <c r="A144" s="346"/>
      <c r="B144" s="346"/>
    </row>
    <row customHeight="1" ht="11.25">
      <c r="A145" s="346"/>
      <c r="B145" s="346"/>
    </row>
    <row customHeight="1" ht="11.25">
      <c r="A146" s="346"/>
      <c r="B146" s="346"/>
    </row>
    <row customHeight="1" ht="11.25">
      <c r="A147" s="346"/>
      <c r="B147" s="346"/>
    </row>
    <row customHeight="1" ht="11.25">
      <c r="A148" s="346"/>
      <c r="B148" s="346"/>
    </row>
    <row customHeight="1" ht="11.25">
      <c r="A149" s="346"/>
      <c r="B149" s="346"/>
    </row>
    <row customHeight="1" ht="11.25">
      <c r="A150" s="346"/>
      <c r="B150" s="346"/>
    </row>
    <row customHeight="1" ht="11.25">
      <c r="A151" s="346"/>
      <c r="B151" s="346"/>
    </row>
    <row customHeight="1" ht="11.25">
      <c r="A152" s="346"/>
      <c r="B152" s="346"/>
    </row>
    <row customHeight="1" ht="11.25">
      <c r="A153" s="346"/>
      <c r="B153" s="346"/>
    </row>
    <row customHeight="1" ht="11.25">
      <c r="A154" s="346"/>
      <c r="B154" s="346"/>
    </row>
    <row customHeight="1" ht="11.25">
      <c r="A155" s="346"/>
      <c r="B155" s="346"/>
    </row>
    <row customHeight="1" ht="11.25">
      <c r="A156" s="346"/>
      <c r="B156" s="346"/>
    </row>
    <row customHeight="1" ht="11.25">
      <c r="A157" s="346"/>
      <c r="B157" s="346"/>
    </row>
    <row customHeight="1" ht="11.25">
      <c r="A158" s="346"/>
      <c r="B158" s="346"/>
    </row>
    <row customHeight="1" ht="11.25">
      <c r="A159" s="346"/>
      <c r="B159" s="346"/>
    </row>
    <row customHeight="1" ht="11.25">
      <c r="A160" s="346"/>
      <c r="B160" s="346"/>
    </row>
    <row customHeight="1" ht="11.25">
      <c r="A161" s="346"/>
      <c r="B161" s="346"/>
    </row>
    <row customHeight="1" ht="11.25">
      <c r="A162" s="346"/>
      <c r="B162" s="346"/>
    </row>
    <row customHeight="1" ht="11.25">
      <c r="A163" s="346"/>
      <c r="B163" s="346"/>
    </row>
    <row customHeight="1" ht="11.25">
      <c r="A164" s="346"/>
      <c r="B164" s="346"/>
    </row>
    <row customHeight="1" ht="11.25">
      <c r="A165" s="346"/>
      <c r="B165" s="346"/>
    </row>
    <row customHeight="1" ht="11.25">
      <c r="A166" s="346"/>
      <c r="B166" s="346"/>
    </row>
    <row customHeight="1" ht="11.25">
      <c r="A167" s="346"/>
      <c r="B167" s="346"/>
    </row>
    <row customHeight="1" ht="11.25">
      <c r="A168" s="346"/>
      <c r="B168" s="346"/>
    </row>
    <row customHeight="1" ht="11.25">
      <c r="A169" s="346"/>
      <c r="B169" s="346"/>
    </row>
    <row customHeight="1" ht="11.25">
      <c r="A170" s="346"/>
      <c r="B170" s="346"/>
    </row>
    <row customHeight="1" ht="11.25">
      <c r="A171" s="346"/>
      <c r="B171" s="346"/>
    </row>
    <row customHeight="1" ht="11.25">
      <c r="A172" s="346"/>
      <c r="B172" s="346"/>
    </row>
    <row customHeight="1" ht="11.25">
      <c r="A173" s="346"/>
      <c r="B173" s="346"/>
    </row>
    <row customHeight="1" ht="11.25">
      <c r="A174" s="346"/>
      <c r="B174" s="346"/>
    </row>
    <row customHeight="1" ht="11.25">
      <c r="A175" s="346"/>
      <c r="B175" s="346"/>
    </row>
    <row customHeight="1" ht="11.25">
      <c r="A176" s="346"/>
      <c r="B176" s="346"/>
    </row>
    <row customHeight="1" ht="11.25">
      <c r="A177" s="346"/>
      <c r="B177" s="346"/>
    </row>
    <row customHeight="1" ht="11.25">
      <c r="A178" s="346"/>
      <c r="B178" s="346"/>
    </row>
    <row customHeight="1" ht="11.25">
      <c r="A179" s="346"/>
      <c r="B179" s="346"/>
    </row>
    <row customHeight="1" ht="11.25">
      <c r="A180" s="346"/>
      <c r="B180" s="346"/>
    </row>
    <row customHeight="1" ht="11.25">
      <c r="A181" s="346"/>
      <c r="B181" s="346"/>
    </row>
    <row customHeight="1" ht="11.25">
      <c r="A182" s="346"/>
      <c r="B182" s="346"/>
    </row>
    <row customHeight="1" ht="11.25">
      <c r="A183" s="346"/>
      <c r="B183" s="346"/>
    </row>
    <row customHeight="1" ht="11.25">
      <c r="A184" s="346"/>
      <c r="B184" s="346"/>
    </row>
    <row customHeight="1" ht="11.25">
      <c r="A185" s="346"/>
      <c r="B185" s="346"/>
    </row>
    <row customHeight="1" ht="11.25">
      <c r="A186" s="346"/>
      <c r="B186" s="346"/>
    </row>
    <row customHeight="1" ht="11.25">
      <c r="A187" s="346"/>
      <c r="B187" s="346"/>
    </row>
    <row customHeight="1" ht="11.25">
      <c r="A188" s="346"/>
      <c r="B188" s="346"/>
    </row>
    <row customHeight="1" ht="11.25">
      <c r="A189" s="346"/>
      <c r="B189" s="346"/>
    </row>
    <row customHeight="1" ht="11.25">
      <c r="A190" s="346"/>
      <c r="B190" s="346"/>
    </row>
    <row customHeight="1" ht="11.25">
      <c r="A191" s="346"/>
      <c r="B191" s="346"/>
    </row>
    <row customHeight="1" ht="11.25">
      <c r="A192" s="346"/>
      <c r="B192" s="346"/>
    </row>
    <row customHeight="1" ht="11.25">
      <c r="A193" s="346"/>
      <c r="B193" s="346"/>
    </row>
    <row customHeight="1" ht="11.25">
      <c r="A194" s="346"/>
      <c r="B194" s="346"/>
    </row>
    <row customHeight="1" ht="11.25">
      <c r="A195" s="346"/>
      <c r="B195" s="346"/>
    </row>
    <row customHeight="1" ht="11.25">
      <c r="A196" s="346"/>
      <c r="B196" s="346"/>
    </row>
    <row customHeight="1" ht="11.25">
      <c r="A197" s="346"/>
      <c r="B197" s="346"/>
    </row>
    <row customHeight="1" ht="11.25">
      <c r="A198" s="346"/>
      <c r="B198" s="346"/>
    </row>
    <row customHeight="1" ht="11.25">
      <c r="A199" s="346"/>
      <c r="B199" s="346"/>
    </row>
    <row customHeight="1" ht="11.25">
      <c r="A200" s="346"/>
      <c r="B200" s="346"/>
    </row>
    <row customHeight="1" ht="11.25">
      <c r="A201" s="346"/>
      <c r="B201" s="346"/>
    </row>
    <row customHeight="1" ht="11.25">
      <c r="A202" s="346"/>
      <c r="B202" s="346"/>
    </row>
    <row customHeight="1" ht="11.25">
      <c r="A203" s="346"/>
      <c r="B203" s="346"/>
    </row>
    <row customHeight="1" ht="11.25">
      <c r="A204" s="346"/>
      <c r="B204" s="346"/>
    </row>
    <row customHeight="1" ht="11.25">
      <c r="A205" s="346"/>
      <c r="B205" s="346"/>
    </row>
    <row customHeight="1" ht="11.25">
      <c r="A206" s="346"/>
      <c r="B206" s="346"/>
    </row>
    <row customHeight="1" ht="11.25">
      <c r="A207" s="346"/>
      <c r="B207" s="346"/>
    </row>
    <row customHeight="1" ht="11.25">
      <c r="A208" s="346"/>
      <c r="B208" s="346"/>
    </row>
    <row customHeight="1" ht="11.25">
      <c r="A209" s="346"/>
      <c r="B209" s="346"/>
    </row>
    <row customHeight="1" ht="11.25">
      <c r="A210" s="346"/>
      <c r="B210" s="346"/>
    </row>
    <row customHeight="1" ht="11.25">
      <c r="A211" s="346"/>
      <c r="B211" s="346"/>
    </row>
    <row customHeight="1" ht="11.25">
      <c r="A212" s="346"/>
      <c r="B212" s="346"/>
    </row>
    <row customHeight="1" ht="11.25">
      <c r="A213" s="346"/>
      <c r="B213" s="346"/>
    </row>
    <row customHeight="1" ht="11.25">
      <c r="A214" s="346"/>
      <c r="B214" s="346"/>
    </row>
    <row customHeight="1" ht="11.25">
      <c r="A215" s="346"/>
      <c r="B215" s="346"/>
    </row>
    <row customHeight="1" ht="11.25">
      <c r="A216" s="346"/>
      <c r="B216" s="346"/>
    </row>
    <row customHeight="1" ht="11.25">
      <c r="A217" s="346"/>
      <c r="B217" s="346"/>
    </row>
    <row customHeight="1" ht="11.25">
      <c r="A218" s="346"/>
      <c r="B218" s="346"/>
    </row>
    <row customHeight="1" ht="11.25">
      <c r="A219" s="346"/>
      <c r="B219" s="346"/>
    </row>
    <row customHeight="1" ht="11.25">
      <c r="A220" s="346"/>
      <c r="B220" s="346"/>
    </row>
    <row customHeight="1" ht="11.25">
      <c r="A221" s="346"/>
      <c r="B221" s="346"/>
    </row>
    <row customHeight="1" ht="11.25">
      <c r="A222" s="346"/>
      <c r="B222" s="346"/>
    </row>
    <row customHeight="1" ht="11.25">
      <c r="A223" s="346"/>
      <c r="B223" s="346"/>
    </row>
    <row customHeight="1" ht="11.25">
      <c r="A224" s="346"/>
      <c r="B224" s="346"/>
    </row>
    <row customHeight="1" ht="11.25">
      <c r="A225" s="346"/>
      <c r="B225" s="346"/>
    </row>
    <row customHeight="1" ht="11.25">
      <c r="A226" s="346"/>
      <c r="B226" s="346"/>
    </row>
    <row customHeight="1" ht="11.25">
      <c r="A227" s="346"/>
      <c r="B227" s="346"/>
    </row>
    <row customHeight="1" ht="11.25">
      <c r="A228" s="346"/>
      <c r="B228" s="346"/>
    </row>
    <row customHeight="1" ht="11.25">
      <c r="A229" s="346"/>
      <c r="B229" s="346"/>
    </row>
    <row customHeight="1" ht="11.25">
      <c r="A230" s="346"/>
      <c r="B230" s="346"/>
    </row>
    <row customHeight="1" ht="11.25">
      <c r="A231" s="346"/>
      <c r="B231" s="346"/>
    </row>
    <row customHeight="1" ht="11.25">
      <c r="A232" s="346"/>
      <c r="B232" s="346"/>
    </row>
    <row customHeight="1" ht="11.25">
      <c r="A233" s="346"/>
      <c r="B233" s="346"/>
    </row>
    <row customHeight="1" ht="11.25">
      <c r="A234" s="346"/>
      <c r="B234" s="346"/>
    </row>
    <row customHeight="1" ht="11.25">
      <c r="A235" s="346"/>
      <c r="B235" s="346"/>
    </row>
    <row customHeight="1" ht="11.25">
      <c r="A236" s="346"/>
      <c r="B236" s="346"/>
    </row>
    <row customHeight="1" ht="11.25">
      <c r="A237" s="346"/>
      <c r="B237" s="346"/>
    </row>
    <row customHeight="1" ht="11.25">
      <c r="A238" s="346"/>
      <c r="B238" s="346"/>
    </row>
    <row customHeight="1" ht="11.25">
      <c r="A239" s="346"/>
      <c r="B239" s="346"/>
    </row>
    <row customHeight="1" ht="11.25">
      <c r="A240" s="346"/>
      <c r="B240" s="346"/>
    </row>
    <row customHeight="1" ht="11.25">
      <c r="A241" s="346"/>
      <c r="B241" s="346"/>
    </row>
    <row customHeight="1" ht="11.25">
      <c r="A242" s="346"/>
      <c r="B242" s="346"/>
    </row>
    <row customHeight="1" ht="11.25">
      <c r="A243" s="346"/>
      <c r="B243" s="346"/>
    </row>
    <row customHeight="1" ht="11.25">
      <c r="A244" s="346"/>
      <c r="B244" s="346"/>
    </row>
    <row customHeight="1" ht="11.25">
      <c r="A245" s="346"/>
      <c r="B245" s="346"/>
    </row>
    <row customHeight="1" ht="11.25">
      <c r="A246" s="346"/>
      <c r="B246" s="346"/>
    </row>
    <row customHeight="1" ht="11.25">
      <c r="A247" s="346"/>
      <c r="B247" s="346"/>
    </row>
    <row customHeight="1" ht="11.25">
      <c r="A248" s="346"/>
      <c r="B248" s="346"/>
    </row>
    <row customHeight="1" ht="11.25">
      <c r="A249" s="346"/>
      <c r="B249" s="346"/>
    </row>
    <row customHeight="1" ht="11.25">
      <c r="A250" s="346"/>
      <c r="B250" s="346"/>
    </row>
    <row customHeight="1" ht="11.25">
      <c r="A251" s="346"/>
      <c r="B251" s="346"/>
    </row>
    <row customHeight="1" ht="11.25">
      <c r="A252" s="346"/>
      <c r="B252" s="346"/>
    </row>
    <row customHeight="1" ht="11.25">
      <c r="A253" s="346"/>
      <c r="B253" s="346"/>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2BEA0F2-8253-A7D8-D108-DEFB914B0F08}" mc:Ignorable="x14ac xr xr2 xr3">
  <sheetPr>
    <tabColor rgb="FFFFCC99"/>
  </sheetPr>
  <dimension ref="A1:D36"/>
  <sheetViews>
    <sheetView topLeftCell="A1" showGridLines="0" workbookViewId="0">
      <selection activeCell="A1" sqref="A1"/>
    </sheetView>
  </sheetViews>
  <sheetFormatPr defaultColWidth="9.140625" customHeight="1" defaultRowHeight="11.25"/>
  <cols>
    <col min="1" max="1" style="14218" width="3.7109375" customWidth="1"/>
    <col min="2" max="2" style="14218" width="90.7109375" customWidth="1"/>
    <col min="3" max="4" style="14218" width="9.140625"/>
  </cols>
  <sheetData>
    <row customHeight="1" ht="11.25">
      <c r="B1" s="377" t="s">
        <v>4707</v>
      </c>
    </row>
    <row customHeight="1" ht="90">
      <c r="B2" s="378" t="s">
        <v>4708</v>
      </c>
    </row>
    <row customHeight="1" ht="67.5">
      <c r="B3" s="378" t="s">
        <v>4709</v>
      </c>
    </row>
    <row customHeight="1" ht="33.75">
      <c r="B4" s="378" t="s">
        <v>4710</v>
      </c>
    </row>
    <row customHeight="1" ht="11.25">
      <c r="B5" s="378" t="s">
        <v>4711</v>
      </c>
    </row>
    <row customHeight="1" ht="22.5">
      <c r="B6" s="378" t="s">
        <v>4712</v>
      </c>
    </row>
    <row customHeight="1" ht="22.5">
      <c r="B7" s="378" t="s">
        <v>4713</v>
      </c>
    </row>
    <row customHeight="1" ht="22.5">
      <c r="B8" s="378" t="s">
        <v>4714</v>
      </c>
    </row>
    <row customHeight="1" ht="22.5">
      <c r="B9" s="378" t="s">
        <v>4715</v>
      </c>
    </row>
    <row customHeight="1" ht="56.25">
      <c r="B10" s="378" t="s">
        <v>4716</v>
      </c>
    </row>
    <row customHeight="1" ht="12.75">
      <c r="B11" s="443" t="s">
        <v>4717</v>
      </c>
    </row>
    <row customHeight="1" ht="11.25">
      <c r="B12" s="377" t="s">
        <v>4718</v>
      </c>
    </row>
    <row customHeight="1" ht="22.5">
      <c r="B13" s="378" t="s">
        <v>4719</v>
      </c>
    </row>
    <row customHeight="1" ht="67.5">
      <c r="B14" s="378" t="s">
        <v>4720</v>
      </c>
    </row>
    <row customHeight="1" ht="22.5">
      <c r="B15" s="378" t="s">
        <v>4721</v>
      </c>
    </row>
    <row customHeight="1" ht="11.25">
      <c r="B16" s="377" t="s">
        <v>4722</v>
      </c>
      <c r="D16" s="384"/>
    </row>
    <row customHeight="1" ht="33.75">
      <c r="B17" s="378" t="s">
        <v>4723</v>
      </c>
    </row>
    <row customHeight="1" ht="33.75">
      <c r="B18" s="378" t="s">
        <v>4724</v>
      </c>
    </row>
    <row customHeight="1" ht="11.25">
      <c r="B19" s="378" t="s">
        <v>4725</v>
      </c>
    </row>
    <row customHeight="1" ht="33.75">
      <c r="B20" s="378" t="s">
        <v>4726</v>
      </c>
    </row>
    <row customHeight="1" ht="11.25">
      <c r="B21" s="377" t="s">
        <v>4727</v>
      </c>
    </row>
    <row customHeight="1" ht="11.25">
      <c r="B22" s="378" t="s">
        <v>4728</v>
      </c>
    </row>
    <row r="24" customHeight="1" ht="22.5">
      <c r="B24" s="445" t="s">
        <v>4729</v>
      </c>
    </row>
    <row r="26" customHeight="1" ht="11.25">
      <c r="B26" s="377" t="s">
        <v>4730</v>
      </c>
    </row>
    <row customHeight="1" ht="22.5">
      <c r="B27" s="444" t="s">
        <v>401</v>
      </c>
    </row>
    <row customHeight="1" ht="56.25">
      <c r="B28" s="444" t="s">
        <v>4731</v>
      </c>
    </row>
    <row customHeight="1" ht="11.25">
      <c r="B29" s="494" t="s">
        <v>4732</v>
      </c>
    </row>
    <row customHeight="1" ht="22.5">
      <c r="B30" s="444" t="s">
        <v>4733</v>
      </c>
    </row>
    <row r="32" customHeight="1" ht="11.25">
      <c r="A32" s="472"/>
      <c r="B32" s="473" t="s">
        <v>4734</v>
      </c>
    </row>
    <row customHeight="1" ht="14.25">
      <c r="A33" s="474">
        <v>1</v>
      </c>
      <c r="B33" s="475" t="s">
        <v>4735</v>
      </c>
    </row>
    <row customHeight="1" ht="14.25">
      <c r="A34" s="474">
        <v>2</v>
      </c>
      <c r="B34" s="475" t="s">
        <v>4736</v>
      </c>
    </row>
    <row customHeight="1" ht="11.25">
      <c r="B35" s="473" t="s">
        <v>4737</v>
      </c>
    </row>
    <row customHeight="1" ht="11.25">
      <c r="B36" s="475" t="s">
        <v>4738</v>
      </c>
    </row>
  </sheetData>
  <sheetProtection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F4C0B08-38C1-DD32-D4B5-5AADC176A098}" mc:Ignorable="x14ac xr xr2 xr3">
  <sheetPr>
    <tabColor theme="3" tint="0.6"/>
  </sheetPr>
  <dimension ref="A1:V18"/>
  <sheetViews>
    <sheetView topLeftCell="A1" showGridLines="0" zoomScale="90" workbookViewId="0">
      <selection activeCell="A1" sqref="A1"/>
    </sheetView>
  </sheetViews>
  <sheetFormatPr defaultColWidth="10.57421875" customHeight="1" defaultRowHeight="14.25"/>
  <cols>
    <col min="1" max="1" style="14041" width="9.140625" hidden="1" customWidth="1"/>
    <col min="2" max="2" style="14077" width="9.140625" hidden="1" customWidth="1"/>
    <col min="3" max="3" style="14246" width="3.00390625" customWidth="1"/>
    <col min="4" max="4" style="14077" width="5.00390625" customWidth="1"/>
    <col min="5" max="5" style="14077" width="38.00390625" customWidth="1"/>
    <col min="6" max="7" style="14077" width="3.00390625" customWidth="1"/>
    <col min="8" max="8" style="14077" width="38.00390625" customWidth="1"/>
    <col min="9" max="9" style="14077" width="35.00390625" customWidth="1"/>
    <col min="10" max="10" style="14077" width="103.00390625" customWidth="1"/>
    <col min="11" max="11" style="14173" width="3.00390625" customWidth="1"/>
    <col min="12" max="14" style="14158" width="10.00390625" customWidth="1"/>
    <col min="15" max="15" style="14158" width="13.00390625" customWidth="1"/>
    <col min="16" max="16" style="14158" width="15.00390625" customWidth="1"/>
    <col min="17" max="17" style="14158" width="16.00390625" customWidth="1"/>
    <col min="18" max="21" style="14158" width="10.00390625" customWidth="1"/>
    <col min="22" max="22" style="14077" width="10.57421875" hidden="1"/>
  </cols>
  <sheetData>
    <row customHeight="1" ht="22.5" hidden="1">
      <c r="E1" s="696"/>
      <c r="F1" s="696"/>
      <c r="G1" s="696"/>
      <c r="H1" s="2501" t="s">
        <v>357</v>
      </c>
      <c r="I1" s="2501"/>
      <c r="V1" s="1891" t="s">
        <v>14</v>
      </c>
    </row>
    <row s="14077" customFormat="1" customHeight="1" ht="14.25" hidden="1">
      <c r="C2" s="1903"/>
      <c r="D2" s="2517" t="s">
        <v>110</v>
      </c>
      <c r="E2" s="2519"/>
      <c r="F2" s="1909"/>
      <c r="G2" s="1904" t="s">
        <v>110</v>
      </c>
      <c r="H2" s="1907"/>
      <c r="I2" s="1905"/>
      <c r="L2" s="1906"/>
      <c r="M2" s="1906"/>
      <c r="N2" s="1906"/>
      <c r="O2" s="1906" t="s">
        <v>387</v>
      </c>
      <c r="P2" s="1906"/>
      <c r="Q2" s="1906"/>
      <c r="R2" s="1908" t="s">
        <v>386</v>
      </c>
      <c r="S2" s="1908" t="s">
        <v>386</v>
      </c>
      <c r="T2" s="1906"/>
      <c r="U2" s="1906"/>
      <c r="V2" s="1902">
        <v>0</v>
      </c>
    </row>
    <row s="14077" customFormat="1" customHeight="1" ht="14.25" hidden="1">
      <c r="C3" s="1903"/>
      <c r="D3" s="2518"/>
      <c r="E3" s="2520"/>
      <c r="F3" s="689"/>
      <c r="G3" s="1153"/>
      <c r="H3" s="1153" t="s">
        <v>388</v>
      </c>
      <c r="I3" s="597"/>
      <c r="L3" s="1906"/>
      <c r="M3" s="1906"/>
      <c r="N3" s="1906"/>
      <c r="O3" s="1906"/>
      <c r="P3" s="1906"/>
      <c r="Q3" s="1906"/>
      <c r="R3" s="1908"/>
      <c r="S3" s="1908"/>
      <c r="T3" s="1906"/>
      <c r="U3" s="1906"/>
      <c r="V3" s="1902">
        <v>0</v>
      </c>
    </row>
    <row customHeight="1" ht="14.25" hidden="1">
      <c r="V4" s="1891">
        <v>0</v>
      </c>
    </row>
    <row s="14689" customFormat="1" customHeight="1" ht="5.25">
      <c r="C5" s="985"/>
      <c r="D5" s="986"/>
      <c r="E5" s="986"/>
      <c r="F5" s="986"/>
      <c r="G5" s="986"/>
      <c r="H5" s="986" t="s">
        <v>361</v>
      </c>
      <c r="I5" s="986"/>
      <c r="J5" s="986"/>
      <c r="L5" s="1898"/>
      <c r="M5" s="1898"/>
      <c r="N5" s="1898"/>
      <c r="O5" s="1898"/>
      <c r="P5" s="1898"/>
      <c r="Q5" s="1898"/>
      <c r="R5" s="1898"/>
      <c r="S5" s="1898"/>
      <c r="T5" s="1898"/>
      <c r="U5" s="1898"/>
      <c r="V5" s="1897">
        <v>5</v>
      </c>
    </row>
    <row customHeight="1" ht="29.25">
      <c r="C6" s="1800"/>
      <c r="D6" s="2521" t="s">
        <v>389</v>
      </c>
      <c r="E6" s="2521"/>
      <c r="F6" s="2521"/>
      <c r="G6" s="2521"/>
      <c r="H6" s="2521"/>
      <c r="I6" s="2521"/>
      <c r="J6" s="775"/>
      <c r="K6" s="1899"/>
      <c r="V6" s="1891">
        <v>28</v>
      </c>
    </row>
    <row customHeight="1" ht="18">
      <c r="C7" s="1800"/>
      <c r="D7" s="2460" t="str">
        <f>IF(org=0,"Не определено",org)</f>
        <v>МУП г. Азова "Теплоэнерго"</v>
      </c>
      <c r="E7" s="2460"/>
      <c r="F7" s="2460"/>
      <c r="G7" s="2460"/>
      <c r="H7" s="2460"/>
      <c r="I7" s="2460"/>
      <c r="J7" s="775"/>
      <c r="K7" s="1899"/>
      <c r="V7" s="1891">
        <v>17</v>
      </c>
    </row>
    <row s="14052" customFormat="1" customHeight="1" ht="5.25">
      <c r="A8" s="1895"/>
      <c r="C8" s="770"/>
      <c r="D8" s="769"/>
      <c r="E8" s="769"/>
      <c r="F8" s="769"/>
      <c r="G8" s="769"/>
      <c r="H8" s="769"/>
      <c r="I8" s="769"/>
      <c r="J8" s="769"/>
      <c r="L8" s="1898"/>
      <c r="M8" s="1898"/>
      <c r="N8" s="1898"/>
      <c r="O8" s="1898"/>
      <c r="P8" s="1898"/>
      <c r="Q8" s="1898"/>
      <c r="R8" s="1898"/>
      <c r="S8" s="1898"/>
      <c r="T8" s="1898"/>
      <c r="U8" s="1898"/>
      <c r="V8" s="1896">
        <v>5</v>
      </c>
    </row>
    <row s="14052" customFormat="1" customHeight="1" ht="5.25">
      <c r="A9" s="1895"/>
      <c r="C9" s="770"/>
      <c r="D9" s="769"/>
      <c r="E9" s="769"/>
      <c r="F9" s="769"/>
      <c r="G9" s="769"/>
      <c r="H9" s="769"/>
      <c r="I9" s="769"/>
      <c r="J9" s="769"/>
      <c r="L9" s="1906"/>
      <c r="M9" s="1906"/>
      <c r="N9" s="1906"/>
      <c r="O9" s="1906"/>
      <c r="P9" s="1906"/>
      <c r="Q9" s="1906"/>
      <c r="R9" s="1906"/>
      <c r="S9" s="1906"/>
      <c r="T9" s="1906"/>
      <c r="U9" s="1906"/>
      <c r="V9" s="1896">
        <v>5</v>
      </c>
    </row>
    <row customHeight="1" ht="14.699999999999998">
      <c r="C10" s="1800"/>
      <c r="D10" s="2502" t="s">
        <v>305</v>
      </c>
      <c r="E10" s="2503"/>
      <c r="F10" s="2503"/>
      <c r="G10" s="2503"/>
      <c r="H10" s="2503"/>
      <c r="I10" s="2503"/>
      <c r="J10" s="2507" t="s">
        <v>306</v>
      </c>
      <c r="V10" s="1891">
        <v>14</v>
      </c>
    </row>
    <row customHeight="1" ht="27.299999999999997">
      <c r="C11" s="1800"/>
      <c r="D11" s="2411" t="s">
        <v>89</v>
      </c>
      <c r="E11" s="2507" t="s">
        <v>106</v>
      </c>
      <c r="F11" s="2476" t="s">
        <v>89</v>
      </c>
      <c r="G11" s="2477"/>
      <c r="H11" s="2459" t="s">
        <v>390</v>
      </c>
      <c r="I11" s="2459" t="s">
        <v>391</v>
      </c>
      <c r="J11" s="2507"/>
      <c r="V11" s="1891">
        <v>26</v>
      </c>
    </row>
    <row customHeight="1" ht="14.699999999999998">
      <c r="C12" s="1800"/>
      <c r="D12" s="2411"/>
      <c r="E12" s="2507"/>
      <c r="F12" s="2484"/>
      <c r="G12" s="2485"/>
      <c r="H12" s="2516"/>
      <c r="I12" s="2516"/>
      <c r="J12" s="2507"/>
      <c r="V12" s="1891">
        <v>14</v>
      </c>
    </row>
    <row s="14730" customFormat="1" customHeight="1" ht="11.25" hidden="1">
      <c r="C13" s="782"/>
      <c r="D13" s="783" t="s">
        <v>381</v>
      </c>
      <c r="E13" s="783"/>
      <c r="F13" s="783"/>
      <c r="G13" s="783"/>
      <c r="H13" s="781"/>
      <c r="I13" s="781"/>
      <c r="J13" s="719"/>
      <c r="L13" s="1898"/>
      <c r="M13" s="1898"/>
      <c r="N13" s="1898"/>
      <c r="O13" s="1898"/>
      <c r="P13" s="1898"/>
      <c r="Q13" s="1898"/>
      <c r="R13" s="1898"/>
      <c r="S13" s="1898"/>
      <c r="T13" s="1898"/>
      <c r="U13" s="1898"/>
      <c r="V13" s="780">
        <v>0</v>
      </c>
    </row>
    <row customHeight="1" ht="14.699999999999998">
      <c r="A14" s="1891"/>
      <c r="C14" s="1800"/>
      <c r="D14" s="2517" t="s">
        <v>110</v>
      </c>
      <c r="E14" s="2519"/>
      <c r="F14" s="1901"/>
      <c r="G14" s="1900" t="s">
        <v>110</v>
      </c>
      <c r="H14" s="1907"/>
      <c r="I14" s="1905"/>
      <c r="J14" s="2453" t="s">
        <v>392</v>
      </c>
      <c r="K14" s="1891"/>
      <c r="R14" s="784" t="s">
        <v>386</v>
      </c>
      <c r="S14" s="784" t="s">
        <v>386</v>
      </c>
      <c r="V14" s="1891">
        <v>14</v>
      </c>
    </row>
    <row customHeight="1" ht="14.699999999999998">
      <c r="A15" s="1891"/>
      <c r="C15" s="1800"/>
      <c r="D15" s="2518"/>
      <c r="E15" s="2520"/>
      <c r="F15" s="689"/>
      <c r="G15" s="1153"/>
      <c r="H15" s="1153" t="s">
        <v>388</v>
      </c>
      <c r="I15" s="597"/>
      <c r="J15" s="2454"/>
      <c r="K15" s="1891"/>
      <c r="R15" s="784"/>
      <c r="S15" s="784"/>
      <c r="V15" s="1891">
        <v>14</v>
      </c>
    </row>
    <row customHeight="1" ht="14.699999999999998">
      <c r="A16" s="1891"/>
      <c r="C16" s="1800"/>
      <c r="D16" s="689"/>
      <c r="E16" s="1153" t="s">
        <v>122</v>
      </c>
      <c r="F16" s="597"/>
      <c r="G16" s="597"/>
      <c r="H16" s="690"/>
      <c r="I16" s="690"/>
      <c r="J16" s="2455"/>
      <c r="K16" s="1891"/>
      <c r="V16" s="1891">
        <v>14</v>
      </c>
    </row>
    <row customHeight="1" ht="14.699999999999998">
      <c r="K17" s="1891"/>
      <c r="V17" s="1891">
        <v>14</v>
      </c>
    </row>
    <row customHeight="1" ht="22.5" hidden="1">
      <c r="A18" s="1892" t="s">
        <v>83</v>
      </c>
      <c r="B18" s="1891">
        <v>0</v>
      </c>
      <c r="C18" s="735">
        <v>3</v>
      </c>
      <c r="D18" s="1891">
        <v>5</v>
      </c>
      <c r="E18" s="1891">
        <v>38</v>
      </c>
      <c r="F18" s="1891">
        <v>3</v>
      </c>
      <c r="G18" s="1891">
        <v>3</v>
      </c>
      <c r="H18" s="1891">
        <v>38</v>
      </c>
      <c r="I18" s="1891">
        <v>35</v>
      </c>
      <c r="J18" s="1891">
        <v>103</v>
      </c>
      <c r="K18" s="1893">
        <v>3</v>
      </c>
      <c r="L18" s="1898">
        <v>10</v>
      </c>
      <c r="M18" s="1898">
        <v>10</v>
      </c>
      <c r="N18" s="1898">
        <v>10</v>
      </c>
      <c r="O18" s="1898">
        <v>13</v>
      </c>
      <c r="P18" s="1898">
        <v>15</v>
      </c>
      <c r="Q18" s="1898">
        <v>16</v>
      </c>
      <c r="R18" s="1898">
        <v>10</v>
      </c>
      <c r="S18" s="1898">
        <v>10</v>
      </c>
      <c r="T18" s="1898">
        <v>10</v>
      </c>
      <c r="U18" s="1898">
        <v>10</v>
      </c>
      <c r="V18" s="1891">
        <v>23</v>
      </c>
    </row>
  </sheetData>
  <sheetProtection formatColumns="0" formatRows="0" autoFilter="0" sort="0" insertRows="0" insertColumns="1" deleteRows="0" deleteColumns="0"/>
  <mergeCells count="15">
    <mergeCell ref="H1:I1"/>
    <mergeCell ref="D6:I6"/>
    <mergeCell ref="D7:I7"/>
    <mergeCell ref="D2:D3"/>
    <mergeCell ref="E2:E3"/>
    <mergeCell ref="J14:J16"/>
    <mergeCell ref="D10:I10"/>
    <mergeCell ref="J10:J12"/>
    <mergeCell ref="D11:D12"/>
    <mergeCell ref="E11:E12"/>
    <mergeCell ref="F11:G12"/>
    <mergeCell ref="H11:H12"/>
    <mergeCell ref="I11:I12"/>
    <mergeCell ref="D14:D15"/>
    <mergeCell ref="E14:E15"/>
  </mergeCells>
  <dataValidations count="5">
    <dataValidation type="whole" allowBlank="1" showErrorMessage="1" errorTitle="Ошибка" error="Допускается ввод только неотрицательных целых чисел!" sqref="I14 I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ErrorMessage="1" errorTitle="Ошибка" error="Допускается ввод только неотрицательных чисел!" sqref="E13:G13"/>
    <dataValidation type="textLength" operator="lessThanOrEqual" allowBlank="1" showInputMessage="1" showErrorMessage="1" errorTitle="Ошибка" error="Допускается ввод не более 900 символов!" sqref="H14 H2">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2199</vt:i4>
      </vt:variant>
    </vt:vector>
  </HeadingPairs>
  <TitlesOfParts>
    <vt:vector size="2200" baseType="lpstr">
      <vt:lpstr>Инструкция</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B_OTEP_diff_1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cp:lastModifiedBy>
  <cp:lastPrinted>2013-08-29T08:11:20Z</cp:lastPrinted>
  <dcterms:created xsi:type="dcterms:W3CDTF">2004-05-21T07:18:45Z</dcterms:created>
  <dcterms:modified xsi:type="dcterms:W3CDTF">2024-03-31T15:42:24Z</dcterms:modified>
</cp:coreProperties>
</file>

<file path=docProps/custom.xml><?xml version="1.0" encoding="utf-8"?>
<Properties xmlns="http://schemas.openxmlformats.org/officeDocument/2006/custom-properties" xmlns:vt="http://schemas.openxmlformats.org/officeDocument/2006/docPropsVTypes"/>
</file>